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20" yWindow="4095" windowWidth="15330" windowHeight="5805" tabRatio="951"/>
  </bookViews>
  <sheets>
    <sheet name="2013 Quarterly" sheetId="33" r:id="rId1"/>
    <sheet name="2012 Quarterly" sheetId="32" r:id="rId2"/>
    <sheet name="Alta Vista" sheetId="58" r:id="rId3"/>
    <sheet name="Antelope Power Plant" sheetId="89" r:id="rId4"/>
    <sheet name="NRG El Segundo" sheetId="26" r:id="rId5"/>
    <sheet name="Sentinel" sheetId="31" r:id="rId6"/>
    <sheet name="Inland Empire Energy Center" sheetId="17" r:id="rId7"/>
    <sheet name="Blythe I" sheetId="24" r:id="rId8"/>
    <sheet name="Mountain View IV Project" sheetId="42" r:id="rId9"/>
    <sheet name="Mountainview" sheetId="90" r:id="rId10"/>
  </sheets>
  <definedNames>
    <definedName name="_xlnm.Print_Area" localSheetId="1">'2012 Quarterly'!$A$1:$I$38</definedName>
    <definedName name="_xlnm.Print_Area" localSheetId="0">'2013 Quarterly'!$A$1:$I$53</definedName>
    <definedName name="_xlnm.Print_Area" localSheetId="2">'Alta Vista'!$A$1:$J$96</definedName>
    <definedName name="_xlnm.Print_Area" localSheetId="3">'Antelope Power Plant'!$A$1:$K$68</definedName>
    <definedName name="_xlnm.Print_Area" localSheetId="7">'Blythe I'!$A$1:$J$96</definedName>
    <definedName name="_xlnm.Print_Area" localSheetId="6">'Inland Empire Energy Center'!$A$1:$J$38</definedName>
    <definedName name="_xlnm.Print_Area" localSheetId="8">'Mountain View IV Project'!$A$1:$L$55</definedName>
    <definedName name="_xlnm.Print_Area" localSheetId="4">'NRG El Segundo'!$A$1:$J$61</definedName>
    <definedName name="_xlnm.Print_Area" localSheetId="5">Sentinel!$A$1:$J$34</definedName>
    <definedName name="_xlnm.Print_Titles" localSheetId="1">'2012 Quarterly'!$1:$1</definedName>
    <definedName name="_xlnm.Print_Titles" localSheetId="0">'2013 Quarterly'!$1:$1</definedName>
    <definedName name="Z_6086CA2F_D319_4FB4_8773_987A9787386E_.wvu.PrintArea" localSheetId="1" hidden="1">'2012 Quarterly'!$A$1:$I$29</definedName>
    <definedName name="Z_6086CA2F_D319_4FB4_8773_987A9787386E_.wvu.PrintArea" localSheetId="0" hidden="1">'2013 Quarterly'!$A$1:$I$54</definedName>
    <definedName name="Z_6086CA2F_D319_4FB4_8773_987A9787386E_.wvu.PrintTitles" localSheetId="1" hidden="1">'2012 Quarterly'!$1:$1</definedName>
    <definedName name="Z_6086CA2F_D319_4FB4_8773_987A9787386E_.wvu.PrintTitles" localSheetId="0" hidden="1">'2013 Quarterly'!$1:$1</definedName>
  </definedNames>
  <calcPr calcId="145621" calcMode="manual"/>
  <customWorkbookViews>
    <customWorkbookView name="Standard Configuration - Personal View" guid="{6086CA2F-D319-4FB4-8773-987A9787386E}" mergeInterval="0" personalView="1" maximized="1" windowWidth="1020" windowHeight="578" tabRatio="1000" activeSheetId="1"/>
  </customWorkbookViews>
</workbook>
</file>

<file path=xl/calcChain.xml><?xml version="1.0" encoding="utf-8"?>
<calcChain xmlns="http://schemas.openxmlformats.org/spreadsheetml/2006/main">
  <c r="B41" i="24" l="1"/>
  <c r="B41" i="90" l="1"/>
  <c r="B41" i="26"/>
  <c r="B41" i="58"/>
  <c r="B41" i="89"/>
  <c r="B41" i="31"/>
  <c r="B41" i="17"/>
  <c r="B41" i="42"/>
  <c r="B41" i="33"/>
  <c r="H5" i="32" l="1"/>
  <c r="G5" i="32"/>
  <c r="G10" i="32"/>
  <c r="B7" i="32"/>
  <c r="F7" i="32" s="1"/>
  <c r="B5" i="32"/>
  <c r="D157" i="90"/>
  <c r="B157" i="90"/>
  <c r="D156" i="90"/>
  <c r="B156" i="90"/>
  <c r="D155" i="90"/>
  <c r="B155" i="90"/>
  <c r="D154" i="90"/>
  <c r="B154" i="90"/>
  <c r="D153" i="90"/>
  <c r="B153" i="90"/>
  <c r="D152" i="90"/>
  <c r="B152" i="90"/>
  <c r="D151" i="90"/>
  <c r="B151" i="90"/>
  <c r="D150" i="90"/>
  <c r="B150" i="90"/>
  <c r="D149" i="90"/>
  <c r="B149" i="90"/>
  <c r="D148" i="90"/>
  <c r="B148" i="90"/>
  <c r="D147" i="90"/>
  <c r="B147" i="90"/>
  <c r="D146" i="90"/>
  <c r="B146" i="90"/>
  <c r="D145" i="90"/>
  <c r="B145" i="90"/>
  <c r="D144" i="90"/>
  <c r="B144" i="90"/>
  <c r="D143" i="90"/>
  <c r="B143" i="90"/>
  <c r="D142" i="90"/>
  <c r="B142" i="90"/>
  <c r="D140" i="90"/>
  <c r="B140" i="90"/>
  <c r="B139" i="90"/>
  <c r="D139" i="90" s="1"/>
  <c r="D138" i="90"/>
  <c r="B138" i="90"/>
  <c r="B137" i="90"/>
  <c r="D137" i="90" s="1"/>
  <c r="D136" i="90"/>
  <c r="B136" i="90"/>
  <c r="B135" i="90"/>
  <c r="D135" i="90" s="1"/>
  <c r="D134" i="90"/>
  <c r="B134" i="90"/>
  <c r="B133" i="90"/>
  <c r="D133" i="90" s="1"/>
  <c r="D132" i="90"/>
  <c r="B132" i="90"/>
  <c r="B131" i="90"/>
  <c r="D131" i="90" s="1"/>
  <c r="D130" i="90"/>
  <c r="B130" i="90"/>
  <c r="B129" i="90"/>
  <c r="D129" i="90" s="1"/>
  <c r="D128" i="90"/>
  <c r="B128" i="90"/>
  <c r="B127" i="90"/>
  <c r="D127" i="90" s="1"/>
  <c r="D126" i="90"/>
  <c r="B126" i="90"/>
  <c r="B125" i="90"/>
  <c r="D125" i="90" s="1"/>
  <c r="D124" i="90"/>
  <c r="B124" i="90"/>
  <c r="B123" i="90"/>
  <c r="D123" i="90" s="1"/>
  <c r="D122" i="90"/>
  <c r="B122" i="90"/>
  <c r="B121" i="90"/>
  <c r="D121" i="90" s="1"/>
  <c r="D120" i="90"/>
  <c r="B120" i="90"/>
  <c r="B119" i="90"/>
  <c r="D119" i="90" s="1"/>
  <c r="D118" i="90"/>
  <c r="B118" i="90"/>
  <c r="F117" i="90"/>
  <c r="B117" i="90"/>
  <c r="D117" i="90" s="1"/>
  <c r="G117" i="90" s="1"/>
  <c r="J117" i="90" s="1"/>
  <c r="F118" i="90" s="1"/>
  <c r="B112" i="90"/>
  <c r="D112" i="90" s="1"/>
  <c r="B111" i="90"/>
  <c r="D111" i="90" s="1"/>
  <c r="B110" i="90"/>
  <c r="D110" i="90" s="1"/>
  <c r="B109" i="90"/>
  <c r="D109" i="90" s="1"/>
  <c r="B108" i="90"/>
  <c r="D108" i="90" s="1"/>
  <c r="B107" i="90"/>
  <c r="D107" i="90" s="1"/>
  <c r="B106" i="90"/>
  <c r="D106" i="90" s="1"/>
  <c r="B105" i="90"/>
  <c r="D105" i="90" s="1"/>
  <c r="B104" i="90"/>
  <c r="D104" i="90" s="1"/>
  <c r="B103" i="90"/>
  <c r="D103" i="90" s="1"/>
  <c r="B102" i="90"/>
  <c r="D102" i="90" s="1"/>
  <c r="B101" i="90"/>
  <c r="D101" i="90" s="1"/>
  <c r="B100" i="90"/>
  <c r="D100" i="90" s="1"/>
  <c r="B99" i="90"/>
  <c r="D99" i="90" s="1"/>
  <c r="B98" i="90"/>
  <c r="D98" i="90" s="1"/>
  <c r="B97" i="90"/>
  <c r="D97" i="90" s="1"/>
  <c r="B96" i="90"/>
  <c r="D96" i="90" s="1"/>
  <c r="B95" i="90"/>
  <c r="D95" i="90" s="1"/>
  <c r="B94" i="90"/>
  <c r="D94" i="90" s="1"/>
  <c r="H92" i="90"/>
  <c r="B92" i="90"/>
  <c r="D92" i="90" s="1"/>
  <c r="D91" i="90"/>
  <c r="B91" i="90"/>
  <c r="B90" i="90"/>
  <c r="D90" i="90" s="1"/>
  <c r="D89" i="90"/>
  <c r="B89" i="90"/>
  <c r="B88" i="90"/>
  <c r="D88" i="90" s="1"/>
  <c r="D87" i="90"/>
  <c r="B87" i="90"/>
  <c r="B86" i="90"/>
  <c r="D86" i="90" s="1"/>
  <c r="D85" i="90"/>
  <c r="B85" i="90"/>
  <c r="B84" i="90"/>
  <c r="D84" i="90" s="1"/>
  <c r="D83" i="90"/>
  <c r="B83" i="90"/>
  <c r="B82" i="90"/>
  <c r="D82" i="90" s="1"/>
  <c r="D81" i="90"/>
  <c r="B81" i="90"/>
  <c r="B80" i="90"/>
  <c r="D80" i="90" s="1"/>
  <c r="B79" i="90"/>
  <c r="D79" i="90" s="1"/>
  <c r="B78" i="90"/>
  <c r="D78" i="90" s="1"/>
  <c r="D77" i="90"/>
  <c r="B77" i="90"/>
  <c r="B76" i="90"/>
  <c r="D76" i="90" s="1"/>
  <c r="D75" i="90"/>
  <c r="B75" i="90"/>
  <c r="B74" i="90"/>
  <c r="D74" i="90" s="1"/>
  <c r="D73" i="90"/>
  <c r="B73" i="90"/>
  <c r="B72" i="90"/>
  <c r="D72" i="90" s="1"/>
  <c r="D71" i="90"/>
  <c r="B71" i="90"/>
  <c r="B70" i="90"/>
  <c r="D70" i="90" s="1"/>
  <c r="D69" i="90"/>
  <c r="B69" i="90"/>
  <c r="F68" i="90"/>
  <c r="H111" i="90" s="1"/>
  <c r="D68" i="90"/>
  <c r="D62" i="90"/>
  <c r="B62" i="90"/>
  <c r="D61" i="90"/>
  <c r="B61" i="90"/>
  <c r="D60" i="90"/>
  <c r="B60" i="90"/>
  <c r="D59" i="90"/>
  <c r="B59" i="90"/>
  <c r="D58" i="90"/>
  <c r="B58" i="90"/>
  <c r="D57" i="90"/>
  <c r="B57" i="90"/>
  <c r="D56" i="90"/>
  <c r="B56" i="90"/>
  <c r="D55" i="90"/>
  <c r="B55" i="90"/>
  <c r="D54" i="90"/>
  <c r="B54" i="90"/>
  <c r="D53" i="90"/>
  <c r="B53" i="90"/>
  <c r="D52" i="90"/>
  <c r="B52" i="90"/>
  <c r="D51" i="90"/>
  <c r="B51" i="90"/>
  <c r="D50" i="90"/>
  <c r="B50" i="90"/>
  <c r="D49" i="90"/>
  <c r="B49" i="90"/>
  <c r="D48" i="90"/>
  <c r="B48" i="90"/>
  <c r="D47" i="90"/>
  <c r="B47" i="90"/>
  <c r="D46" i="90"/>
  <c r="B46" i="90"/>
  <c r="D45" i="90"/>
  <c r="B45" i="90"/>
  <c r="D44" i="90"/>
  <c r="B42" i="90"/>
  <c r="D42" i="90" s="1"/>
  <c r="D41" i="90"/>
  <c r="B40" i="90"/>
  <c r="D40" i="90" s="1"/>
  <c r="D39" i="90"/>
  <c r="B39" i="90"/>
  <c r="B38" i="90"/>
  <c r="D38" i="90" s="1"/>
  <c r="D37" i="90"/>
  <c r="B37" i="90"/>
  <c r="B36" i="90"/>
  <c r="D36" i="90" s="1"/>
  <c r="E29" i="90"/>
  <c r="D29" i="90"/>
  <c r="C29" i="90"/>
  <c r="H42" i="90" s="1"/>
  <c r="F28" i="90"/>
  <c r="F27" i="90"/>
  <c r="F26" i="90"/>
  <c r="F25" i="90"/>
  <c r="F24" i="90"/>
  <c r="F23" i="90"/>
  <c r="F22" i="90"/>
  <c r="F21" i="90"/>
  <c r="F20" i="90"/>
  <c r="F19" i="90"/>
  <c r="F18" i="90"/>
  <c r="F17" i="90"/>
  <c r="F16" i="90"/>
  <c r="F15" i="90"/>
  <c r="F14" i="90"/>
  <c r="F13" i="90"/>
  <c r="F12" i="90"/>
  <c r="F11" i="90"/>
  <c r="F10" i="90"/>
  <c r="F9" i="90"/>
  <c r="F8" i="90"/>
  <c r="F7" i="90"/>
  <c r="F6" i="90"/>
  <c r="F5" i="90"/>
  <c r="F4" i="90"/>
  <c r="F3" i="90"/>
  <c r="F29" i="90" s="1"/>
  <c r="F36" i="90" l="1"/>
  <c r="H95" i="90"/>
  <c r="H97" i="90"/>
  <c r="H99" i="90"/>
  <c r="H101" i="90"/>
  <c r="H103" i="90"/>
  <c r="H105" i="90"/>
  <c r="H107" i="90"/>
  <c r="H109" i="90"/>
  <c r="H112" i="90"/>
  <c r="H108" i="90"/>
  <c r="H104" i="90"/>
  <c r="H100" i="90"/>
  <c r="H96" i="90"/>
  <c r="G68" i="90"/>
  <c r="H110" i="90"/>
  <c r="H106" i="90"/>
  <c r="H102" i="90"/>
  <c r="H98" i="90"/>
  <c r="H94" i="90"/>
  <c r="G36" i="90"/>
  <c r="J68" i="90"/>
  <c r="F69" i="90" s="1"/>
  <c r="G118" i="90"/>
  <c r="J118" i="90" s="1"/>
  <c r="F119" i="90" s="1"/>
  <c r="H156" i="90"/>
  <c r="H154" i="90"/>
  <c r="H152" i="90"/>
  <c r="H150" i="90"/>
  <c r="H148" i="90"/>
  <c r="H146" i="90"/>
  <c r="H144" i="90"/>
  <c r="H142" i="90"/>
  <c r="H140" i="90"/>
  <c r="H155" i="90"/>
  <c r="H153" i="90"/>
  <c r="H151" i="90"/>
  <c r="H149" i="90"/>
  <c r="H147" i="90"/>
  <c r="H145" i="90"/>
  <c r="H143" i="90"/>
  <c r="J119" i="90" l="1"/>
  <c r="F120" i="90" s="1"/>
  <c r="G119" i="90"/>
  <c r="G69" i="90"/>
  <c r="J69" i="90" s="1"/>
  <c r="F70" i="90" s="1"/>
  <c r="H61" i="90"/>
  <c r="H59" i="90"/>
  <c r="H57" i="90"/>
  <c r="H55" i="90"/>
  <c r="H53" i="90"/>
  <c r="H51" i="90"/>
  <c r="H49" i="90"/>
  <c r="H47" i="90"/>
  <c r="H45" i="90"/>
  <c r="H62" i="90"/>
  <c r="H60" i="90"/>
  <c r="H58" i="90"/>
  <c r="H56" i="90"/>
  <c r="H54" i="90"/>
  <c r="H52" i="90"/>
  <c r="H50" i="90"/>
  <c r="H48" i="90"/>
  <c r="H46" i="90"/>
  <c r="H44" i="90"/>
  <c r="H63" i="90" s="1"/>
  <c r="J36" i="90"/>
  <c r="F37" i="90" s="1"/>
  <c r="J70" i="90" l="1"/>
  <c r="F71" i="90" s="1"/>
  <c r="G70" i="90"/>
  <c r="J120" i="90"/>
  <c r="F121" i="90" s="1"/>
  <c r="G120" i="90"/>
  <c r="J37" i="90"/>
  <c r="F38" i="90" s="1"/>
  <c r="G37" i="90"/>
  <c r="G38" i="90" l="1"/>
  <c r="J38" i="90" s="1"/>
  <c r="F39" i="90" s="1"/>
  <c r="G121" i="90"/>
  <c r="J121" i="90" s="1"/>
  <c r="F122" i="90" s="1"/>
  <c r="G71" i="90"/>
  <c r="J71" i="90" s="1"/>
  <c r="F72" i="90" s="1"/>
  <c r="J39" i="90" l="1"/>
  <c r="F40" i="90" s="1"/>
  <c r="G39" i="90"/>
  <c r="J72" i="90"/>
  <c r="F73" i="90" s="1"/>
  <c r="G72" i="90"/>
  <c r="J122" i="90"/>
  <c r="F123" i="90" s="1"/>
  <c r="G122" i="90"/>
  <c r="G123" i="90" l="1"/>
  <c r="J123" i="90" s="1"/>
  <c r="F124" i="90" s="1"/>
  <c r="G73" i="90"/>
  <c r="J73" i="90" s="1"/>
  <c r="F74" i="90" s="1"/>
  <c r="J40" i="90"/>
  <c r="F41" i="90" s="1"/>
  <c r="G40" i="90"/>
  <c r="J124" i="90" l="1"/>
  <c r="F125" i="90" s="1"/>
  <c r="G124" i="90"/>
  <c r="G74" i="90"/>
  <c r="J74" i="90" s="1"/>
  <c r="F75" i="90" s="1"/>
  <c r="G41" i="90"/>
  <c r="J41" i="90" s="1"/>
  <c r="F42" i="90" s="1"/>
  <c r="G75" i="90" l="1"/>
  <c r="J75" i="90" s="1"/>
  <c r="F76" i="90" s="1"/>
  <c r="G125" i="90"/>
  <c r="J125" i="90" s="1"/>
  <c r="F126" i="90" s="1"/>
  <c r="G42" i="90"/>
  <c r="G43" i="90" s="1"/>
  <c r="I42" i="90" s="1"/>
  <c r="J126" i="90" l="1"/>
  <c r="F127" i="90" s="1"/>
  <c r="G126" i="90"/>
  <c r="J76" i="90"/>
  <c r="F77" i="90" s="1"/>
  <c r="G76" i="90"/>
  <c r="I62" i="90"/>
  <c r="I61" i="90"/>
  <c r="I60" i="90"/>
  <c r="I59" i="90"/>
  <c r="I58" i="90"/>
  <c r="I57" i="90"/>
  <c r="I56" i="90"/>
  <c r="I55" i="90"/>
  <c r="I54" i="90"/>
  <c r="I53" i="90"/>
  <c r="I52" i="90"/>
  <c r="I51" i="90"/>
  <c r="I50" i="90"/>
  <c r="I49" i="90"/>
  <c r="I48" i="90"/>
  <c r="I47" i="90"/>
  <c r="I46" i="90"/>
  <c r="I45" i="90"/>
  <c r="F60" i="90" s="1"/>
  <c r="G60" i="90" s="1"/>
  <c r="I44" i="90"/>
  <c r="F44" i="90"/>
  <c r="G44" i="90" s="1"/>
  <c r="F49" i="90"/>
  <c r="G49" i="90" s="1"/>
  <c r="F62" i="90" l="1"/>
  <c r="G62" i="90" s="1"/>
  <c r="B6" i="32" s="1"/>
  <c r="F47" i="90"/>
  <c r="G47" i="90" s="1"/>
  <c r="F61" i="90"/>
  <c r="G61" i="90" s="1"/>
  <c r="F54" i="90"/>
  <c r="G54" i="90" s="1"/>
  <c r="F57" i="90"/>
  <c r="G57" i="90" s="1"/>
  <c r="I63" i="90"/>
  <c r="J42" i="90"/>
  <c r="F50" i="90"/>
  <c r="G50" i="90" s="1"/>
  <c r="F45" i="90"/>
  <c r="G45" i="90" s="1"/>
  <c r="F51" i="90"/>
  <c r="G51" i="90" s="1"/>
  <c r="F48" i="90"/>
  <c r="G48" i="90" s="1"/>
  <c r="F53" i="90"/>
  <c r="G53" i="90" s="1"/>
  <c r="F55" i="90"/>
  <c r="G55" i="90" s="1"/>
  <c r="F52" i="90"/>
  <c r="G52" i="90" s="1"/>
  <c r="G77" i="90"/>
  <c r="J77" i="90" s="1"/>
  <c r="F78" i="90" s="1"/>
  <c r="F58" i="90"/>
  <c r="G58" i="90" s="1"/>
  <c r="F46" i="90"/>
  <c r="G46" i="90" s="1"/>
  <c r="F59" i="90"/>
  <c r="G59" i="90" s="1"/>
  <c r="F56" i="90"/>
  <c r="G56" i="90" s="1"/>
  <c r="G127" i="90"/>
  <c r="J127" i="90" s="1"/>
  <c r="F128" i="90" s="1"/>
  <c r="J128" i="90" l="1"/>
  <c r="F129" i="90" s="1"/>
  <c r="G128" i="90"/>
  <c r="G78" i="90"/>
  <c r="J78" i="90" s="1"/>
  <c r="F79" i="90" s="1"/>
  <c r="J79" i="90" l="1"/>
  <c r="F80" i="90" s="1"/>
  <c r="G79" i="90"/>
  <c r="J129" i="90"/>
  <c r="F130" i="90" s="1"/>
  <c r="G129" i="90"/>
  <c r="J80" i="90" l="1"/>
  <c r="F81" i="90" s="1"/>
  <c r="G80" i="90"/>
  <c r="G130" i="90"/>
  <c r="J130" i="90" s="1"/>
  <c r="F131" i="90" s="1"/>
  <c r="G131" i="90" l="1"/>
  <c r="J131" i="90" s="1"/>
  <c r="F132" i="90" s="1"/>
  <c r="J81" i="90"/>
  <c r="F82" i="90" s="1"/>
  <c r="G81" i="90"/>
  <c r="G132" i="90" l="1"/>
  <c r="J132" i="90" s="1"/>
  <c r="F133" i="90" s="1"/>
  <c r="G82" i="90"/>
  <c r="J82" i="90" s="1"/>
  <c r="F83" i="90" s="1"/>
  <c r="G83" i="90" l="1"/>
  <c r="J83" i="90" s="1"/>
  <c r="F84" i="90" s="1"/>
  <c r="G133" i="90"/>
  <c r="J133" i="90" s="1"/>
  <c r="F134" i="90" s="1"/>
  <c r="G134" i="90" l="1"/>
  <c r="J134" i="90" s="1"/>
  <c r="F135" i="90" s="1"/>
  <c r="G84" i="90"/>
  <c r="J84" i="90" s="1"/>
  <c r="F85" i="90" s="1"/>
  <c r="J85" i="90" l="1"/>
  <c r="F86" i="90" s="1"/>
  <c r="G85" i="90"/>
  <c r="G135" i="90"/>
  <c r="J135" i="90" s="1"/>
  <c r="F136" i="90" s="1"/>
  <c r="J136" i="90" l="1"/>
  <c r="F137" i="90" s="1"/>
  <c r="G136" i="90"/>
  <c r="G86" i="90"/>
  <c r="J86" i="90" s="1"/>
  <c r="F87" i="90" s="1"/>
  <c r="J87" i="90" l="1"/>
  <c r="F88" i="90" s="1"/>
  <c r="G87" i="90"/>
  <c r="G137" i="90"/>
  <c r="J137" i="90" s="1"/>
  <c r="F138" i="90" s="1"/>
  <c r="J138" i="90" l="1"/>
  <c r="F139" i="90" s="1"/>
  <c r="G138" i="90"/>
  <c r="G88" i="90"/>
  <c r="J88" i="90" s="1"/>
  <c r="F89" i="90" s="1"/>
  <c r="J89" i="90" l="1"/>
  <c r="F90" i="90" s="1"/>
  <c r="G89" i="90"/>
  <c r="G139" i="90"/>
  <c r="J139" i="90" s="1"/>
  <c r="F140" i="90" s="1"/>
  <c r="J140" i="90" l="1"/>
  <c r="G140" i="90"/>
  <c r="G141" i="90" s="1"/>
  <c r="G90" i="90"/>
  <c r="J90" i="90" s="1"/>
  <c r="F91" i="90" s="1"/>
  <c r="J91" i="90" l="1"/>
  <c r="F92" i="90" s="1"/>
  <c r="G91" i="90"/>
  <c r="I156" i="90"/>
  <c r="I155" i="90"/>
  <c r="I154" i="90"/>
  <c r="I153" i="90"/>
  <c r="I152" i="90"/>
  <c r="I151" i="90"/>
  <c r="I150" i="90"/>
  <c r="I149" i="90"/>
  <c r="I148" i="90"/>
  <c r="I147" i="90"/>
  <c r="I146" i="90"/>
  <c r="I145" i="90"/>
  <c r="I144" i="90"/>
  <c r="I143" i="90"/>
  <c r="I142" i="90"/>
  <c r="F144" i="90" s="1"/>
  <c r="G144" i="90" s="1"/>
  <c r="I140" i="90"/>
  <c r="F156" i="90" s="1"/>
  <c r="G156" i="90" s="1"/>
  <c r="F148" i="90"/>
  <c r="G148" i="90" s="1"/>
  <c r="F147" i="90"/>
  <c r="G147" i="90" s="1"/>
  <c r="F146" i="90"/>
  <c r="G146" i="90" s="1"/>
  <c r="F142" i="90"/>
  <c r="G142" i="90" s="1"/>
  <c r="F149" i="90"/>
  <c r="G149" i="90" s="1"/>
  <c r="G92" i="90" l="1"/>
  <c r="G93" i="90" s="1"/>
  <c r="F153" i="90"/>
  <c r="G153" i="90" s="1"/>
  <c r="F150" i="90"/>
  <c r="G150" i="90" s="1"/>
  <c r="F151" i="90"/>
  <c r="G151" i="90" s="1"/>
  <c r="F152" i="90"/>
  <c r="G152" i="90" s="1"/>
  <c r="F157" i="90"/>
  <c r="G157" i="90" s="1"/>
  <c r="F154" i="90"/>
  <c r="G154" i="90" s="1"/>
  <c r="F155" i="90"/>
  <c r="G155" i="90" s="1"/>
  <c r="F145" i="90"/>
  <c r="G145" i="90" s="1"/>
  <c r="F143" i="90"/>
  <c r="G143" i="90" s="1"/>
  <c r="I112" i="90" l="1"/>
  <c r="I110" i="90"/>
  <c r="I108" i="90"/>
  <c r="I106" i="90"/>
  <c r="I104" i="90"/>
  <c r="I102" i="90"/>
  <c r="I100" i="90"/>
  <c r="I98" i="90"/>
  <c r="I96" i="90"/>
  <c r="F99" i="90" s="1"/>
  <c r="G99" i="90" s="1"/>
  <c r="I94" i="90"/>
  <c r="I92" i="90"/>
  <c r="J92" i="90" s="1"/>
  <c r="I111" i="90"/>
  <c r="I109" i="90"/>
  <c r="I107" i="90"/>
  <c r="I105" i="90"/>
  <c r="I103" i="90"/>
  <c r="I101" i="90"/>
  <c r="I99" i="90"/>
  <c r="I97" i="90"/>
  <c r="I95" i="90"/>
  <c r="F107" i="90"/>
  <c r="G107" i="90" s="1"/>
  <c r="F109" i="90"/>
  <c r="G109" i="90" s="1"/>
  <c r="F94" i="90"/>
  <c r="G94" i="90" s="1"/>
  <c r="F110" i="90"/>
  <c r="G110" i="90" s="1"/>
  <c r="F95" i="90"/>
  <c r="G95" i="90" s="1"/>
  <c r="F96" i="90"/>
  <c r="G96" i="90" s="1"/>
  <c r="F97" i="90"/>
  <c r="G97" i="90" s="1"/>
  <c r="F105" i="90" l="1"/>
  <c r="G105" i="90" s="1"/>
  <c r="F102" i="90"/>
  <c r="G102" i="90" s="1"/>
  <c r="F108" i="90"/>
  <c r="G108" i="90" s="1"/>
  <c r="F106" i="90"/>
  <c r="G106" i="90" s="1"/>
  <c r="F112" i="90"/>
  <c r="G112" i="90" s="1"/>
  <c r="F103" i="90"/>
  <c r="G103" i="90" s="1"/>
  <c r="F100" i="90"/>
  <c r="G100" i="90" s="1"/>
  <c r="F98" i="90"/>
  <c r="G98" i="90" s="1"/>
  <c r="F104" i="90"/>
  <c r="G104" i="90" s="1"/>
  <c r="F111" i="90"/>
  <c r="G111" i="90" s="1"/>
  <c r="F101" i="90"/>
  <c r="G101" i="90" s="1"/>
  <c r="E35" i="33" l="1"/>
  <c r="D5" i="33" l="1"/>
  <c r="E11" i="33" l="1"/>
  <c r="D11" i="33"/>
  <c r="E10" i="33"/>
  <c r="D10" i="33"/>
  <c r="C53" i="89" l="1"/>
  <c r="C54" i="89"/>
  <c r="C55" i="89"/>
  <c r="C56" i="89"/>
  <c r="E56" i="89" s="1"/>
  <c r="C57" i="89"/>
  <c r="E57" i="89" s="1"/>
  <c r="C58" i="89"/>
  <c r="E58" i="89" s="1"/>
  <c r="C59" i="89"/>
  <c r="E59" i="89" s="1"/>
  <c r="C60" i="89"/>
  <c r="E60" i="89" s="1"/>
  <c r="C61" i="89"/>
  <c r="E61" i="89" s="1"/>
  <c r="C62" i="89"/>
  <c r="E62" i="89" s="1"/>
  <c r="C63" i="89"/>
  <c r="E63" i="89" s="1"/>
  <c r="C64" i="89"/>
  <c r="E64" i="89" s="1"/>
  <c r="C65" i="89"/>
  <c r="E65" i="89" s="1"/>
  <c r="C66" i="89"/>
  <c r="E66" i="89" s="1"/>
  <c r="C67" i="89"/>
  <c r="E67" i="89" s="1"/>
  <c r="E53" i="89"/>
  <c r="E54" i="89"/>
  <c r="E55" i="89"/>
  <c r="C52" i="89"/>
  <c r="E52" i="89" s="1"/>
  <c r="C51" i="89"/>
  <c r="E51" i="89" s="1"/>
  <c r="C50" i="89"/>
  <c r="E50" i="89" s="1"/>
  <c r="C49" i="89"/>
  <c r="E49" i="89" s="1"/>
  <c r="E46" i="89"/>
  <c r="E45" i="89"/>
  <c r="C48" i="89"/>
  <c r="E48" i="89" s="1"/>
  <c r="H14" i="31"/>
  <c r="J14" i="31"/>
  <c r="C45" i="89"/>
  <c r="E25" i="33"/>
  <c r="D26" i="33"/>
  <c r="D25" i="33"/>
  <c r="G14" i="31"/>
  <c r="H15" i="31"/>
  <c r="H16" i="31"/>
  <c r="H17" i="31"/>
  <c r="H18" i="31"/>
  <c r="H19" i="31"/>
  <c r="H20" i="31"/>
  <c r="H21" i="31"/>
  <c r="H22" i="31"/>
  <c r="H23" i="31"/>
  <c r="H24" i="31"/>
  <c r="H25" i="31"/>
  <c r="H26" i="31"/>
  <c r="H27" i="31"/>
  <c r="H28" i="31"/>
  <c r="H29" i="31"/>
  <c r="H30" i="31"/>
  <c r="H31" i="31"/>
  <c r="H32" i="31"/>
  <c r="I14" i="31"/>
  <c r="D11" i="31"/>
  <c r="B12" i="31"/>
  <c r="D12" i="31" s="1"/>
  <c r="D40" i="26"/>
  <c r="D38" i="26"/>
  <c r="C50" i="58" l="1"/>
  <c r="E50" i="58" s="1"/>
  <c r="E47" i="58"/>
  <c r="E48" i="58"/>
  <c r="E46" i="58"/>
  <c r="C49" i="58"/>
  <c r="A49" i="58"/>
  <c r="C48" i="58"/>
  <c r="B60" i="26"/>
  <c r="D60" i="26" s="1"/>
  <c r="F12" i="33"/>
  <c r="F17" i="33"/>
  <c r="F27" i="33"/>
  <c r="F37" i="33"/>
  <c r="F17" i="32"/>
  <c r="B15" i="31"/>
  <c r="D15" i="31" s="1"/>
  <c r="B16" i="31"/>
  <c r="D16" i="31" s="1"/>
  <c r="B17" i="31"/>
  <c r="D17" i="31" s="1"/>
  <c r="B18" i="31"/>
  <c r="D18" i="31" s="1"/>
  <c r="B19" i="31"/>
  <c r="D19" i="31" s="1"/>
  <c r="B20" i="31"/>
  <c r="B21" i="31"/>
  <c r="B22" i="31"/>
  <c r="D22" i="31" s="1"/>
  <c r="B23" i="31"/>
  <c r="D23" i="31" s="1"/>
  <c r="B24" i="31"/>
  <c r="D24" i="31" s="1"/>
  <c r="B25" i="31"/>
  <c r="D25" i="31" s="1"/>
  <c r="B26" i="31"/>
  <c r="D26" i="31" s="1"/>
  <c r="B27" i="31"/>
  <c r="B28" i="31"/>
  <c r="B29" i="31"/>
  <c r="B30" i="31"/>
  <c r="B31" i="31"/>
  <c r="D31" i="31" s="1"/>
  <c r="B32" i="31"/>
  <c r="D32" i="31" s="1"/>
  <c r="D39" i="24"/>
  <c r="B38" i="24"/>
  <c r="D38" i="24" s="1"/>
  <c r="G38" i="24" s="1"/>
  <c r="F29" i="24"/>
  <c r="F30" i="24" s="1"/>
  <c r="F31" i="24" s="1"/>
  <c r="G28" i="24"/>
  <c r="D29" i="24"/>
  <c r="D30" i="24" s="1"/>
  <c r="F38" i="24"/>
  <c r="F64" i="24"/>
  <c r="A41" i="89"/>
  <c r="E34" i="89"/>
  <c r="D34" i="89"/>
  <c r="F33" i="89"/>
  <c r="A33" i="89" s="1"/>
  <c r="F32" i="89"/>
  <c r="A32" i="89" s="1"/>
  <c r="F31" i="89"/>
  <c r="A31" i="89" s="1"/>
  <c r="F30" i="89"/>
  <c r="A30" i="89" s="1"/>
  <c r="F29" i="89"/>
  <c r="A29" i="89" s="1"/>
  <c r="F28" i="89"/>
  <c r="A28" i="89" s="1"/>
  <c r="F27" i="89"/>
  <c r="A27" i="89" s="1"/>
  <c r="F26" i="89"/>
  <c r="A26" i="89" s="1"/>
  <c r="F25" i="89"/>
  <c r="A25" i="89" s="1"/>
  <c r="F24" i="89"/>
  <c r="A24" i="89" s="1"/>
  <c r="F23" i="89"/>
  <c r="A23" i="89" s="1"/>
  <c r="F22" i="89"/>
  <c r="A22" i="89" s="1"/>
  <c r="F21" i="89"/>
  <c r="A21" i="89" s="1"/>
  <c r="F20" i="89"/>
  <c r="A20" i="89" s="1"/>
  <c r="F19" i="89"/>
  <c r="A19" i="89" s="1"/>
  <c r="F18" i="89"/>
  <c r="A18" i="89" s="1"/>
  <c r="F17" i="89"/>
  <c r="A17" i="89" s="1"/>
  <c r="F16" i="89"/>
  <c r="A16" i="89" s="1"/>
  <c r="F15" i="89"/>
  <c r="A15" i="89" s="1"/>
  <c r="F14" i="89"/>
  <c r="A14" i="89" s="1"/>
  <c r="F13" i="89"/>
  <c r="A13" i="89" s="1"/>
  <c r="F12" i="89"/>
  <c r="A12" i="89" s="1"/>
  <c r="F11" i="89"/>
  <c r="A11" i="89" s="1"/>
  <c r="F10" i="89"/>
  <c r="A10" i="89" s="1"/>
  <c r="F9" i="89"/>
  <c r="A9" i="89" s="1"/>
  <c r="F8" i="89"/>
  <c r="A8" i="89" s="1"/>
  <c r="F7" i="89"/>
  <c r="A7" i="89" s="1"/>
  <c r="F6" i="89"/>
  <c r="A6" i="89" s="1"/>
  <c r="F5" i="89"/>
  <c r="A5" i="89" s="1"/>
  <c r="F4" i="89"/>
  <c r="A4" i="89" s="1"/>
  <c r="B36" i="42"/>
  <c r="B35" i="42"/>
  <c r="B37" i="42"/>
  <c r="B38" i="42"/>
  <c r="D38" i="42" s="1"/>
  <c r="B39" i="42"/>
  <c r="B40" i="42"/>
  <c r="B42" i="42"/>
  <c r="B43" i="42"/>
  <c r="B44" i="42"/>
  <c r="B45" i="42"/>
  <c r="B46" i="42"/>
  <c r="D46" i="42" s="1"/>
  <c r="B47" i="42"/>
  <c r="B48" i="42"/>
  <c r="B49" i="42"/>
  <c r="B50" i="42"/>
  <c r="B51" i="42"/>
  <c r="B52" i="42"/>
  <c r="B53" i="42"/>
  <c r="B54" i="42"/>
  <c r="D54" i="42" s="1"/>
  <c r="B55" i="42"/>
  <c r="B11" i="42"/>
  <c r="B10" i="42"/>
  <c r="B12" i="42"/>
  <c r="B13" i="42"/>
  <c r="B14" i="42"/>
  <c r="B15" i="42"/>
  <c r="B16" i="42"/>
  <c r="D16" i="42" s="1"/>
  <c r="B17" i="42"/>
  <c r="B18" i="42"/>
  <c r="B19" i="42"/>
  <c r="B20" i="42"/>
  <c r="B21" i="42"/>
  <c r="B22" i="42"/>
  <c r="B23" i="42"/>
  <c r="B24" i="42"/>
  <c r="D24" i="42" s="1"/>
  <c r="B25" i="42"/>
  <c r="B26" i="42"/>
  <c r="B27" i="42"/>
  <c r="B28" i="42"/>
  <c r="B29" i="42"/>
  <c r="B30" i="42"/>
  <c r="C34" i="58"/>
  <c r="B10" i="31"/>
  <c r="D10" i="31" s="1"/>
  <c r="C426" i="26"/>
  <c r="F380" i="26"/>
  <c r="H381" i="26" s="1"/>
  <c r="H383" i="26" s="1"/>
  <c r="H384" i="26" s="1"/>
  <c r="H385" i="26" s="1"/>
  <c r="H386" i="26" s="1"/>
  <c r="H387" i="26" s="1"/>
  <c r="H388" i="26" s="1"/>
  <c r="H389" i="26" s="1"/>
  <c r="H390" i="26" s="1"/>
  <c r="H391" i="26" s="1"/>
  <c r="H392" i="26" s="1"/>
  <c r="H393" i="26" s="1"/>
  <c r="H394" i="26" s="1"/>
  <c r="H395" i="26" s="1"/>
  <c r="H396" i="26" s="1"/>
  <c r="H397" i="26" s="1"/>
  <c r="H398" i="26" s="1"/>
  <c r="H399" i="26" s="1"/>
  <c r="H400" i="26" s="1"/>
  <c r="H401" i="26" s="1"/>
  <c r="F353" i="26"/>
  <c r="F326" i="26"/>
  <c r="H327" i="26" s="1"/>
  <c r="H329" i="26" s="1"/>
  <c r="H330" i="26" s="1"/>
  <c r="H331" i="26" s="1"/>
  <c r="H332" i="26" s="1"/>
  <c r="H333" i="26" s="1"/>
  <c r="H334" i="26" s="1"/>
  <c r="H335" i="26" s="1"/>
  <c r="H336" i="26" s="1"/>
  <c r="H337" i="26" s="1"/>
  <c r="H338" i="26" s="1"/>
  <c r="H339" i="26" s="1"/>
  <c r="H340" i="26" s="1"/>
  <c r="H341" i="26" s="1"/>
  <c r="H342" i="26" s="1"/>
  <c r="H343" i="26" s="1"/>
  <c r="H344" i="26" s="1"/>
  <c r="H345" i="26" s="1"/>
  <c r="H346" i="26" s="1"/>
  <c r="H347" i="26" s="1"/>
  <c r="F298" i="26"/>
  <c r="H300" i="26" s="1"/>
  <c r="H302" i="26" s="1"/>
  <c r="H303" i="26" s="1"/>
  <c r="H304" i="26" s="1"/>
  <c r="H305" i="26" s="1"/>
  <c r="H306" i="26" s="1"/>
  <c r="H307" i="26" s="1"/>
  <c r="H308" i="26" s="1"/>
  <c r="H309" i="26" s="1"/>
  <c r="H310" i="26" s="1"/>
  <c r="H311" i="26" s="1"/>
  <c r="H312" i="26" s="1"/>
  <c r="H313" i="26" s="1"/>
  <c r="H314" i="26" s="1"/>
  <c r="H315" i="26" s="1"/>
  <c r="H316" i="26" s="1"/>
  <c r="H317" i="26" s="1"/>
  <c r="H318" i="26" s="1"/>
  <c r="H319" i="26" s="1"/>
  <c r="H320" i="26" s="1"/>
  <c r="F270" i="26"/>
  <c r="F242" i="26"/>
  <c r="F213" i="26"/>
  <c r="F184" i="26"/>
  <c r="H187" i="26" s="1"/>
  <c r="F189" i="26" s="1"/>
  <c r="F155" i="26"/>
  <c r="F125" i="26"/>
  <c r="H129" i="26" s="1"/>
  <c r="F95" i="26"/>
  <c r="H104" i="26" s="1"/>
  <c r="F65" i="26"/>
  <c r="H71" i="26" s="1"/>
  <c r="D426" i="26"/>
  <c r="B380" i="26"/>
  <c r="D380" i="26" s="1"/>
  <c r="B402" i="26"/>
  <c r="D402" i="26" s="1"/>
  <c r="B401" i="26"/>
  <c r="D401" i="26" s="1"/>
  <c r="B400" i="26"/>
  <c r="D400" i="26" s="1"/>
  <c r="B399" i="26"/>
  <c r="D399" i="26" s="1"/>
  <c r="B398" i="26"/>
  <c r="D398" i="26" s="1"/>
  <c r="B397" i="26"/>
  <c r="D397" i="26" s="1"/>
  <c r="B396" i="26"/>
  <c r="D396" i="26" s="1"/>
  <c r="B395" i="26"/>
  <c r="D395" i="26" s="1"/>
  <c r="B394" i="26"/>
  <c r="D394" i="26" s="1"/>
  <c r="B393" i="26"/>
  <c r="D393" i="26"/>
  <c r="B392" i="26"/>
  <c r="D392" i="26" s="1"/>
  <c r="B391" i="26"/>
  <c r="D391" i="26" s="1"/>
  <c r="B390" i="26"/>
  <c r="D390" i="26" s="1"/>
  <c r="B389" i="26"/>
  <c r="D389" i="26" s="1"/>
  <c r="B388" i="26"/>
  <c r="D388" i="26" s="1"/>
  <c r="B387" i="26"/>
  <c r="D387" i="26" s="1"/>
  <c r="B386" i="26"/>
  <c r="D386" i="26" s="1"/>
  <c r="B385" i="26"/>
  <c r="D385" i="26"/>
  <c r="B384" i="26"/>
  <c r="D384" i="26"/>
  <c r="B383" i="26"/>
  <c r="D383" i="26" s="1"/>
  <c r="B381" i="26"/>
  <c r="D381" i="26" s="1"/>
  <c r="B353" i="26"/>
  <c r="D353" i="26" s="1"/>
  <c r="B375" i="26"/>
  <c r="D375" i="26"/>
  <c r="B374" i="26"/>
  <c r="D374" i="26" s="1"/>
  <c r="B373" i="26"/>
  <c r="D373" i="26"/>
  <c r="B372" i="26"/>
  <c r="D372" i="26" s="1"/>
  <c r="B371" i="26"/>
  <c r="D371" i="26" s="1"/>
  <c r="B370" i="26"/>
  <c r="D370" i="26" s="1"/>
  <c r="B369" i="26"/>
  <c r="D369" i="26"/>
  <c r="B368" i="26"/>
  <c r="D368" i="26"/>
  <c r="B367" i="26"/>
  <c r="D367" i="26"/>
  <c r="B366" i="26"/>
  <c r="D366" i="26" s="1"/>
  <c r="B365" i="26"/>
  <c r="D365" i="26"/>
  <c r="B364" i="26"/>
  <c r="D364" i="26" s="1"/>
  <c r="B363" i="26"/>
  <c r="D363" i="26"/>
  <c r="B362" i="26"/>
  <c r="D362" i="26" s="1"/>
  <c r="B361" i="26"/>
  <c r="D361" i="26" s="1"/>
  <c r="B360" i="26"/>
  <c r="D360" i="26" s="1"/>
  <c r="B359" i="26"/>
  <c r="D359" i="26"/>
  <c r="B358" i="26"/>
  <c r="D358" i="26" s="1"/>
  <c r="B357" i="26"/>
  <c r="D357" i="26" s="1"/>
  <c r="B356" i="26"/>
  <c r="D356" i="26" s="1"/>
  <c r="B354" i="26"/>
  <c r="D354" i="26"/>
  <c r="B326" i="26"/>
  <c r="D326" i="26" s="1"/>
  <c r="B348" i="26"/>
  <c r="D348" i="26" s="1"/>
  <c r="B347" i="26"/>
  <c r="D347" i="26"/>
  <c r="B346" i="26"/>
  <c r="D346" i="26" s="1"/>
  <c r="B345" i="26"/>
  <c r="D345" i="26" s="1"/>
  <c r="B344" i="26"/>
  <c r="D344" i="26"/>
  <c r="B343" i="26"/>
  <c r="D343" i="26" s="1"/>
  <c r="B342" i="26"/>
  <c r="D342" i="26" s="1"/>
  <c r="B341" i="26"/>
  <c r="D341" i="26"/>
  <c r="B340" i="26"/>
  <c r="D340" i="26"/>
  <c r="B339" i="26"/>
  <c r="D339" i="26"/>
  <c r="B338" i="26"/>
  <c r="D338" i="26" s="1"/>
  <c r="B337" i="26"/>
  <c r="D337" i="26" s="1"/>
  <c r="B336" i="26"/>
  <c r="D336" i="26" s="1"/>
  <c r="B335" i="26"/>
  <c r="D335" i="26"/>
  <c r="B334" i="26"/>
  <c r="D334" i="26" s="1"/>
  <c r="B333" i="26"/>
  <c r="D333" i="26" s="1"/>
  <c r="B332" i="26"/>
  <c r="D332" i="26" s="1"/>
  <c r="B331" i="26"/>
  <c r="D331" i="26"/>
  <c r="B330" i="26"/>
  <c r="D330" i="26" s="1"/>
  <c r="B329" i="26"/>
  <c r="D329" i="26"/>
  <c r="B327" i="26"/>
  <c r="D327" i="26" s="1"/>
  <c r="B298" i="26"/>
  <c r="D298" i="26" s="1"/>
  <c r="B321" i="26"/>
  <c r="D321" i="26"/>
  <c r="B320" i="26"/>
  <c r="D320" i="26" s="1"/>
  <c r="B319" i="26"/>
  <c r="D319" i="26" s="1"/>
  <c r="B318" i="26"/>
  <c r="D318" i="26"/>
  <c r="B317" i="26"/>
  <c r="D317" i="26" s="1"/>
  <c r="B316" i="26"/>
  <c r="D316" i="26" s="1"/>
  <c r="B315" i="26"/>
  <c r="D315" i="26" s="1"/>
  <c r="B314" i="26"/>
  <c r="D314" i="26" s="1"/>
  <c r="B313" i="26"/>
  <c r="D313" i="26"/>
  <c r="B312" i="26"/>
  <c r="D312" i="26" s="1"/>
  <c r="B311" i="26"/>
  <c r="D311" i="26" s="1"/>
  <c r="B310" i="26"/>
  <c r="D310" i="26" s="1"/>
  <c r="B309" i="26"/>
  <c r="D309" i="26" s="1"/>
  <c r="B308" i="26"/>
  <c r="D308" i="26" s="1"/>
  <c r="B307" i="26"/>
  <c r="D307" i="26" s="1"/>
  <c r="B306" i="26"/>
  <c r="D306" i="26" s="1"/>
  <c r="B305" i="26"/>
  <c r="D305" i="26" s="1"/>
  <c r="B304" i="26"/>
  <c r="D304" i="26" s="1"/>
  <c r="B303" i="26"/>
  <c r="D303" i="26" s="1"/>
  <c r="B302" i="26"/>
  <c r="D302" i="26"/>
  <c r="B300" i="26"/>
  <c r="D300" i="26" s="1"/>
  <c r="B299" i="26"/>
  <c r="D299" i="26" s="1"/>
  <c r="B270" i="26"/>
  <c r="D270" i="26" s="1"/>
  <c r="B293" i="26"/>
  <c r="D293" i="26"/>
  <c r="B292" i="26"/>
  <c r="D292" i="26"/>
  <c r="B291" i="26"/>
  <c r="D291" i="26"/>
  <c r="B290" i="26"/>
  <c r="D290" i="26" s="1"/>
  <c r="B289" i="26"/>
  <c r="D289" i="26" s="1"/>
  <c r="B288" i="26"/>
  <c r="D288" i="26" s="1"/>
  <c r="B287" i="26"/>
  <c r="D287" i="26"/>
  <c r="B286" i="26"/>
  <c r="D286" i="26" s="1"/>
  <c r="B285" i="26"/>
  <c r="D285" i="26" s="1"/>
  <c r="B284" i="26"/>
  <c r="D284" i="26" s="1"/>
  <c r="B283" i="26"/>
  <c r="D283" i="26"/>
  <c r="B282" i="26"/>
  <c r="D282" i="26" s="1"/>
  <c r="B281" i="26"/>
  <c r="D281" i="26"/>
  <c r="B280" i="26"/>
  <c r="D280" i="26" s="1"/>
  <c r="B279" i="26"/>
  <c r="D279" i="26"/>
  <c r="B278" i="26"/>
  <c r="D278" i="26" s="1"/>
  <c r="B277" i="26"/>
  <c r="D277" i="26" s="1"/>
  <c r="B276" i="26"/>
  <c r="D276" i="26"/>
  <c r="B275" i="26"/>
  <c r="D275" i="26" s="1"/>
  <c r="B274" i="26"/>
  <c r="D274" i="26" s="1"/>
  <c r="B272" i="26"/>
  <c r="D272" i="26"/>
  <c r="B271" i="26"/>
  <c r="D271" i="26"/>
  <c r="B242" i="26"/>
  <c r="D242" i="26" s="1"/>
  <c r="B265" i="26"/>
  <c r="D265" i="26" s="1"/>
  <c r="B264" i="26"/>
  <c r="D264" i="26"/>
  <c r="B263" i="26"/>
  <c r="D263" i="26" s="1"/>
  <c r="B262" i="26"/>
  <c r="D262" i="26" s="1"/>
  <c r="B261" i="26"/>
  <c r="D261" i="26" s="1"/>
  <c r="B260" i="26"/>
  <c r="D260" i="26"/>
  <c r="B259" i="26"/>
  <c r="D259" i="26" s="1"/>
  <c r="B258" i="26"/>
  <c r="D258" i="26" s="1"/>
  <c r="B257" i="26"/>
  <c r="D257" i="26" s="1"/>
  <c r="B256" i="26"/>
  <c r="D256" i="26"/>
  <c r="B255" i="26"/>
  <c r="D255" i="26" s="1"/>
  <c r="B254" i="26"/>
  <c r="D254" i="26"/>
  <c r="B253" i="26"/>
  <c r="D253" i="26"/>
  <c r="B252" i="26"/>
  <c r="D252" i="26"/>
  <c r="B251" i="26"/>
  <c r="D251" i="26"/>
  <c r="B250" i="26"/>
  <c r="D250" i="26"/>
  <c r="B249" i="26"/>
  <c r="D249" i="26"/>
  <c r="B248" i="26"/>
  <c r="D248" i="26"/>
  <c r="B247" i="26"/>
  <c r="D247" i="26"/>
  <c r="B246" i="26"/>
  <c r="D246" i="26"/>
  <c r="B244" i="26"/>
  <c r="D244" i="26"/>
  <c r="B243" i="26"/>
  <c r="D243" i="26"/>
  <c r="B213" i="26"/>
  <c r="D213" i="26" s="1"/>
  <c r="B237" i="26"/>
  <c r="D237" i="26" s="1"/>
  <c r="B236" i="26"/>
  <c r="D236" i="26" s="1"/>
  <c r="B235" i="26"/>
  <c r="D235" i="26" s="1"/>
  <c r="B234" i="26"/>
  <c r="D234" i="26" s="1"/>
  <c r="B233" i="26"/>
  <c r="D233" i="26" s="1"/>
  <c r="B232" i="26"/>
  <c r="D232" i="26" s="1"/>
  <c r="B231" i="26"/>
  <c r="D231" i="26" s="1"/>
  <c r="B230" i="26"/>
  <c r="D230" i="26" s="1"/>
  <c r="B229" i="26"/>
  <c r="D229" i="26" s="1"/>
  <c r="B228" i="26"/>
  <c r="D228" i="26" s="1"/>
  <c r="B227" i="26"/>
  <c r="D227" i="26"/>
  <c r="B226" i="26"/>
  <c r="D226" i="26"/>
  <c r="B225" i="26"/>
  <c r="D225" i="26" s="1"/>
  <c r="B224" i="26"/>
  <c r="D224" i="26" s="1"/>
  <c r="B223" i="26"/>
  <c r="D223" i="26"/>
  <c r="B222" i="26"/>
  <c r="D222" i="26" s="1"/>
  <c r="B221" i="26"/>
  <c r="D221" i="26" s="1"/>
  <c r="B220" i="26"/>
  <c r="D220" i="26" s="1"/>
  <c r="B219" i="26"/>
  <c r="D219" i="26" s="1"/>
  <c r="B218" i="26"/>
  <c r="D218" i="26" s="1"/>
  <c r="B216" i="26"/>
  <c r="D216" i="26" s="1"/>
  <c r="B215" i="26"/>
  <c r="D215" i="26" s="1"/>
  <c r="B214" i="26"/>
  <c r="D214" i="26"/>
  <c r="B184" i="26"/>
  <c r="D184" i="26" s="1"/>
  <c r="G184" i="26" s="1"/>
  <c r="J184" i="26" s="1"/>
  <c r="F185" i="26" s="1"/>
  <c r="B208" i="26"/>
  <c r="D208" i="26"/>
  <c r="B207" i="26"/>
  <c r="D207" i="26"/>
  <c r="B206" i="26"/>
  <c r="D206" i="26" s="1"/>
  <c r="B205" i="26"/>
  <c r="D205" i="26"/>
  <c r="B204" i="26"/>
  <c r="D204" i="26" s="1"/>
  <c r="B203" i="26"/>
  <c r="D203" i="26" s="1"/>
  <c r="B202" i="26"/>
  <c r="D202" i="26" s="1"/>
  <c r="B201" i="26"/>
  <c r="D201" i="26"/>
  <c r="B200" i="26"/>
  <c r="D200" i="26"/>
  <c r="B199" i="26"/>
  <c r="D199" i="26"/>
  <c r="B198" i="26"/>
  <c r="D198" i="26" s="1"/>
  <c r="B197" i="26"/>
  <c r="D197" i="26" s="1"/>
  <c r="B196" i="26"/>
  <c r="D196" i="26"/>
  <c r="B195" i="26"/>
  <c r="D195" i="26" s="1"/>
  <c r="B194" i="26"/>
  <c r="D194" i="26" s="1"/>
  <c r="B193" i="26"/>
  <c r="D193" i="26"/>
  <c r="B192" i="26"/>
  <c r="D192" i="26"/>
  <c r="B191" i="26"/>
  <c r="D191" i="26"/>
  <c r="B190" i="26"/>
  <c r="D190" i="26" s="1"/>
  <c r="B189" i="26"/>
  <c r="D189" i="26" s="1"/>
  <c r="B187" i="26"/>
  <c r="D187" i="26" s="1"/>
  <c r="B186" i="26"/>
  <c r="D186" i="26"/>
  <c r="B185" i="26"/>
  <c r="D185" i="26" s="1"/>
  <c r="B155" i="26"/>
  <c r="D155" i="26" s="1"/>
  <c r="B179" i="26"/>
  <c r="D179" i="26" s="1"/>
  <c r="B178" i="26"/>
  <c r="D178" i="26"/>
  <c r="B177" i="26"/>
  <c r="D177" i="26"/>
  <c r="B176" i="26"/>
  <c r="D176" i="26"/>
  <c r="B175" i="26"/>
  <c r="D175" i="26" s="1"/>
  <c r="B174" i="26"/>
  <c r="D174" i="26" s="1"/>
  <c r="B173" i="26"/>
  <c r="D173" i="26" s="1"/>
  <c r="B172" i="26"/>
  <c r="D172" i="26"/>
  <c r="B171" i="26"/>
  <c r="D171" i="26" s="1"/>
  <c r="B170" i="26"/>
  <c r="D170" i="26"/>
  <c r="B169" i="26"/>
  <c r="D169" i="26"/>
  <c r="B168" i="26"/>
  <c r="D168" i="26"/>
  <c r="B167" i="26"/>
  <c r="D167" i="26" s="1"/>
  <c r="B166" i="26"/>
  <c r="D166" i="26" s="1"/>
  <c r="B165" i="26"/>
  <c r="D165" i="26" s="1"/>
  <c r="B164" i="26"/>
  <c r="D164" i="26" s="1"/>
  <c r="B163" i="26"/>
  <c r="D163" i="26" s="1"/>
  <c r="B162" i="26"/>
  <c r="D162" i="26"/>
  <c r="B161" i="26"/>
  <c r="D161" i="26"/>
  <c r="B160" i="26"/>
  <c r="D160" i="26"/>
  <c r="B158" i="26"/>
  <c r="D158" i="26" s="1"/>
  <c r="B157" i="26"/>
  <c r="D157" i="26"/>
  <c r="B156" i="26"/>
  <c r="D156" i="26" s="1"/>
  <c r="B125" i="26"/>
  <c r="D125" i="26" s="1"/>
  <c r="B150" i="26"/>
  <c r="D150" i="26" s="1"/>
  <c r="B149" i="26"/>
  <c r="D149" i="26"/>
  <c r="B148" i="26"/>
  <c r="D148" i="26" s="1"/>
  <c r="B147" i="26"/>
  <c r="D147" i="26" s="1"/>
  <c r="B146" i="26"/>
  <c r="D146" i="26" s="1"/>
  <c r="B145" i="26"/>
  <c r="D145" i="26" s="1"/>
  <c r="B144" i="26"/>
  <c r="D144" i="26" s="1"/>
  <c r="B143" i="26"/>
  <c r="D143" i="26" s="1"/>
  <c r="B142" i="26"/>
  <c r="D142" i="26" s="1"/>
  <c r="B141" i="26"/>
  <c r="D141" i="26" s="1"/>
  <c r="B140" i="26"/>
  <c r="D140" i="26" s="1"/>
  <c r="B139" i="26"/>
  <c r="D139" i="26" s="1"/>
  <c r="B138" i="26"/>
  <c r="D138" i="26" s="1"/>
  <c r="B137" i="26"/>
  <c r="D137" i="26"/>
  <c r="B136" i="26"/>
  <c r="D136" i="26" s="1"/>
  <c r="B135" i="26"/>
  <c r="D135" i="26" s="1"/>
  <c r="B134" i="26"/>
  <c r="D134" i="26" s="1"/>
  <c r="B133" i="26"/>
  <c r="D133" i="26"/>
  <c r="B132" i="26"/>
  <c r="D132" i="26" s="1"/>
  <c r="B131" i="26"/>
  <c r="D131" i="26" s="1"/>
  <c r="B129" i="26"/>
  <c r="D129" i="26" s="1"/>
  <c r="B128" i="26"/>
  <c r="D128" i="26" s="1"/>
  <c r="B127" i="26"/>
  <c r="D127" i="26" s="1"/>
  <c r="B126" i="26"/>
  <c r="D126" i="26" s="1"/>
  <c r="B101" i="26"/>
  <c r="D101" i="26" s="1"/>
  <c r="B95" i="26"/>
  <c r="D95" i="26" s="1"/>
  <c r="B71" i="26"/>
  <c r="D71" i="26" s="1"/>
  <c r="B66" i="26"/>
  <c r="D66" i="26" s="1"/>
  <c r="B65" i="26"/>
  <c r="D65" i="26" s="1"/>
  <c r="E30" i="26"/>
  <c r="C30" i="26"/>
  <c r="B75" i="58"/>
  <c r="A75" i="58"/>
  <c r="A41" i="58"/>
  <c r="E34" i="58"/>
  <c r="D34" i="58"/>
  <c r="F33" i="58"/>
  <c r="A33" i="58"/>
  <c r="F32" i="58"/>
  <c r="A32" i="58" s="1"/>
  <c r="F31" i="58"/>
  <c r="A31" i="58" s="1"/>
  <c r="F30" i="58"/>
  <c r="A30" i="58" s="1"/>
  <c r="F29" i="58"/>
  <c r="A29" i="58"/>
  <c r="F28" i="58"/>
  <c r="A28" i="58"/>
  <c r="F27" i="58"/>
  <c r="A27" i="58" s="1"/>
  <c r="F26" i="58"/>
  <c r="A26" i="58" s="1"/>
  <c r="F25" i="58"/>
  <c r="A25" i="58"/>
  <c r="F24" i="58"/>
  <c r="A24" i="58" s="1"/>
  <c r="F23" i="58"/>
  <c r="A23" i="58" s="1"/>
  <c r="F22" i="58"/>
  <c r="A22" i="58" s="1"/>
  <c r="F21" i="58"/>
  <c r="A21" i="58"/>
  <c r="F20" i="58"/>
  <c r="A20" i="58" s="1"/>
  <c r="F19" i="58"/>
  <c r="A19" i="58" s="1"/>
  <c r="F18" i="58"/>
  <c r="A18" i="58" s="1"/>
  <c r="F17" i="58"/>
  <c r="A17" i="58"/>
  <c r="F16" i="58"/>
  <c r="A16" i="58" s="1"/>
  <c r="F15" i="58"/>
  <c r="A15" i="58" s="1"/>
  <c r="F14" i="58"/>
  <c r="A14" i="58" s="1"/>
  <c r="F13" i="58"/>
  <c r="A13" i="58"/>
  <c r="F12" i="58"/>
  <c r="A12" i="58"/>
  <c r="F11" i="58"/>
  <c r="A11" i="58" s="1"/>
  <c r="F10" i="58"/>
  <c r="A10" i="58" s="1"/>
  <c r="F9" i="58"/>
  <c r="A9" i="58"/>
  <c r="F8" i="58"/>
  <c r="A8" i="58" s="1"/>
  <c r="F7" i="58"/>
  <c r="A7" i="58" s="1"/>
  <c r="F6" i="58"/>
  <c r="A6" i="58" s="1"/>
  <c r="F5" i="58"/>
  <c r="F4" i="58"/>
  <c r="D30" i="26"/>
  <c r="D55" i="42"/>
  <c r="D53" i="42"/>
  <c r="D52" i="42"/>
  <c r="D51" i="42"/>
  <c r="D50" i="42"/>
  <c r="D49" i="42"/>
  <c r="D48" i="42"/>
  <c r="D47" i="42"/>
  <c r="D45" i="42"/>
  <c r="D44" i="42"/>
  <c r="D43" i="42"/>
  <c r="D42" i="42"/>
  <c r="D41" i="42"/>
  <c r="D40" i="42"/>
  <c r="D39" i="42"/>
  <c r="D37" i="42"/>
  <c r="D36" i="42"/>
  <c r="D35" i="42"/>
  <c r="G35" i="42" s="1"/>
  <c r="B22" i="32" s="1"/>
  <c r="D25" i="42"/>
  <c r="D26" i="42"/>
  <c r="D27" i="42"/>
  <c r="D28" i="42"/>
  <c r="D29" i="42"/>
  <c r="D30" i="42"/>
  <c r="G2" i="24"/>
  <c r="G3" i="24"/>
  <c r="G4" i="24"/>
  <c r="G5" i="24"/>
  <c r="G6" i="24"/>
  <c r="G7" i="24"/>
  <c r="G8" i="24"/>
  <c r="G9" i="24"/>
  <c r="G10" i="24"/>
  <c r="G11" i="24"/>
  <c r="G12" i="24"/>
  <c r="G13" i="24"/>
  <c r="G14" i="24"/>
  <c r="G15" i="24"/>
  <c r="G16" i="24"/>
  <c r="G17" i="24"/>
  <c r="G18" i="24"/>
  <c r="G19" i="24"/>
  <c r="G20" i="24"/>
  <c r="G21" i="24"/>
  <c r="G22" i="24"/>
  <c r="G23" i="24"/>
  <c r="G24" i="24"/>
  <c r="G25" i="24"/>
  <c r="G26" i="24"/>
  <c r="D3" i="42"/>
  <c r="B64" i="24"/>
  <c r="D64" i="24"/>
  <c r="B65" i="24"/>
  <c r="D65" i="24"/>
  <c r="D66" i="24"/>
  <c r="B67" i="24"/>
  <c r="D67" i="24"/>
  <c r="B68" i="24"/>
  <c r="D68" i="24" s="1"/>
  <c r="B69" i="24"/>
  <c r="D69" i="24"/>
  <c r="B70" i="24"/>
  <c r="D70" i="24"/>
  <c r="B71" i="24"/>
  <c r="D71" i="24"/>
  <c r="B72" i="24"/>
  <c r="D72" i="24" s="1"/>
  <c r="B74" i="24"/>
  <c r="D74" i="24" s="1"/>
  <c r="B75" i="24"/>
  <c r="D75" i="24"/>
  <c r="H75" i="24"/>
  <c r="B76" i="24"/>
  <c r="D76" i="24" s="1"/>
  <c r="B77" i="24"/>
  <c r="D77" i="24" s="1"/>
  <c r="B78" i="24"/>
  <c r="D78" i="24" s="1"/>
  <c r="B79" i="24"/>
  <c r="D79" i="24"/>
  <c r="B80" i="24"/>
  <c r="D80" i="24"/>
  <c r="B81" i="24"/>
  <c r="D81" i="24" s="1"/>
  <c r="B82" i="24"/>
  <c r="D82" i="24" s="1"/>
  <c r="B83" i="24"/>
  <c r="D83" i="24" s="1"/>
  <c r="H83" i="24"/>
  <c r="B84" i="24"/>
  <c r="D84" i="24"/>
  <c r="H84" i="24"/>
  <c r="B85" i="24"/>
  <c r="D85" i="24"/>
  <c r="B86" i="24"/>
  <c r="D86" i="24"/>
  <c r="B87" i="24"/>
  <c r="D87" i="24"/>
  <c r="B88" i="24"/>
  <c r="D88" i="24"/>
  <c r="B89" i="24"/>
  <c r="D89" i="24"/>
  <c r="H89" i="24"/>
  <c r="B90" i="24"/>
  <c r="D90" i="24"/>
  <c r="B91" i="24"/>
  <c r="D91" i="24" s="1"/>
  <c r="B92" i="24"/>
  <c r="D92" i="24" s="1"/>
  <c r="B40" i="24"/>
  <c r="D40" i="24"/>
  <c r="D41" i="24"/>
  <c r="B42" i="24"/>
  <c r="D42" i="24" s="1"/>
  <c r="B43" i="24"/>
  <c r="D43" i="24"/>
  <c r="B44" i="24"/>
  <c r="D44" i="24" s="1"/>
  <c r="B45" i="24"/>
  <c r="D45" i="24" s="1"/>
  <c r="B46" i="24"/>
  <c r="D46" i="24"/>
  <c r="B47" i="24"/>
  <c r="D47" i="24"/>
  <c r="B48" i="24"/>
  <c r="D48" i="24"/>
  <c r="B49" i="24"/>
  <c r="D49" i="24" s="1"/>
  <c r="B50" i="24"/>
  <c r="D50" i="24" s="1"/>
  <c r="B51" i="24"/>
  <c r="D51" i="24"/>
  <c r="B52" i="24"/>
  <c r="D52" i="24"/>
  <c r="B53" i="24"/>
  <c r="D53" i="24" s="1"/>
  <c r="B54" i="24"/>
  <c r="D54" i="24" s="1"/>
  <c r="B55" i="24"/>
  <c r="D55" i="24"/>
  <c r="B56" i="24"/>
  <c r="D56" i="24" s="1"/>
  <c r="B57" i="24"/>
  <c r="D57" i="24" s="1"/>
  <c r="B18" i="17"/>
  <c r="D18" i="17" s="1"/>
  <c r="B17" i="17"/>
  <c r="D17" i="17"/>
  <c r="D16" i="17"/>
  <c r="G2" i="42"/>
  <c r="G3" i="42"/>
  <c r="E3" i="42"/>
  <c r="F3" i="42"/>
  <c r="F35" i="42"/>
  <c r="D10" i="42"/>
  <c r="D11" i="42"/>
  <c r="D12" i="42"/>
  <c r="D13" i="42"/>
  <c r="D14" i="42"/>
  <c r="D15" i="42"/>
  <c r="D17" i="42"/>
  <c r="D18" i="42"/>
  <c r="D19" i="42"/>
  <c r="D20" i="42"/>
  <c r="D21" i="42"/>
  <c r="D22" i="42"/>
  <c r="D23" i="42"/>
  <c r="D3" i="31"/>
  <c r="G2" i="31"/>
  <c r="G3" i="31" s="1"/>
  <c r="E3" i="31"/>
  <c r="F3" i="31"/>
  <c r="D14" i="31"/>
  <c r="D20" i="31"/>
  <c r="D21" i="31"/>
  <c r="D27" i="31"/>
  <c r="D28" i="31"/>
  <c r="D29" i="31"/>
  <c r="D30" i="31"/>
  <c r="B67" i="26"/>
  <c r="D67" i="26" s="1"/>
  <c r="B68" i="26"/>
  <c r="D68" i="26" s="1"/>
  <c r="B69" i="26"/>
  <c r="D69" i="26"/>
  <c r="B90" i="26"/>
  <c r="D90" i="26"/>
  <c r="B119" i="26"/>
  <c r="D119" i="26"/>
  <c r="B89" i="26"/>
  <c r="D89" i="26" s="1"/>
  <c r="B118" i="26"/>
  <c r="D118" i="26" s="1"/>
  <c r="B88" i="26"/>
  <c r="D88" i="26" s="1"/>
  <c r="B117" i="26"/>
  <c r="D117" i="26" s="1"/>
  <c r="B87" i="26"/>
  <c r="D87" i="26" s="1"/>
  <c r="B116" i="26"/>
  <c r="D116" i="26" s="1"/>
  <c r="B86" i="26"/>
  <c r="D86" i="26" s="1"/>
  <c r="B115" i="26"/>
  <c r="D115" i="26" s="1"/>
  <c r="B85" i="26"/>
  <c r="D85" i="26" s="1"/>
  <c r="B114" i="26"/>
  <c r="D114" i="26" s="1"/>
  <c r="B84" i="26"/>
  <c r="D84" i="26" s="1"/>
  <c r="B113" i="26"/>
  <c r="D113" i="26" s="1"/>
  <c r="B83" i="26"/>
  <c r="D83" i="26" s="1"/>
  <c r="B112" i="26"/>
  <c r="D112" i="26"/>
  <c r="B82" i="26"/>
  <c r="D82" i="26" s="1"/>
  <c r="B111" i="26"/>
  <c r="D111" i="26" s="1"/>
  <c r="B81" i="26"/>
  <c r="D81" i="26" s="1"/>
  <c r="B110" i="26"/>
  <c r="D110" i="26" s="1"/>
  <c r="B80" i="26"/>
  <c r="D80" i="26"/>
  <c r="B109" i="26"/>
  <c r="D109" i="26" s="1"/>
  <c r="B79" i="26"/>
  <c r="D79" i="26" s="1"/>
  <c r="B108" i="26"/>
  <c r="D108" i="26"/>
  <c r="B96" i="26"/>
  <c r="D96" i="26" s="1"/>
  <c r="B97" i="26"/>
  <c r="D97" i="26" s="1"/>
  <c r="B98" i="26"/>
  <c r="D98" i="26"/>
  <c r="B99" i="26"/>
  <c r="D99" i="26" s="1"/>
  <c r="B120" i="26"/>
  <c r="D120" i="26"/>
  <c r="B107" i="26"/>
  <c r="D107" i="26" s="1"/>
  <c r="B106" i="26"/>
  <c r="D106" i="26"/>
  <c r="B105" i="26"/>
  <c r="D105" i="26" s="1"/>
  <c r="B104" i="26"/>
  <c r="D104" i="26" s="1"/>
  <c r="B103" i="26"/>
  <c r="D103" i="26"/>
  <c r="B102" i="26"/>
  <c r="D102" i="26" s="1"/>
  <c r="B37" i="26"/>
  <c r="D37" i="26" s="1"/>
  <c r="B52" i="26"/>
  <c r="D52" i="26" s="1"/>
  <c r="B53" i="26"/>
  <c r="D53" i="26" s="1"/>
  <c r="B54" i="26"/>
  <c r="D54" i="26" s="1"/>
  <c r="B55" i="26"/>
  <c r="D55" i="26" s="1"/>
  <c r="B56" i="26"/>
  <c r="D56" i="26" s="1"/>
  <c r="B57" i="26"/>
  <c r="D57" i="26" s="1"/>
  <c r="B58" i="26"/>
  <c r="D58" i="26" s="1"/>
  <c r="B59" i="26"/>
  <c r="D59" i="26" s="1"/>
  <c r="B51" i="26"/>
  <c r="D51" i="26" s="1"/>
  <c r="B50" i="26"/>
  <c r="D50" i="26" s="1"/>
  <c r="B49" i="26"/>
  <c r="D49" i="26" s="1"/>
  <c r="B48" i="26"/>
  <c r="D48" i="26" s="1"/>
  <c r="B47" i="26"/>
  <c r="D47" i="26" s="1"/>
  <c r="B46" i="26"/>
  <c r="D46" i="26" s="1"/>
  <c r="B45" i="26"/>
  <c r="D45" i="26" s="1"/>
  <c r="B44" i="26"/>
  <c r="D44" i="26" s="1"/>
  <c r="B43" i="26"/>
  <c r="D43" i="26" s="1"/>
  <c r="B42" i="26"/>
  <c r="D42" i="26" s="1"/>
  <c r="D41" i="26"/>
  <c r="B78" i="26"/>
  <c r="D78" i="26" s="1"/>
  <c r="B77" i="26"/>
  <c r="D77" i="26" s="1"/>
  <c r="B76" i="26"/>
  <c r="D76" i="26" s="1"/>
  <c r="B75" i="26"/>
  <c r="D75" i="26"/>
  <c r="B74" i="26"/>
  <c r="D74" i="26" s="1"/>
  <c r="B73" i="26"/>
  <c r="D73" i="26" s="1"/>
  <c r="B72" i="26"/>
  <c r="D72" i="26" s="1"/>
  <c r="D9" i="17"/>
  <c r="B19" i="17"/>
  <c r="D19" i="17"/>
  <c r="G19" i="17"/>
  <c r="B20" i="17"/>
  <c r="D20" i="17" s="1"/>
  <c r="B21" i="17"/>
  <c r="D21" i="17"/>
  <c r="F3" i="26"/>
  <c r="F4" i="26"/>
  <c r="F5" i="26"/>
  <c r="F6" i="26"/>
  <c r="F7" i="26"/>
  <c r="F8" i="26"/>
  <c r="F9" i="26"/>
  <c r="F10" i="26"/>
  <c r="F11" i="26"/>
  <c r="F12" i="26"/>
  <c r="F13" i="26"/>
  <c r="F14" i="26"/>
  <c r="F15" i="26"/>
  <c r="F16" i="26"/>
  <c r="F17" i="26"/>
  <c r="F18" i="26"/>
  <c r="F19" i="26"/>
  <c r="F20" i="26"/>
  <c r="F21" i="26"/>
  <c r="F22" i="26"/>
  <c r="F23" i="26"/>
  <c r="F24" i="26"/>
  <c r="F25" i="26"/>
  <c r="F26" i="26"/>
  <c r="F27" i="26"/>
  <c r="F28" i="26"/>
  <c r="F29" i="26"/>
  <c r="E29" i="24"/>
  <c r="G2" i="17"/>
  <c r="G3" i="17"/>
  <c r="G4" i="17"/>
  <c r="G5" i="17"/>
  <c r="G6" i="17"/>
  <c r="G7" i="17"/>
  <c r="G8" i="17"/>
  <c r="E9" i="17"/>
  <c r="F9" i="17"/>
  <c r="B22" i="17"/>
  <c r="D22" i="17" s="1"/>
  <c r="B23" i="17"/>
  <c r="D23" i="17"/>
  <c r="B24" i="17"/>
  <c r="D24" i="17"/>
  <c r="B25" i="17"/>
  <c r="D25" i="17"/>
  <c r="B26" i="17"/>
  <c r="D26" i="17" s="1"/>
  <c r="B27" i="17"/>
  <c r="D27" i="17"/>
  <c r="B28" i="17"/>
  <c r="D28" i="17"/>
  <c r="B29" i="17"/>
  <c r="D29" i="17"/>
  <c r="B30" i="17"/>
  <c r="D30" i="17" s="1"/>
  <c r="B31" i="17"/>
  <c r="D31" i="17"/>
  <c r="B32" i="17"/>
  <c r="D32" i="17"/>
  <c r="B33" i="17"/>
  <c r="D33" i="17"/>
  <c r="B34" i="17"/>
  <c r="D34" i="17" s="1"/>
  <c r="B35" i="17"/>
  <c r="D35" i="17"/>
  <c r="G15" i="32"/>
  <c r="G15" i="33"/>
  <c r="H35" i="17"/>
  <c r="H33" i="17"/>
  <c r="E15" i="33" s="1"/>
  <c r="H31" i="17"/>
  <c r="C15" i="33" s="1"/>
  <c r="H29" i="17"/>
  <c r="E15" i="32"/>
  <c r="H27" i="17"/>
  <c r="C15" i="32"/>
  <c r="H25" i="17"/>
  <c r="H23" i="17"/>
  <c r="H21" i="17"/>
  <c r="H19" i="17"/>
  <c r="H17" i="17"/>
  <c r="F16" i="17"/>
  <c r="G16" i="17" s="1"/>
  <c r="H34" i="17"/>
  <c r="H32" i="17"/>
  <c r="D15" i="33" s="1"/>
  <c r="H30" i="17"/>
  <c r="B15" i="33" s="1"/>
  <c r="H28" i="17"/>
  <c r="D15" i="32"/>
  <c r="H26" i="17"/>
  <c r="B15" i="32"/>
  <c r="H24" i="17"/>
  <c r="H22" i="17"/>
  <c r="H20" i="17"/>
  <c r="H18" i="17"/>
  <c r="H16" i="17"/>
  <c r="H15" i="32"/>
  <c r="F5" i="32"/>
  <c r="F17" i="17"/>
  <c r="F18" i="17" s="1"/>
  <c r="J18" i="17"/>
  <c r="H35" i="42"/>
  <c r="H10" i="42"/>
  <c r="G5" i="33"/>
  <c r="G27" i="24"/>
  <c r="A4" i="58"/>
  <c r="C75" i="58"/>
  <c r="C45" i="58"/>
  <c r="A50" i="58"/>
  <c r="A51" i="58"/>
  <c r="H36" i="42"/>
  <c r="F19" i="17"/>
  <c r="F20" i="17" s="1"/>
  <c r="F21" i="17" s="1"/>
  <c r="F22" i="17" s="1"/>
  <c r="F23" i="17" s="1"/>
  <c r="F24" i="17" s="1"/>
  <c r="F25" i="17" s="1"/>
  <c r="F26" i="17" s="1"/>
  <c r="F27" i="17" s="1"/>
  <c r="F28" i="17" s="1"/>
  <c r="F29" i="17" s="1"/>
  <c r="F30" i="17" s="1"/>
  <c r="F31" i="17" s="1"/>
  <c r="F32" i="17" s="1"/>
  <c r="F33" i="17" s="1"/>
  <c r="F34" i="17"/>
  <c r="G29" i="24"/>
  <c r="H38" i="24"/>
  <c r="H39" i="24"/>
  <c r="J38" i="24"/>
  <c r="F39" i="24"/>
  <c r="J39" i="24" s="1"/>
  <c r="F40" i="24" s="1"/>
  <c r="H40" i="24"/>
  <c r="H11" i="42"/>
  <c r="B20" i="32"/>
  <c r="C20" i="32"/>
  <c r="H12" i="42"/>
  <c r="D20" i="32"/>
  <c r="H13" i="42"/>
  <c r="F36" i="42"/>
  <c r="G36" i="42"/>
  <c r="C22" i="32" s="1"/>
  <c r="F37" i="42"/>
  <c r="G37" i="42"/>
  <c r="D22" i="32" s="1"/>
  <c r="G10" i="33"/>
  <c r="C20" i="33"/>
  <c r="G75" i="58"/>
  <c r="C51" i="58"/>
  <c r="I51" i="58"/>
  <c r="B51" i="58"/>
  <c r="B35" i="33"/>
  <c r="G34" i="17"/>
  <c r="F35" i="17"/>
  <c r="G35" i="17" s="1"/>
  <c r="G32" i="17"/>
  <c r="D16" i="33" s="1"/>
  <c r="G30" i="17"/>
  <c r="B16" i="33"/>
  <c r="G28" i="17"/>
  <c r="D16" i="32" s="1"/>
  <c r="G26" i="17"/>
  <c r="B16" i="32" s="1"/>
  <c r="G24" i="17"/>
  <c r="G22" i="17"/>
  <c r="G33" i="17"/>
  <c r="E16" i="33" s="1"/>
  <c r="G31" i="17"/>
  <c r="C16" i="33" s="1"/>
  <c r="G29" i="17"/>
  <c r="E16" i="32" s="1"/>
  <c r="G27" i="17"/>
  <c r="C16" i="32" s="1"/>
  <c r="G25" i="17"/>
  <c r="G23" i="17"/>
  <c r="G21" i="17"/>
  <c r="H15" i="33"/>
  <c r="I48" i="58"/>
  <c r="D52" i="58"/>
  <c r="C53" i="58" s="1"/>
  <c r="F34" i="58"/>
  <c r="G35" i="33" s="1"/>
  <c r="A5" i="58"/>
  <c r="I50" i="58"/>
  <c r="A76" i="58"/>
  <c r="F15" i="32" l="1"/>
  <c r="I15" i="33"/>
  <c r="H40" i="26"/>
  <c r="G95" i="26"/>
  <c r="J95" i="26" s="1"/>
  <c r="F96" i="26" s="1"/>
  <c r="G96" i="26" s="1"/>
  <c r="J96" i="26" s="1"/>
  <c r="F97" i="26" s="1"/>
  <c r="G97" i="26" s="1"/>
  <c r="J97" i="26" s="1"/>
  <c r="F98" i="26" s="1"/>
  <c r="G98" i="26" s="1"/>
  <c r="G380" i="26"/>
  <c r="J380" i="26" s="1"/>
  <c r="F381" i="26" s="1"/>
  <c r="G381" i="26" s="1"/>
  <c r="G382" i="26" s="1"/>
  <c r="I383" i="26" s="1"/>
  <c r="I50" i="89"/>
  <c r="G48" i="89"/>
  <c r="I48" i="89"/>
  <c r="I49" i="89"/>
  <c r="F34" i="89"/>
  <c r="G45" i="89" s="1"/>
  <c r="H45" i="89" s="1"/>
  <c r="F14" i="31"/>
  <c r="F10" i="31"/>
  <c r="G10" i="31" s="1"/>
  <c r="G25" i="33"/>
  <c r="F25" i="33"/>
  <c r="G185" i="26"/>
  <c r="J185" i="26" s="1"/>
  <c r="F186" i="26" s="1"/>
  <c r="G186" i="26" s="1"/>
  <c r="J186" i="26" s="1"/>
  <c r="F187" i="26" s="1"/>
  <c r="G187" i="26" s="1"/>
  <c r="G188" i="26" s="1"/>
  <c r="G353" i="26"/>
  <c r="J353" i="26" s="1"/>
  <c r="F354" i="26" s="1"/>
  <c r="H116" i="26"/>
  <c r="F37" i="26"/>
  <c r="G37" i="26" s="1"/>
  <c r="H189" i="26"/>
  <c r="H190" i="26" s="1"/>
  <c r="H191" i="26" s="1"/>
  <c r="H192" i="26" s="1"/>
  <c r="H193" i="26" s="1"/>
  <c r="H194" i="26" s="1"/>
  <c r="H195" i="26" s="1"/>
  <c r="H196" i="26" s="1"/>
  <c r="H197" i="26" s="1"/>
  <c r="H198" i="26" s="1"/>
  <c r="H199" i="26" s="1"/>
  <c r="H200" i="26" s="1"/>
  <c r="H201" i="26" s="1"/>
  <c r="H202" i="26" s="1"/>
  <c r="H203" i="26" s="1"/>
  <c r="H204" i="26" s="1"/>
  <c r="H205" i="26" s="1"/>
  <c r="H206" i="26" s="1"/>
  <c r="H207" i="26" s="1"/>
  <c r="F30" i="26"/>
  <c r="H118" i="26"/>
  <c r="H117" i="26"/>
  <c r="G242" i="26"/>
  <c r="G298" i="26"/>
  <c r="J298" i="26" s="1"/>
  <c r="F299" i="26" s="1"/>
  <c r="G299" i="26" s="1"/>
  <c r="J299" i="26" s="1"/>
  <c r="F300" i="26" s="1"/>
  <c r="G300" i="26" s="1"/>
  <c r="G301" i="26" s="1"/>
  <c r="H101" i="26"/>
  <c r="F383" i="26"/>
  <c r="F384" i="26" s="1"/>
  <c r="G384" i="26" s="1"/>
  <c r="H109" i="26"/>
  <c r="H77" i="26"/>
  <c r="H85" i="26"/>
  <c r="F302" i="26"/>
  <c r="G302" i="26" s="1"/>
  <c r="G20" i="33"/>
  <c r="H84" i="26"/>
  <c r="H108" i="26"/>
  <c r="H76" i="26"/>
  <c r="H110" i="26"/>
  <c r="H102" i="26"/>
  <c r="G326" i="26"/>
  <c r="J326" i="26" s="1"/>
  <c r="F327" i="26" s="1"/>
  <c r="G327" i="26" s="1"/>
  <c r="G328" i="26" s="1"/>
  <c r="G189" i="26"/>
  <c r="G65" i="26"/>
  <c r="J65" i="26" s="1"/>
  <c r="F66" i="26" s="1"/>
  <c r="G66" i="26" s="1"/>
  <c r="H83" i="26"/>
  <c r="H74" i="26"/>
  <c r="F329" i="26"/>
  <c r="F330" i="26" s="1"/>
  <c r="H111" i="26"/>
  <c r="H103" i="26"/>
  <c r="H86" i="26"/>
  <c r="H78" i="26"/>
  <c r="G270" i="26"/>
  <c r="J270" i="26" s="1"/>
  <c r="F271" i="26" s="1"/>
  <c r="H82" i="26"/>
  <c r="H99" i="26"/>
  <c r="F101" i="26" s="1"/>
  <c r="G101" i="26" s="1"/>
  <c r="H114" i="26"/>
  <c r="H106" i="26"/>
  <c r="H89" i="26"/>
  <c r="H81" i="26"/>
  <c r="H73" i="26"/>
  <c r="G125" i="26"/>
  <c r="J125" i="26" s="1"/>
  <c r="F126" i="26" s="1"/>
  <c r="G126" i="26" s="1"/>
  <c r="J126" i="26" s="1"/>
  <c r="F127" i="26" s="1"/>
  <c r="G127" i="26" s="1"/>
  <c r="H107" i="26"/>
  <c r="H119" i="26"/>
  <c r="H113" i="26"/>
  <c r="H105" i="26"/>
  <c r="H88" i="26"/>
  <c r="H80" i="26"/>
  <c r="H72" i="26"/>
  <c r="H75" i="26"/>
  <c r="H69" i="26"/>
  <c r="F71" i="26" s="1"/>
  <c r="F72" i="26" s="1"/>
  <c r="H115" i="26"/>
  <c r="H112" i="26"/>
  <c r="H87" i="26"/>
  <c r="H79" i="26"/>
  <c r="F16" i="33"/>
  <c r="F16" i="32"/>
  <c r="D51" i="58"/>
  <c r="A52" i="58"/>
  <c r="I53" i="58"/>
  <c r="G40" i="24"/>
  <c r="J40" i="24"/>
  <c r="F41" i="24" s="1"/>
  <c r="I75" i="58"/>
  <c r="J75" i="58" s="1"/>
  <c r="F38" i="42"/>
  <c r="G39" i="24"/>
  <c r="H20" i="32"/>
  <c r="H14" i="42"/>
  <c r="E20" i="32"/>
  <c r="H41" i="24"/>
  <c r="I15" i="32"/>
  <c r="G9" i="17"/>
  <c r="G18" i="17"/>
  <c r="H74" i="24"/>
  <c r="H72" i="24"/>
  <c r="H90" i="24"/>
  <c r="H77" i="24"/>
  <c r="H82" i="24"/>
  <c r="H78" i="24"/>
  <c r="H79" i="24"/>
  <c r="H81" i="24"/>
  <c r="H88" i="24"/>
  <c r="H86" i="24"/>
  <c r="H92" i="24"/>
  <c r="H80" i="24"/>
  <c r="H87" i="24"/>
  <c r="H76" i="24"/>
  <c r="H85" i="24"/>
  <c r="H91" i="24"/>
  <c r="G20" i="17"/>
  <c r="F15" i="33"/>
  <c r="G20" i="32"/>
  <c r="G25" i="32" s="1"/>
  <c r="G30" i="33"/>
  <c r="F10" i="42"/>
  <c r="D75" i="58"/>
  <c r="C76" i="58" s="1"/>
  <c r="B76" i="58"/>
  <c r="H37" i="42"/>
  <c r="H36" i="17"/>
  <c r="G17" i="17"/>
  <c r="E45" i="58"/>
  <c r="G45" i="58"/>
  <c r="H216" i="26"/>
  <c r="H218" i="26" s="1"/>
  <c r="H219" i="26" s="1"/>
  <c r="H220" i="26" s="1"/>
  <c r="H221" i="26" s="1"/>
  <c r="H222" i="26" s="1"/>
  <c r="H223" i="26" s="1"/>
  <c r="H224" i="26" s="1"/>
  <c r="H225" i="26" s="1"/>
  <c r="H226" i="26" s="1"/>
  <c r="H227" i="26" s="1"/>
  <c r="H228" i="26" s="1"/>
  <c r="H229" i="26" s="1"/>
  <c r="H230" i="26" s="1"/>
  <c r="H231" i="26" s="1"/>
  <c r="H232" i="26" s="1"/>
  <c r="H233" i="26" s="1"/>
  <c r="H234" i="26" s="1"/>
  <c r="H235" i="26" s="1"/>
  <c r="H236" i="26" s="1"/>
  <c r="G213" i="26"/>
  <c r="J213" i="26" s="1"/>
  <c r="F214" i="26" s="1"/>
  <c r="J242" i="26"/>
  <c r="F243" i="26" s="1"/>
  <c r="H244" i="26"/>
  <c r="F131" i="26"/>
  <c r="H131" i="26"/>
  <c r="H132" i="26" s="1"/>
  <c r="H133" i="26" s="1"/>
  <c r="H134" i="26" s="1"/>
  <c r="H135" i="26" s="1"/>
  <c r="H136" i="26" s="1"/>
  <c r="H137" i="26" s="1"/>
  <c r="H138" i="26" s="1"/>
  <c r="H139" i="26" s="1"/>
  <c r="H140" i="26" s="1"/>
  <c r="H141" i="26" s="1"/>
  <c r="H142" i="26" s="1"/>
  <c r="H143" i="26" s="1"/>
  <c r="H144" i="26" s="1"/>
  <c r="H145" i="26" s="1"/>
  <c r="H146" i="26" s="1"/>
  <c r="H147" i="26" s="1"/>
  <c r="H148" i="26" s="1"/>
  <c r="H149" i="26" s="1"/>
  <c r="H158" i="26"/>
  <c r="H354" i="26"/>
  <c r="F356" i="26" s="1"/>
  <c r="H272" i="26"/>
  <c r="H274" i="26" s="1"/>
  <c r="H275" i="26" s="1"/>
  <c r="H276" i="26" s="1"/>
  <c r="H277" i="26" s="1"/>
  <c r="H278" i="26" s="1"/>
  <c r="H279" i="26" s="1"/>
  <c r="H280" i="26" s="1"/>
  <c r="H281" i="26" s="1"/>
  <c r="H282" i="26" s="1"/>
  <c r="H283" i="26" s="1"/>
  <c r="H284" i="26" s="1"/>
  <c r="H285" i="26" s="1"/>
  <c r="H286" i="26" s="1"/>
  <c r="H287" i="26" s="1"/>
  <c r="H288" i="26" s="1"/>
  <c r="H289" i="26" s="1"/>
  <c r="H290" i="26" s="1"/>
  <c r="H291" i="26" s="1"/>
  <c r="H292" i="26" s="1"/>
  <c r="G64" i="24"/>
  <c r="G155" i="26"/>
  <c r="G30" i="24"/>
  <c r="H30" i="24" s="1"/>
  <c r="D31" i="24"/>
  <c r="G31" i="24" s="1"/>
  <c r="I49" i="58"/>
  <c r="E49" i="58"/>
  <c r="G40" i="33" l="1"/>
  <c r="I381" i="26"/>
  <c r="J381" i="26"/>
  <c r="F190" i="26"/>
  <c r="F191" i="26" s="1"/>
  <c r="F192" i="26" s="1"/>
  <c r="F193" i="26" s="1"/>
  <c r="H10" i="33"/>
  <c r="I10" i="33" s="1"/>
  <c r="I68" i="89"/>
  <c r="K48" i="89"/>
  <c r="G49" i="89" s="1"/>
  <c r="H48" i="89"/>
  <c r="K45" i="89"/>
  <c r="G46" i="89" s="1"/>
  <c r="H46" i="89" s="1"/>
  <c r="K46" i="89" s="1"/>
  <c r="J10" i="31"/>
  <c r="F11" i="31" s="1"/>
  <c r="G11" i="31" s="1"/>
  <c r="J37" i="26"/>
  <c r="F38" i="26" s="1"/>
  <c r="G38" i="26" s="1"/>
  <c r="G39" i="26" s="1"/>
  <c r="I40" i="26" s="1"/>
  <c r="F385" i="26"/>
  <c r="F386" i="26" s="1"/>
  <c r="F218" i="26"/>
  <c r="F219" i="26" s="1"/>
  <c r="G383" i="26"/>
  <c r="F303" i="26"/>
  <c r="F304" i="26" s="1"/>
  <c r="F73" i="26"/>
  <c r="F74" i="26" s="1"/>
  <c r="G329" i="26"/>
  <c r="I327" i="26"/>
  <c r="I329" i="26"/>
  <c r="I330" i="26" s="1"/>
  <c r="I331" i="26" s="1"/>
  <c r="I332" i="26" s="1"/>
  <c r="I333" i="26" s="1"/>
  <c r="I334" i="26" s="1"/>
  <c r="I335" i="26" s="1"/>
  <c r="I336" i="26" s="1"/>
  <c r="I337" i="26" s="1"/>
  <c r="I338" i="26" s="1"/>
  <c r="I339" i="26" s="1"/>
  <c r="I340" i="26" s="1"/>
  <c r="I341" i="26" s="1"/>
  <c r="I342" i="26" s="1"/>
  <c r="I343" i="26" s="1"/>
  <c r="I344" i="26" s="1"/>
  <c r="I345" i="26" s="1"/>
  <c r="I346" i="26" s="1"/>
  <c r="I347" i="26" s="1"/>
  <c r="G72" i="26"/>
  <c r="G271" i="26"/>
  <c r="J271" i="26" s="1"/>
  <c r="F272" i="26" s="1"/>
  <c r="G303" i="26"/>
  <c r="G191" i="26"/>
  <c r="J327" i="26"/>
  <c r="G71" i="26"/>
  <c r="G190" i="26"/>
  <c r="F102" i="26"/>
  <c r="G102" i="26" s="1"/>
  <c r="J127" i="26"/>
  <c r="F128" i="26" s="1"/>
  <c r="G128" i="26" s="1"/>
  <c r="J128" i="26" s="1"/>
  <c r="F129" i="26" s="1"/>
  <c r="F331" i="26"/>
  <c r="G330" i="26"/>
  <c r="J66" i="26"/>
  <c r="F67" i="26" s="1"/>
  <c r="G67" i="26" s="1"/>
  <c r="G356" i="26"/>
  <c r="G192" i="26"/>
  <c r="D53" i="58"/>
  <c r="A53" i="58"/>
  <c r="H43" i="24"/>
  <c r="F132" i="26"/>
  <c r="G131" i="26"/>
  <c r="F246" i="26"/>
  <c r="H246" i="26"/>
  <c r="H247" i="26" s="1"/>
  <c r="H248" i="26" s="1"/>
  <c r="H249" i="26" s="1"/>
  <c r="H250" i="26" s="1"/>
  <c r="H251" i="26" s="1"/>
  <c r="H252" i="26" s="1"/>
  <c r="H253" i="26" s="1"/>
  <c r="H254" i="26" s="1"/>
  <c r="H255" i="26" s="1"/>
  <c r="H256" i="26" s="1"/>
  <c r="H257" i="26" s="1"/>
  <c r="H258" i="26" s="1"/>
  <c r="H259" i="26" s="1"/>
  <c r="H260" i="26" s="1"/>
  <c r="H261" i="26" s="1"/>
  <c r="H262" i="26" s="1"/>
  <c r="H263" i="26" s="1"/>
  <c r="H264" i="26" s="1"/>
  <c r="E75" i="58"/>
  <c r="H75" i="58" s="1"/>
  <c r="H38" i="42"/>
  <c r="B77" i="58"/>
  <c r="D76" i="58"/>
  <c r="C77" i="58" s="1"/>
  <c r="I20" i="32"/>
  <c r="H93" i="24"/>
  <c r="G41" i="24"/>
  <c r="J41" i="24"/>
  <c r="F42" i="24" s="1"/>
  <c r="G354" i="26"/>
  <c r="J354" i="26" s="1"/>
  <c r="F274" i="26"/>
  <c r="G214" i="26"/>
  <c r="J214" i="26" s="1"/>
  <c r="F215" i="26" s="1"/>
  <c r="E51" i="58"/>
  <c r="C52" i="58"/>
  <c r="I302" i="26"/>
  <c r="I303" i="26" s="1"/>
  <c r="I304" i="26" s="1"/>
  <c r="I305" i="26" s="1"/>
  <c r="I306" i="26" s="1"/>
  <c r="I307" i="26" s="1"/>
  <c r="I308" i="26" s="1"/>
  <c r="I309" i="26" s="1"/>
  <c r="I310" i="26" s="1"/>
  <c r="I311" i="26" s="1"/>
  <c r="I312" i="26" s="1"/>
  <c r="I313" i="26" s="1"/>
  <c r="I314" i="26" s="1"/>
  <c r="I315" i="26" s="1"/>
  <c r="I316" i="26" s="1"/>
  <c r="I317" i="26" s="1"/>
  <c r="I318" i="26" s="1"/>
  <c r="I319" i="26" s="1"/>
  <c r="I320" i="26" s="1"/>
  <c r="I300" i="26"/>
  <c r="I189" i="26"/>
  <c r="I190" i="26" s="1"/>
  <c r="I191" i="26" s="1"/>
  <c r="I192" i="26" s="1"/>
  <c r="I193" i="26" s="1"/>
  <c r="I194" i="26" s="1"/>
  <c r="I195" i="26" s="1"/>
  <c r="I196" i="26" s="1"/>
  <c r="I197" i="26" s="1"/>
  <c r="I198" i="26" s="1"/>
  <c r="I199" i="26" s="1"/>
  <c r="I200" i="26" s="1"/>
  <c r="I201" i="26" s="1"/>
  <c r="I202" i="26" s="1"/>
  <c r="I203" i="26" s="1"/>
  <c r="I204" i="26" s="1"/>
  <c r="I205" i="26" s="1"/>
  <c r="I206" i="26" s="1"/>
  <c r="I207" i="26" s="1"/>
  <c r="I187" i="26"/>
  <c r="H356" i="26"/>
  <c r="C406" i="26"/>
  <c r="H15" i="42"/>
  <c r="B30" i="33"/>
  <c r="I5" i="32"/>
  <c r="F160" i="26"/>
  <c r="H160" i="26"/>
  <c r="H161" i="26" s="1"/>
  <c r="H162" i="26" s="1"/>
  <c r="H163" i="26" s="1"/>
  <c r="H164" i="26" s="1"/>
  <c r="H165" i="26" s="1"/>
  <c r="H166" i="26" s="1"/>
  <c r="H167" i="26" s="1"/>
  <c r="H168" i="26" s="1"/>
  <c r="H169" i="26" s="1"/>
  <c r="H170" i="26" s="1"/>
  <c r="H171" i="26" s="1"/>
  <c r="H172" i="26" s="1"/>
  <c r="H173" i="26" s="1"/>
  <c r="H174" i="26" s="1"/>
  <c r="H175" i="26" s="1"/>
  <c r="H176" i="26" s="1"/>
  <c r="H177" i="26" s="1"/>
  <c r="H178" i="26" s="1"/>
  <c r="J11" i="31"/>
  <c r="F12" i="31" s="1"/>
  <c r="I384" i="26"/>
  <c r="D35" i="33"/>
  <c r="F35" i="33" s="1"/>
  <c r="H35" i="33"/>
  <c r="I35" i="33" s="1"/>
  <c r="J155" i="26"/>
  <c r="F156" i="26" s="1"/>
  <c r="H45" i="58"/>
  <c r="J45" i="58"/>
  <c r="G46" i="58" s="1"/>
  <c r="F11" i="42"/>
  <c r="G10" i="42"/>
  <c r="B21" i="32" s="1"/>
  <c r="H41" i="26"/>
  <c r="H20" i="33" s="1"/>
  <c r="I20" i="33" s="1"/>
  <c r="D20" i="33"/>
  <c r="J64" i="24"/>
  <c r="F65" i="24" s="1"/>
  <c r="H42" i="24"/>
  <c r="J300" i="26"/>
  <c r="F10" i="33"/>
  <c r="J187" i="26"/>
  <c r="J98" i="26"/>
  <c r="F99" i="26" s="1"/>
  <c r="A77" i="58"/>
  <c r="G243" i="26"/>
  <c r="J243" i="26" s="1"/>
  <c r="F244" i="26" s="1"/>
  <c r="G76" i="58"/>
  <c r="I76" i="58"/>
  <c r="J76" i="58" s="1"/>
  <c r="G38" i="42"/>
  <c r="E22" i="32" s="1"/>
  <c r="F39" i="42"/>
  <c r="F20" i="32"/>
  <c r="G218" i="26" l="1"/>
  <c r="J38" i="26"/>
  <c r="F40" i="26" s="1"/>
  <c r="H49" i="89"/>
  <c r="K49" i="89"/>
  <c r="G50" i="89" s="1"/>
  <c r="H47" i="89"/>
  <c r="J48" i="89" s="1"/>
  <c r="J68" i="89" s="1"/>
  <c r="H25" i="33"/>
  <c r="I25" i="33" s="1"/>
  <c r="G12" i="31"/>
  <c r="G13" i="31" s="1"/>
  <c r="J12" i="31"/>
  <c r="G385" i="26"/>
  <c r="G73" i="26"/>
  <c r="F103" i="26"/>
  <c r="F104" i="26" s="1"/>
  <c r="J67" i="26"/>
  <c r="F68" i="26" s="1"/>
  <c r="G68" i="26" s="1"/>
  <c r="J68" i="26" s="1"/>
  <c r="F69" i="26" s="1"/>
  <c r="G331" i="26"/>
  <c r="F332" i="26"/>
  <c r="G304" i="26"/>
  <c r="F305" i="26"/>
  <c r="G272" i="26"/>
  <c r="G273" i="26" s="1"/>
  <c r="G129" i="26"/>
  <c r="J129" i="26" s="1"/>
  <c r="F220" i="26"/>
  <c r="G219" i="26"/>
  <c r="G386" i="26"/>
  <c r="F387" i="26"/>
  <c r="F75" i="26"/>
  <c r="G74" i="26"/>
  <c r="C30" i="33"/>
  <c r="G42" i="24"/>
  <c r="J42" i="24"/>
  <c r="F43" i="24" s="1"/>
  <c r="H44" i="24"/>
  <c r="D54" i="58"/>
  <c r="A54" i="58"/>
  <c r="F40" i="42"/>
  <c r="G39" i="42"/>
  <c r="B32" i="33" s="1"/>
  <c r="G244" i="26"/>
  <c r="G245" i="26" s="1"/>
  <c r="C407" i="26"/>
  <c r="H357" i="26"/>
  <c r="F22" i="32"/>
  <c r="B78" i="58"/>
  <c r="D77" i="58"/>
  <c r="C78" i="58" s="1"/>
  <c r="G156" i="26"/>
  <c r="G215" i="26"/>
  <c r="A78" i="58"/>
  <c r="G99" i="26"/>
  <c r="G100" i="26" s="1"/>
  <c r="I99" i="26" s="1"/>
  <c r="G355" i="26"/>
  <c r="H39" i="42"/>
  <c r="H46" i="58"/>
  <c r="J46" i="58" s="1"/>
  <c r="G47" i="58" s="1"/>
  <c r="J65" i="24"/>
  <c r="F66" i="24" s="1"/>
  <c r="G65" i="24"/>
  <c r="I52" i="58"/>
  <c r="E52" i="58"/>
  <c r="K43" i="24"/>
  <c r="G160" i="26"/>
  <c r="F161" i="26"/>
  <c r="G274" i="26"/>
  <c r="F275" i="26"/>
  <c r="I385" i="26"/>
  <c r="J77" i="58"/>
  <c r="E77" i="58"/>
  <c r="H77" i="58" s="1"/>
  <c r="G77" i="58"/>
  <c r="I77" i="58"/>
  <c r="F247" i="26"/>
  <c r="G246" i="26"/>
  <c r="E53" i="58"/>
  <c r="C54" i="58"/>
  <c r="F194" i="26"/>
  <c r="G193" i="26"/>
  <c r="G132" i="26"/>
  <c r="F133" i="26"/>
  <c r="E76" i="58"/>
  <c r="H76" i="58" s="1"/>
  <c r="H42" i="26"/>
  <c r="E20" i="33"/>
  <c r="G11" i="42"/>
  <c r="C21" i="32" s="1"/>
  <c r="F12" i="42"/>
  <c r="F357" i="26"/>
  <c r="G40" i="26" l="1"/>
  <c r="D21" i="33" s="1"/>
  <c r="J40" i="26"/>
  <c r="F41" i="26" s="1"/>
  <c r="J41" i="26"/>
  <c r="F20" i="33"/>
  <c r="J244" i="26"/>
  <c r="G103" i="26"/>
  <c r="H50" i="89"/>
  <c r="K50" i="89"/>
  <c r="G130" i="26"/>
  <c r="I131" i="26" s="1"/>
  <c r="I132" i="26" s="1"/>
  <c r="I133" i="26" s="1"/>
  <c r="I134" i="26" s="1"/>
  <c r="I135" i="26" s="1"/>
  <c r="I136" i="26" s="1"/>
  <c r="I137" i="26" s="1"/>
  <c r="I138" i="26" s="1"/>
  <c r="I139" i="26" s="1"/>
  <c r="I140" i="26" s="1"/>
  <c r="I141" i="26" s="1"/>
  <c r="I142" i="26" s="1"/>
  <c r="I143" i="26" s="1"/>
  <c r="I144" i="26" s="1"/>
  <c r="I145" i="26" s="1"/>
  <c r="I146" i="26" s="1"/>
  <c r="I147" i="26" s="1"/>
  <c r="I148" i="26" s="1"/>
  <c r="I149" i="26" s="1"/>
  <c r="J272" i="26"/>
  <c r="F306" i="26"/>
  <c r="G305" i="26"/>
  <c r="G332" i="26"/>
  <c r="F333" i="26"/>
  <c r="B407" i="26"/>
  <c r="J99" i="26"/>
  <c r="I274" i="26"/>
  <c r="I275" i="26" s="1"/>
  <c r="I276" i="26" s="1"/>
  <c r="I277" i="26" s="1"/>
  <c r="I278" i="26" s="1"/>
  <c r="I279" i="26" s="1"/>
  <c r="I280" i="26" s="1"/>
  <c r="I281" i="26" s="1"/>
  <c r="I282" i="26" s="1"/>
  <c r="I283" i="26" s="1"/>
  <c r="I284" i="26" s="1"/>
  <c r="I285" i="26" s="1"/>
  <c r="I286" i="26" s="1"/>
  <c r="I287" i="26" s="1"/>
  <c r="I288" i="26" s="1"/>
  <c r="I289" i="26" s="1"/>
  <c r="I290" i="26" s="1"/>
  <c r="I291" i="26" s="1"/>
  <c r="I292" i="26" s="1"/>
  <c r="I272" i="26"/>
  <c r="J47" i="58"/>
  <c r="G48" i="58" s="1"/>
  <c r="H47" i="58"/>
  <c r="G69" i="26"/>
  <c r="J69" i="26" s="1"/>
  <c r="F15" i="31"/>
  <c r="G15" i="31" s="1"/>
  <c r="E26" i="33" s="1"/>
  <c r="E54" i="58"/>
  <c r="C55" i="58"/>
  <c r="G357" i="26"/>
  <c r="F358" i="26"/>
  <c r="G40" i="42"/>
  <c r="C32" i="33" s="1"/>
  <c r="H43" i="26"/>
  <c r="J66" i="24"/>
  <c r="F67" i="24" s="1"/>
  <c r="G66" i="24"/>
  <c r="B79" i="58"/>
  <c r="D78" i="58"/>
  <c r="C79" i="58" s="1"/>
  <c r="H358" i="26"/>
  <c r="C408" i="26"/>
  <c r="I54" i="58"/>
  <c r="I356" i="26"/>
  <c r="I354" i="26"/>
  <c r="A79" i="58"/>
  <c r="A55" i="58"/>
  <c r="D55" i="58"/>
  <c r="G43" i="24"/>
  <c r="J43" i="24"/>
  <c r="F44" i="24" s="1"/>
  <c r="J215" i="26"/>
  <c r="F216" i="26" s="1"/>
  <c r="I113" i="26"/>
  <c r="I107" i="26"/>
  <c r="I119" i="26"/>
  <c r="I114" i="26"/>
  <c r="I110" i="26"/>
  <c r="I112" i="26"/>
  <c r="I104" i="26"/>
  <c r="I118" i="26"/>
  <c r="I102" i="26"/>
  <c r="I103" i="26"/>
  <c r="I106" i="26"/>
  <c r="I111" i="26"/>
  <c r="I105" i="26"/>
  <c r="I101" i="26"/>
  <c r="I115" i="26"/>
  <c r="I117" i="26"/>
  <c r="I108" i="26"/>
  <c r="I109" i="26"/>
  <c r="I116" i="26"/>
  <c r="G75" i="26"/>
  <c r="F76" i="26"/>
  <c r="G220" i="26"/>
  <c r="F221" i="26"/>
  <c r="F248" i="26"/>
  <c r="G247" i="26"/>
  <c r="I386" i="26"/>
  <c r="F162" i="26"/>
  <c r="G161" i="26"/>
  <c r="H45" i="24"/>
  <c r="G12" i="42"/>
  <c r="D21" i="32" s="1"/>
  <c r="F13" i="42"/>
  <c r="G194" i="26"/>
  <c r="F195" i="26"/>
  <c r="D30" i="33"/>
  <c r="D40" i="33" s="1"/>
  <c r="H17" i="42"/>
  <c r="H30" i="33" s="1"/>
  <c r="I246" i="26"/>
  <c r="I247" i="26" s="1"/>
  <c r="I248" i="26" s="1"/>
  <c r="I249" i="26" s="1"/>
  <c r="I250" i="26" s="1"/>
  <c r="I251" i="26" s="1"/>
  <c r="I252" i="26" s="1"/>
  <c r="I253" i="26" s="1"/>
  <c r="I254" i="26" s="1"/>
  <c r="I255" i="26" s="1"/>
  <c r="I256" i="26" s="1"/>
  <c r="I257" i="26" s="1"/>
  <c r="I258" i="26" s="1"/>
  <c r="I259" i="26" s="1"/>
  <c r="I260" i="26" s="1"/>
  <c r="I261" i="26" s="1"/>
  <c r="I262" i="26" s="1"/>
  <c r="I263" i="26" s="1"/>
  <c r="I264" i="26" s="1"/>
  <c r="I244" i="26"/>
  <c r="G387" i="26"/>
  <c r="F388" i="26"/>
  <c r="G133" i="26"/>
  <c r="F134" i="26"/>
  <c r="F276" i="26"/>
  <c r="G275" i="26"/>
  <c r="H40" i="42"/>
  <c r="J156" i="26"/>
  <c r="F157" i="26" s="1"/>
  <c r="I78" i="58"/>
  <c r="G78" i="58"/>
  <c r="J78" i="58" s="1"/>
  <c r="F105" i="26"/>
  <c r="G104" i="26"/>
  <c r="G70" i="26" l="1"/>
  <c r="I69" i="26" s="1"/>
  <c r="I75" i="26" s="1"/>
  <c r="G41" i="26"/>
  <c r="E21" i="33" s="1"/>
  <c r="F21" i="33" s="1"/>
  <c r="I129" i="26"/>
  <c r="K51" i="89"/>
  <c r="G52" i="89" s="1"/>
  <c r="H51" i="89"/>
  <c r="G333" i="26"/>
  <c r="F334" i="26"/>
  <c r="G306" i="26"/>
  <c r="F307" i="26"/>
  <c r="I357" i="26"/>
  <c r="E78" i="58"/>
  <c r="H78" i="58" s="1"/>
  <c r="F359" i="26"/>
  <c r="G358" i="26"/>
  <c r="H48" i="58"/>
  <c r="J48" i="58"/>
  <c r="G49" i="58" s="1"/>
  <c r="G157" i="26"/>
  <c r="I387" i="26"/>
  <c r="F249" i="26"/>
  <c r="G248" i="26"/>
  <c r="H359" i="26"/>
  <c r="C409" i="26"/>
  <c r="H44" i="26"/>
  <c r="B408" i="26"/>
  <c r="F26" i="33"/>
  <c r="J15" i="31"/>
  <c r="F16" i="31" s="1"/>
  <c r="G16" i="31" s="1"/>
  <c r="G41" i="42"/>
  <c r="D32" i="33" s="1"/>
  <c r="G276" i="26"/>
  <c r="F277" i="26"/>
  <c r="G76" i="26"/>
  <c r="F77" i="26"/>
  <c r="J42" i="26"/>
  <c r="F42" i="26"/>
  <c r="D79" i="58"/>
  <c r="C80" i="58" s="1"/>
  <c r="B80" i="58"/>
  <c r="I55" i="58"/>
  <c r="G216" i="26"/>
  <c r="J216" i="26" s="1"/>
  <c r="E55" i="58"/>
  <c r="C56" i="58"/>
  <c r="A80" i="58"/>
  <c r="G79" i="58"/>
  <c r="I79" i="58"/>
  <c r="J79" i="58"/>
  <c r="I74" i="26"/>
  <c r="I86" i="26"/>
  <c r="I84" i="26"/>
  <c r="I73" i="26"/>
  <c r="B10" i="32"/>
  <c r="B25" i="32" s="1"/>
  <c r="H46" i="24"/>
  <c r="G195" i="26"/>
  <c r="F196" i="26"/>
  <c r="G105" i="26"/>
  <c r="F106" i="26"/>
  <c r="F14" i="42"/>
  <c r="G13" i="42"/>
  <c r="E21" i="32" s="1"/>
  <c r="F163" i="26"/>
  <c r="G162" i="26"/>
  <c r="A56" i="58"/>
  <c r="D56" i="58"/>
  <c r="G67" i="24"/>
  <c r="G134" i="26"/>
  <c r="F135" i="26"/>
  <c r="G388" i="26"/>
  <c r="F389" i="26"/>
  <c r="G221" i="26"/>
  <c r="F222" i="26"/>
  <c r="E30" i="33"/>
  <c r="F30" i="33" s="1"/>
  <c r="H18" i="42"/>
  <c r="G44" i="24"/>
  <c r="J44" i="24"/>
  <c r="F45" i="24" s="1"/>
  <c r="I79" i="26" l="1"/>
  <c r="I89" i="26"/>
  <c r="I72" i="26"/>
  <c r="I83" i="26"/>
  <c r="I71" i="26"/>
  <c r="I78" i="26"/>
  <c r="I82" i="26"/>
  <c r="I85" i="26"/>
  <c r="I76" i="26"/>
  <c r="I80" i="26"/>
  <c r="I88" i="26"/>
  <c r="I81" i="26"/>
  <c r="I77" i="26"/>
  <c r="I87" i="26"/>
  <c r="G42" i="26"/>
  <c r="F11" i="33"/>
  <c r="H52" i="89"/>
  <c r="K52" i="89"/>
  <c r="G53" i="89" s="1"/>
  <c r="F335" i="26"/>
  <c r="G334" i="26"/>
  <c r="F308" i="26"/>
  <c r="G307" i="26"/>
  <c r="F223" i="26"/>
  <c r="G222" i="26"/>
  <c r="H360" i="26"/>
  <c r="C410" i="26"/>
  <c r="H42" i="42"/>
  <c r="G389" i="26"/>
  <c r="F390" i="26"/>
  <c r="I56" i="58"/>
  <c r="G359" i="26"/>
  <c r="F360" i="26"/>
  <c r="H19" i="42"/>
  <c r="F197" i="26"/>
  <c r="G196" i="26"/>
  <c r="J43" i="26"/>
  <c r="F43" i="26"/>
  <c r="I388" i="26"/>
  <c r="D80" i="58"/>
  <c r="C81" i="58" s="1"/>
  <c r="B81" i="58"/>
  <c r="G106" i="26"/>
  <c r="F107" i="26"/>
  <c r="G80" i="58"/>
  <c r="J80" i="58" s="1"/>
  <c r="I80" i="58"/>
  <c r="F78" i="26"/>
  <c r="G77" i="26"/>
  <c r="J45" i="24"/>
  <c r="F46" i="24" s="1"/>
  <c r="G45" i="24"/>
  <c r="B11" i="32" s="1"/>
  <c r="F136" i="26"/>
  <c r="G135" i="26"/>
  <c r="E56" i="58"/>
  <c r="C57" i="58"/>
  <c r="J16" i="31"/>
  <c r="F17" i="31" s="1"/>
  <c r="G17" i="31" s="1"/>
  <c r="F250" i="26"/>
  <c r="G249" i="26"/>
  <c r="J49" i="58"/>
  <c r="G50" i="58" s="1"/>
  <c r="H49" i="58"/>
  <c r="D57" i="58"/>
  <c r="A57" i="58"/>
  <c r="F21" i="32"/>
  <c r="H47" i="24"/>
  <c r="C10" i="32"/>
  <c r="C25" i="32" s="1"/>
  <c r="E79" i="58"/>
  <c r="H79" i="58" s="1"/>
  <c r="A81" i="58"/>
  <c r="A82" i="58" s="1"/>
  <c r="G217" i="26"/>
  <c r="H45" i="26"/>
  <c r="G163" i="26"/>
  <c r="F164" i="26"/>
  <c r="J67" i="24"/>
  <c r="F68" i="24" s="1"/>
  <c r="G14" i="42"/>
  <c r="B31" i="33" s="1"/>
  <c r="F15" i="42"/>
  <c r="G277" i="26"/>
  <c r="F278" i="26"/>
  <c r="F42" i="42"/>
  <c r="J157" i="26"/>
  <c r="F158" i="26" s="1"/>
  <c r="B409" i="26"/>
  <c r="I358" i="26"/>
  <c r="G43" i="26" l="1"/>
  <c r="K53" i="89"/>
  <c r="G54" i="89" s="1"/>
  <c r="H53" i="89"/>
  <c r="G308" i="26"/>
  <c r="F309" i="26"/>
  <c r="G335" i="26"/>
  <c r="F336" i="26"/>
  <c r="H20" i="42"/>
  <c r="A58" i="58"/>
  <c r="D58" i="58"/>
  <c r="I57" i="58"/>
  <c r="J17" i="31"/>
  <c r="F18" i="31" s="1"/>
  <c r="G18" i="31" s="1"/>
  <c r="F108" i="26"/>
  <c r="G107" i="26"/>
  <c r="J44" i="26"/>
  <c r="F44" i="26"/>
  <c r="G158" i="26"/>
  <c r="K47" i="24"/>
  <c r="D10" i="32"/>
  <c r="D25" i="32" s="1"/>
  <c r="B82" i="58"/>
  <c r="D81" i="58"/>
  <c r="C82" i="58" s="1"/>
  <c r="J81" i="58"/>
  <c r="E81" i="58"/>
  <c r="H81" i="58" s="1"/>
  <c r="I81" i="58"/>
  <c r="G81" i="58"/>
  <c r="E80" i="58"/>
  <c r="H80" i="58" s="1"/>
  <c r="G68" i="24"/>
  <c r="J68" i="24" s="1"/>
  <c r="F69" i="24" s="1"/>
  <c r="G46" i="24"/>
  <c r="C11" i="32" s="1"/>
  <c r="C26" i="32" s="1"/>
  <c r="J46" i="24"/>
  <c r="F47" i="24" s="1"/>
  <c r="F198" i="26"/>
  <c r="G197" i="26"/>
  <c r="I359" i="26"/>
  <c r="F279" i="26"/>
  <c r="G278" i="26"/>
  <c r="G15" i="42"/>
  <c r="C31" i="33" s="1"/>
  <c r="E57" i="58"/>
  <c r="C58" i="58"/>
  <c r="H46" i="26"/>
  <c r="F251" i="26"/>
  <c r="G250" i="26"/>
  <c r="F79" i="26"/>
  <c r="G78" i="26"/>
  <c r="I389" i="26"/>
  <c r="F361" i="26"/>
  <c r="G360" i="26"/>
  <c r="H43" i="42"/>
  <c r="H361" i="26"/>
  <c r="C411" i="26"/>
  <c r="G164" i="26"/>
  <c r="F165" i="26"/>
  <c r="I216" i="26"/>
  <c r="I218" i="26"/>
  <c r="J50" i="58"/>
  <c r="G51" i="58" s="1"/>
  <c r="H50" i="58"/>
  <c r="G42" i="42"/>
  <c r="E32" i="33" s="1"/>
  <c r="F32" i="33" s="1"/>
  <c r="F43" i="42"/>
  <c r="F224" i="26"/>
  <c r="G223" i="26"/>
  <c r="A83" i="58"/>
  <c r="F6" i="32"/>
  <c r="F137" i="26"/>
  <c r="G136" i="26"/>
  <c r="B410" i="26"/>
  <c r="F391" i="26"/>
  <c r="G390" i="26"/>
  <c r="B26" i="32" l="1"/>
  <c r="G44" i="26"/>
  <c r="K54" i="89"/>
  <c r="G55" i="89" s="1"/>
  <c r="H54" i="89"/>
  <c r="F337" i="26"/>
  <c r="G336" i="26"/>
  <c r="G309" i="26"/>
  <c r="F310" i="26"/>
  <c r="G16" i="42"/>
  <c r="D31" i="33" s="1"/>
  <c r="F17" i="42"/>
  <c r="G198" i="26"/>
  <c r="F199" i="26"/>
  <c r="I219" i="26"/>
  <c r="J18" i="31"/>
  <c r="F19" i="31" s="1"/>
  <c r="G19" i="31" s="1"/>
  <c r="H21" i="42"/>
  <c r="G159" i="26"/>
  <c r="B406" i="26"/>
  <c r="J158" i="26"/>
  <c r="D59" i="58"/>
  <c r="A59" i="58"/>
  <c r="G69" i="24"/>
  <c r="J69" i="24" s="1"/>
  <c r="F70" i="24" s="1"/>
  <c r="J45" i="26"/>
  <c r="F45" i="26"/>
  <c r="H362" i="26"/>
  <c r="C412" i="26"/>
  <c r="F80" i="26"/>
  <c r="G79" i="26"/>
  <c r="G165" i="26"/>
  <c r="F166" i="26"/>
  <c r="F280" i="26"/>
  <c r="G279" i="26"/>
  <c r="F109" i="26"/>
  <c r="G108" i="26"/>
  <c r="G391" i="26"/>
  <c r="F392" i="26"/>
  <c r="D36" i="33"/>
  <c r="B411" i="26"/>
  <c r="J51" i="58"/>
  <c r="G52" i="58" s="1"/>
  <c r="H51" i="58"/>
  <c r="E36" i="33" s="1"/>
  <c r="F362" i="26"/>
  <c r="G361" i="26"/>
  <c r="I58" i="58"/>
  <c r="G47" i="24"/>
  <c r="D11" i="32" s="1"/>
  <c r="D26" i="32" s="1"/>
  <c r="J47" i="24"/>
  <c r="F138" i="26"/>
  <c r="G137" i="26"/>
  <c r="F44" i="42"/>
  <c r="G43" i="42"/>
  <c r="H44" i="42"/>
  <c r="F252" i="26"/>
  <c r="G251" i="26"/>
  <c r="I360" i="26"/>
  <c r="F225" i="26"/>
  <c r="G224" i="26"/>
  <c r="I390" i="26"/>
  <c r="G82" i="58"/>
  <c r="J82" i="58" s="1"/>
  <c r="I82" i="58"/>
  <c r="H47" i="26"/>
  <c r="B83" i="58"/>
  <c r="D82" i="58"/>
  <c r="C83" i="58" s="1"/>
  <c r="E58" i="58"/>
  <c r="C59" i="58"/>
  <c r="F36" i="33" l="1"/>
  <c r="G45" i="26"/>
  <c r="H55" i="89"/>
  <c r="K55" i="89"/>
  <c r="G56" i="89" s="1"/>
  <c r="G310" i="26"/>
  <c r="F311" i="26"/>
  <c r="F338" i="26"/>
  <c r="G337" i="26"/>
  <c r="J70" i="24"/>
  <c r="F71" i="24" s="1"/>
  <c r="G70" i="24"/>
  <c r="I59" i="58"/>
  <c r="J52" i="58"/>
  <c r="G53" i="58" s="1"/>
  <c r="H52" i="58"/>
  <c r="H48" i="26"/>
  <c r="G109" i="26"/>
  <c r="F110" i="26"/>
  <c r="H363" i="26"/>
  <c r="C413" i="26"/>
  <c r="F200" i="26"/>
  <c r="G199" i="26"/>
  <c r="G17" i="42"/>
  <c r="E31" i="33" s="1"/>
  <c r="F31" i="33" s="1"/>
  <c r="F18" i="42"/>
  <c r="F45" i="42"/>
  <c r="G44" i="42"/>
  <c r="E59" i="58"/>
  <c r="C60" i="58"/>
  <c r="G252" i="26"/>
  <c r="F253" i="26"/>
  <c r="B84" i="58"/>
  <c r="D83" i="58"/>
  <c r="C84" i="58" s="1"/>
  <c r="E82" i="58"/>
  <c r="H82" i="58" s="1"/>
  <c r="G225" i="26"/>
  <c r="F226" i="26"/>
  <c r="G138" i="26"/>
  <c r="F139" i="26"/>
  <c r="I391" i="26"/>
  <c r="G166" i="26"/>
  <c r="F167" i="26"/>
  <c r="H45" i="42"/>
  <c r="F48" i="24"/>
  <c r="H48" i="24"/>
  <c r="G362" i="26"/>
  <c r="F363" i="26"/>
  <c r="F393" i="26"/>
  <c r="G392" i="26"/>
  <c r="G280" i="26"/>
  <c r="F281" i="26"/>
  <c r="I220" i="26"/>
  <c r="I83" i="58"/>
  <c r="G83" i="58"/>
  <c r="J83" i="58" s="1"/>
  <c r="E83" i="58"/>
  <c r="H83" i="58" s="1"/>
  <c r="I361" i="26"/>
  <c r="G80" i="26"/>
  <c r="F81" i="26"/>
  <c r="J19" i="31"/>
  <c r="F20" i="31" s="1"/>
  <c r="G20" i="31" s="1"/>
  <c r="B412" i="26"/>
  <c r="J46" i="26"/>
  <c r="F46" i="26"/>
  <c r="A60" i="58"/>
  <c r="D60" i="58"/>
  <c r="I158" i="26"/>
  <c r="D406" i="26" s="1"/>
  <c r="E406" i="26" s="1"/>
  <c r="I160" i="26"/>
  <c r="H22" i="42"/>
  <c r="A84" i="58"/>
  <c r="A85" i="58" s="1"/>
  <c r="G46" i="26" l="1"/>
  <c r="K56" i="89"/>
  <c r="G57" i="89" s="1"/>
  <c r="H56" i="89"/>
  <c r="G338" i="26"/>
  <c r="F339" i="26"/>
  <c r="G311" i="26"/>
  <c r="F312" i="26"/>
  <c r="H23" i="42"/>
  <c r="D61" i="58"/>
  <c r="A61" i="58"/>
  <c r="G81" i="26"/>
  <c r="F82" i="26"/>
  <c r="H49" i="26"/>
  <c r="H46" i="42"/>
  <c r="F19" i="42"/>
  <c r="G18" i="42"/>
  <c r="H364" i="26"/>
  <c r="C414" i="26"/>
  <c r="C61" i="58"/>
  <c r="E60" i="58"/>
  <c r="F394" i="26"/>
  <c r="G393" i="26"/>
  <c r="G281" i="26"/>
  <c r="F282" i="26"/>
  <c r="I60" i="58"/>
  <c r="G363" i="26"/>
  <c r="F364" i="26"/>
  <c r="I392" i="26"/>
  <c r="B85" i="58"/>
  <c r="D84" i="58"/>
  <c r="C85" i="58" s="1"/>
  <c r="J53" i="58"/>
  <c r="G54" i="58" s="1"/>
  <c r="H53" i="58"/>
  <c r="J20" i="31"/>
  <c r="F21" i="31" s="1"/>
  <c r="G21" i="31" s="1"/>
  <c r="G71" i="24"/>
  <c r="J71" i="24" s="1"/>
  <c r="F72" i="24" s="1"/>
  <c r="I84" i="58"/>
  <c r="G84" i="58"/>
  <c r="J84" i="58"/>
  <c r="I161" i="26"/>
  <c r="D407" i="26"/>
  <c r="E407" i="26" s="1"/>
  <c r="B22" i="33" s="1"/>
  <c r="I362" i="26"/>
  <c r="B413" i="26"/>
  <c r="G253" i="26"/>
  <c r="F254" i="26"/>
  <c r="G45" i="42"/>
  <c r="F46" i="42"/>
  <c r="F111" i="26"/>
  <c r="G110" i="26"/>
  <c r="I221" i="26"/>
  <c r="G48" i="24"/>
  <c r="E11" i="32" s="1"/>
  <c r="E26" i="32" s="1"/>
  <c r="J48" i="24"/>
  <c r="F49" i="24" s="1"/>
  <c r="J47" i="26"/>
  <c r="F47" i="26"/>
  <c r="F140" i="26"/>
  <c r="G139" i="26"/>
  <c r="A86" i="58"/>
  <c r="E10" i="32"/>
  <c r="E25" i="32" s="1"/>
  <c r="H49" i="24"/>
  <c r="H10" i="32"/>
  <c r="H25" i="32" s="1"/>
  <c r="I25" i="32" s="1"/>
  <c r="F168" i="26"/>
  <c r="G167" i="26"/>
  <c r="F227" i="26"/>
  <c r="G226" i="26"/>
  <c r="G200" i="26"/>
  <c r="F201" i="26"/>
  <c r="G47" i="26" l="1"/>
  <c r="K57" i="89"/>
  <c r="G58" i="89" s="1"/>
  <c r="H57" i="89"/>
  <c r="F313" i="26"/>
  <c r="G312" i="26"/>
  <c r="F340" i="26"/>
  <c r="G339" i="26"/>
  <c r="G72" i="24"/>
  <c r="A87" i="58"/>
  <c r="J49" i="24"/>
  <c r="F50" i="24" s="1"/>
  <c r="G49" i="24"/>
  <c r="B6" i="33" s="1"/>
  <c r="F228" i="26"/>
  <c r="G227" i="26"/>
  <c r="F26" i="32"/>
  <c r="F11" i="32"/>
  <c r="J21" i="31"/>
  <c r="F22" i="31" s="1"/>
  <c r="G22" i="31" s="1"/>
  <c r="B86" i="58"/>
  <c r="D85" i="58"/>
  <c r="C86" i="58" s="1"/>
  <c r="I363" i="26"/>
  <c r="J54" i="58"/>
  <c r="G55" i="58" s="1"/>
  <c r="H54" i="58"/>
  <c r="F283" i="26"/>
  <c r="G282" i="26"/>
  <c r="F20" i="42"/>
  <c r="G19" i="42"/>
  <c r="H47" i="42"/>
  <c r="G82" i="26"/>
  <c r="F83" i="26"/>
  <c r="D62" i="58"/>
  <c r="A62" i="58"/>
  <c r="G201" i="26"/>
  <c r="F202" i="26"/>
  <c r="H50" i="24"/>
  <c r="B5" i="33"/>
  <c r="B40" i="33" s="1"/>
  <c r="I222" i="26"/>
  <c r="G111" i="26"/>
  <c r="F112" i="26"/>
  <c r="E84" i="58"/>
  <c r="H84" i="58" s="1"/>
  <c r="I61" i="58"/>
  <c r="E61" i="58"/>
  <c r="C62" i="58"/>
  <c r="I85" i="58"/>
  <c r="G85" i="58"/>
  <c r="J85" i="58" s="1"/>
  <c r="G168" i="26"/>
  <c r="F169" i="26"/>
  <c r="F25" i="32"/>
  <c r="F10" i="32"/>
  <c r="J48" i="26"/>
  <c r="F48" i="26"/>
  <c r="H24" i="42"/>
  <c r="F255" i="26"/>
  <c r="G254" i="26"/>
  <c r="F365" i="26"/>
  <c r="G364" i="26"/>
  <c r="I10" i="32"/>
  <c r="H365" i="26"/>
  <c r="C415" i="26"/>
  <c r="I162" i="26"/>
  <c r="D408" i="26"/>
  <c r="E408" i="26" s="1"/>
  <c r="C22" i="33" s="1"/>
  <c r="I393" i="26"/>
  <c r="F141" i="26"/>
  <c r="G140" i="26"/>
  <c r="G46" i="42"/>
  <c r="F47" i="42"/>
  <c r="B414" i="26"/>
  <c r="F395" i="26"/>
  <c r="G394" i="26"/>
  <c r="H50" i="26"/>
  <c r="G48" i="26" l="1"/>
  <c r="H58" i="89"/>
  <c r="K58" i="89"/>
  <c r="G59" i="89" s="1"/>
  <c r="F314" i="26"/>
  <c r="G313" i="26"/>
  <c r="G340" i="26"/>
  <c r="F341" i="26"/>
  <c r="F396" i="26"/>
  <c r="G395" i="26"/>
  <c r="F142" i="26"/>
  <c r="G141" i="26"/>
  <c r="J49" i="26"/>
  <c r="F49" i="26"/>
  <c r="I62" i="58"/>
  <c r="G83" i="26"/>
  <c r="F84" i="26"/>
  <c r="H25" i="42"/>
  <c r="G20" i="42"/>
  <c r="F21" i="42"/>
  <c r="B87" i="58"/>
  <c r="D86" i="58"/>
  <c r="C87" i="58" s="1"/>
  <c r="J50" i="24"/>
  <c r="F51" i="24" s="1"/>
  <c r="G50" i="24"/>
  <c r="C6" i="33" s="1"/>
  <c r="C41" i="33" s="1"/>
  <c r="H51" i="26"/>
  <c r="F48" i="42"/>
  <c r="G47" i="42"/>
  <c r="H366" i="26"/>
  <c r="C416" i="26"/>
  <c r="J22" i="31"/>
  <c r="F23" i="31" s="1"/>
  <c r="G23" i="31" s="1"/>
  <c r="A88" i="58"/>
  <c r="G73" i="24"/>
  <c r="F113" i="26"/>
  <c r="G112" i="26"/>
  <c r="J55" i="58"/>
  <c r="G56" i="58" s="1"/>
  <c r="H55" i="58"/>
  <c r="F256" i="26"/>
  <c r="G255" i="26"/>
  <c r="E85" i="58"/>
  <c r="H85" i="58" s="1"/>
  <c r="F284" i="26"/>
  <c r="G283" i="26"/>
  <c r="E62" i="58"/>
  <c r="C63" i="58"/>
  <c r="I394" i="26"/>
  <c r="G169" i="26"/>
  <c r="F170" i="26"/>
  <c r="G228" i="26"/>
  <c r="F229" i="26"/>
  <c r="I163" i="26"/>
  <c r="D409" i="26"/>
  <c r="E409" i="26" s="1"/>
  <c r="D22" i="33" s="1"/>
  <c r="H51" i="24"/>
  <c r="C5" i="33"/>
  <c r="C40" i="33" s="1"/>
  <c r="B415" i="26"/>
  <c r="G202" i="26"/>
  <c r="F203" i="26"/>
  <c r="D63" i="58"/>
  <c r="A63" i="58"/>
  <c r="H48" i="42"/>
  <c r="I364" i="26"/>
  <c r="F366" i="26"/>
  <c r="G365" i="26"/>
  <c r="I223" i="26"/>
  <c r="I86" i="58"/>
  <c r="G86" i="58"/>
  <c r="J86" i="58" s="1"/>
  <c r="E86" i="58"/>
  <c r="H86" i="58"/>
  <c r="G49" i="26" l="1"/>
  <c r="K59" i="89"/>
  <c r="G60" i="89" s="1"/>
  <c r="H59" i="89"/>
  <c r="B416" i="26"/>
  <c r="F342" i="26"/>
  <c r="G341" i="26"/>
  <c r="G314" i="26"/>
  <c r="F315" i="26"/>
  <c r="I395" i="26"/>
  <c r="G113" i="26"/>
  <c r="F114" i="26"/>
  <c r="H26" i="42"/>
  <c r="J50" i="26"/>
  <c r="F50" i="26"/>
  <c r="I224" i="26"/>
  <c r="D64" i="58"/>
  <c r="A64" i="58"/>
  <c r="H52" i="24"/>
  <c r="G170" i="26"/>
  <c r="F171" i="26"/>
  <c r="G51" i="24"/>
  <c r="D6" i="33" s="1"/>
  <c r="D41" i="33" s="1"/>
  <c r="J51" i="24"/>
  <c r="F52" i="24" s="1"/>
  <c r="J23" i="31"/>
  <c r="F24" i="31" s="1"/>
  <c r="G24" i="31" s="1"/>
  <c r="F285" i="26"/>
  <c r="G284" i="26"/>
  <c r="F49" i="42"/>
  <c r="G48" i="42"/>
  <c r="F22" i="42"/>
  <c r="G21" i="42"/>
  <c r="I164" i="26"/>
  <c r="D410" i="26"/>
  <c r="E410" i="26" s="1"/>
  <c r="E22" i="33" s="1"/>
  <c r="F257" i="26"/>
  <c r="G256" i="26"/>
  <c r="J56" i="58"/>
  <c r="G57" i="58" s="1"/>
  <c r="H56" i="58"/>
  <c r="G87" i="58"/>
  <c r="J87" i="58" s="1"/>
  <c r="I87" i="58"/>
  <c r="F85" i="26"/>
  <c r="G84" i="26"/>
  <c r="G396" i="26"/>
  <c r="F397" i="26"/>
  <c r="E63" i="58"/>
  <c r="C64" i="58"/>
  <c r="G142" i="26"/>
  <c r="F143" i="26"/>
  <c r="F204" i="26"/>
  <c r="G203" i="26"/>
  <c r="I365" i="26"/>
  <c r="I87" i="24"/>
  <c r="I76" i="24"/>
  <c r="I89" i="24"/>
  <c r="I80" i="24"/>
  <c r="I72" i="24"/>
  <c r="I82" i="24"/>
  <c r="I79" i="24"/>
  <c r="I83" i="24"/>
  <c r="I75" i="24"/>
  <c r="I86" i="24"/>
  <c r="I90" i="24"/>
  <c r="I88" i="24"/>
  <c r="I91" i="24"/>
  <c r="I81" i="24"/>
  <c r="I85" i="24"/>
  <c r="I92" i="24"/>
  <c r="I74" i="24"/>
  <c r="I77" i="24"/>
  <c r="I78" i="24"/>
  <c r="I84" i="24"/>
  <c r="D87" i="58"/>
  <c r="C88" i="58" s="1"/>
  <c r="B88" i="58"/>
  <c r="H367" i="26"/>
  <c r="C417" i="26"/>
  <c r="H52" i="26"/>
  <c r="F367" i="26"/>
  <c r="G366" i="26"/>
  <c r="H49" i="42"/>
  <c r="F230" i="26"/>
  <c r="G229" i="26"/>
  <c r="I63" i="58"/>
  <c r="A89" i="58"/>
  <c r="G50" i="26" l="1"/>
  <c r="F22" i="33"/>
  <c r="H60" i="89"/>
  <c r="K60" i="89"/>
  <c r="G61" i="89" s="1"/>
  <c r="F316" i="26"/>
  <c r="G315" i="26"/>
  <c r="B417" i="26"/>
  <c r="G342" i="26"/>
  <c r="F343" i="26"/>
  <c r="H368" i="26"/>
  <c r="C418" i="26"/>
  <c r="F398" i="26"/>
  <c r="G397" i="26"/>
  <c r="J24" i="31"/>
  <c r="F25" i="31" s="1"/>
  <c r="G25" i="31" s="1"/>
  <c r="G367" i="26"/>
  <c r="F368" i="26"/>
  <c r="E87" i="58"/>
  <c r="H87" i="58" s="1"/>
  <c r="G22" i="42"/>
  <c r="F23" i="42"/>
  <c r="H53" i="24"/>
  <c r="E5" i="33"/>
  <c r="E40" i="33" s="1"/>
  <c r="F40" i="33" s="1"/>
  <c r="H5" i="33"/>
  <c r="H40" i="33" s="1"/>
  <c r="G204" i="26"/>
  <c r="F205" i="26"/>
  <c r="I64" i="58"/>
  <c r="G49" i="42"/>
  <c r="F50" i="42"/>
  <c r="I225" i="26"/>
  <c r="H50" i="42"/>
  <c r="D88" i="58"/>
  <c r="C89" i="58" s="1"/>
  <c r="B89" i="58"/>
  <c r="G257" i="26"/>
  <c r="F258" i="26"/>
  <c r="J51" i="26"/>
  <c r="F51" i="26"/>
  <c r="G114" i="26"/>
  <c r="F115" i="26"/>
  <c r="J57" i="58"/>
  <c r="G58" i="58" s="1"/>
  <c r="H57" i="58"/>
  <c r="G88" i="58"/>
  <c r="E88" i="58"/>
  <c r="I88" i="58"/>
  <c r="J88" i="58" s="1"/>
  <c r="H88" i="58"/>
  <c r="I366" i="26"/>
  <c r="G85" i="26"/>
  <c r="F86" i="26"/>
  <c r="F172" i="26"/>
  <c r="G171" i="26"/>
  <c r="D65" i="58"/>
  <c r="A65" i="58"/>
  <c r="I396" i="26"/>
  <c r="H53" i="26"/>
  <c r="G230" i="26"/>
  <c r="F231" i="26"/>
  <c r="J72" i="24"/>
  <c r="F74" i="24" s="1"/>
  <c r="G143" i="26"/>
  <c r="F144" i="26"/>
  <c r="F286" i="26"/>
  <c r="G285" i="26"/>
  <c r="E64" i="58"/>
  <c r="C65" i="58"/>
  <c r="I165" i="26"/>
  <c r="D411" i="26"/>
  <c r="E411" i="26" s="1"/>
  <c r="G52" i="24"/>
  <c r="E6" i="33" s="1"/>
  <c r="E41" i="33" s="1"/>
  <c r="J52" i="24"/>
  <c r="F53" i="24" s="1"/>
  <c r="H27" i="42"/>
  <c r="G51" i="26" l="1"/>
  <c r="H61" i="89"/>
  <c r="K61" i="89"/>
  <c r="G62" i="89" s="1"/>
  <c r="F344" i="26"/>
  <c r="G343" i="26"/>
  <c r="F317" i="26"/>
  <c r="G316" i="26"/>
  <c r="I65" i="58"/>
  <c r="G144" i="26"/>
  <c r="F145" i="26"/>
  <c r="F232" i="26"/>
  <c r="G231" i="26"/>
  <c r="B90" i="58"/>
  <c r="D89" i="58"/>
  <c r="C90" i="58" s="1"/>
  <c r="G205" i="26"/>
  <c r="F206" i="26"/>
  <c r="J25" i="31"/>
  <c r="F26" i="31" s="1"/>
  <c r="G26" i="31" s="1"/>
  <c r="J53" i="24"/>
  <c r="F54" i="24" s="1"/>
  <c r="G53" i="24"/>
  <c r="A66" i="58"/>
  <c r="D66" i="58"/>
  <c r="G89" i="58"/>
  <c r="J89" i="58" s="1"/>
  <c r="I89" i="58"/>
  <c r="E89" i="58"/>
  <c r="H89" i="58" s="1"/>
  <c r="E65" i="58"/>
  <c r="C66" i="58"/>
  <c r="J52" i="26"/>
  <c r="F52" i="26"/>
  <c r="F24" i="42"/>
  <c r="G23" i="42"/>
  <c r="I166" i="26"/>
  <c r="D412" i="26"/>
  <c r="E412" i="26" s="1"/>
  <c r="G258" i="26"/>
  <c r="F259" i="26"/>
  <c r="G50" i="42"/>
  <c r="F51" i="42"/>
  <c r="F173" i="26"/>
  <c r="G172" i="26"/>
  <c r="I226" i="26"/>
  <c r="F41" i="33"/>
  <c r="F287" i="26"/>
  <c r="G286" i="26"/>
  <c r="A90" i="58"/>
  <c r="F6" i="33"/>
  <c r="H369" i="26"/>
  <c r="C419" i="26"/>
  <c r="H28" i="42"/>
  <c r="I397" i="26"/>
  <c r="F87" i="26"/>
  <c r="G86" i="26"/>
  <c r="I5" i="33"/>
  <c r="I40" i="33" s="1"/>
  <c r="G368" i="26"/>
  <c r="F369" i="26"/>
  <c r="F399" i="26"/>
  <c r="G398" i="26"/>
  <c r="H54" i="26"/>
  <c r="H51" i="42"/>
  <c r="F5" i="33"/>
  <c r="B418" i="26"/>
  <c r="J74" i="24"/>
  <c r="F75" i="24" s="1"/>
  <c r="G74" i="24"/>
  <c r="I367" i="26"/>
  <c r="J58" i="58"/>
  <c r="G59" i="58" s="1"/>
  <c r="H58" i="58"/>
  <c r="F116" i="26"/>
  <c r="G115" i="26"/>
  <c r="H54" i="24"/>
  <c r="G52" i="26" l="1"/>
  <c r="H62" i="89"/>
  <c r="K62" i="89"/>
  <c r="G63" i="89" s="1"/>
  <c r="F318" i="26"/>
  <c r="G317" i="26"/>
  <c r="F345" i="26"/>
  <c r="G344" i="26"/>
  <c r="J75" i="24"/>
  <c r="F76" i="24" s="1"/>
  <c r="G75" i="24"/>
  <c r="G369" i="26"/>
  <c r="F370" i="26"/>
  <c r="F174" i="26"/>
  <c r="G173" i="26"/>
  <c r="D90" i="58"/>
  <c r="C91" i="58" s="1"/>
  <c r="B91" i="58"/>
  <c r="I368" i="26"/>
  <c r="B419" i="26"/>
  <c r="H370" i="26"/>
  <c r="C420" i="26"/>
  <c r="F260" i="26"/>
  <c r="G259" i="26"/>
  <c r="G232" i="26"/>
  <c r="F233" i="26"/>
  <c r="G87" i="26"/>
  <c r="F88" i="26"/>
  <c r="I66" i="58"/>
  <c r="G399" i="26"/>
  <c r="F400" i="26"/>
  <c r="I167" i="26"/>
  <c r="D413" i="26"/>
  <c r="E413" i="26" s="1"/>
  <c r="E66" i="58"/>
  <c r="C67" i="58"/>
  <c r="G54" i="24"/>
  <c r="J54" i="24"/>
  <c r="F55" i="24" s="1"/>
  <c r="G145" i="26"/>
  <c r="F146" i="26"/>
  <c r="G206" i="26"/>
  <c r="F207" i="26"/>
  <c r="G116" i="26"/>
  <c r="F117" i="26"/>
  <c r="H59" i="58"/>
  <c r="J59" i="58"/>
  <c r="G60" i="58" s="1"/>
  <c r="H55" i="26"/>
  <c r="A67" i="58"/>
  <c r="D67" i="58"/>
  <c r="H55" i="24"/>
  <c r="H52" i="42"/>
  <c r="H29" i="42"/>
  <c r="F288" i="26"/>
  <c r="G287" i="26"/>
  <c r="I227" i="26"/>
  <c r="G51" i="42"/>
  <c r="F52" i="42"/>
  <c r="F25" i="42"/>
  <c r="G24" i="42"/>
  <c r="J53" i="26"/>
  <c r="F53" i="26"/>
  <c r="J26" i="31"/>
  <c r="F27" i="31" s="1"/>
  <c r="G27" i="31" s="1"/>
  <c r="I398" i="26"/>
  <c r="A91" i="58"/>
  <c r="A92" i="58" s="1"/>
  <c r="E90" i="58"/>
  <c r="I90" i="58"/>
  <c r="G90" i="58"/>
  <c r="J90" i="58" s="1"/>
  <c r="G53" i="26" l="1"/>
  <c r="H63" i="89"/>
  <c r="K63" i="89"/>
  <c r="G64" i="89" s="1"/>
  <c r="G345" i="26"/>
  <c r="F346" i="26"/>
  <c r="F319" i="26"/>
  <c r="G318" i="26"/>
  <c r="F53" i="42"/>
  <c r="G52" i="42"/>
  <c r="J27" i="31"/>
  <c r="F28" i="31" s="1"/>
  <c r="G28" i="31" s="1"/>
  <c r="F234" i="26"/>
  <c r="G233" i="26"/>
  <c r="G260" i="26"/>
  <c r="F261" i="26"/>
  <c r="J54" i="26"/>
  <c r="F54" i="26"/>
  <c r="H90" i="58"/>
  <c r="H56" i="24"/>
  <c r="G207" i="26"/>
  <c r="F208" i="26"/>
  <c r="G208" i="26" s="1"/>
  <c r="B92" i="58"/>
  <c r="A93" i="58" s="1"/>
  <c r="D91" i="58"/>
  <c r="C92" i="58" s="1"/>
  <c r="F118" i="26"/>
  <c r="G117" i="26"/>
  <c r="I67" i="58"/>
  <c r="F89" i="26"/>
  <c r="G88" i="26"/>
  <c r="I369" i="26"/>
  <c r="F26" i="42"/>
  <c r="G25" i="42"/>
  <c r="I228" i="26"/>
  <c r="E67" i="58"/>
  <c r="I91" i="58"/>
  <c r="E91" i="58"/>
  <c r="H91" i="58" s="1"/>
  <c r="G91" i="58"/>
  <c r="J91" i="58" s="1"/>
  <c r="F371" i="26"/>
  <c r="G370" i="26"/>
  <c r="J76" i="24"/>
  <c r="F77" i="24" s="1"/>
  <c r="G76" i="24"/>
  <c r="H53" i="42"/>
  <c r="H56" i="26"/>
  <c r="H60" i="58"/>
  <c r="J60" i="58"/>
  <c r="G61" i="58" s="1"/>
  <c r="H371" i="26"/>
  <c r="C421" i="26"/>
  <c r="F175" i="26"/>
  <c r="G174" i="26"/>
  <c r="B420" i="26"/>
  <c r="I399" i="26"/>
  <c r="F289" i="26"/>
  <c r="G288" i="26"/>
  <c r="G146" i="26"/>
  <c r="F147" i="26"/>
  <c r="G55" i="24"/>
  <c r="J55" i="24"/>
  <c r="F56" i="24" s="1"/>
  <c r="I168" i="26"/>
  <c r="D414" i="26"/>
  <c r="E414" i="26" s="1"/>
  <c r="F401" i="26"/>
  <c r="G400" i="26"/>
  <c r="G54" i="26" l="1"/>
  <c r="K64" i="89"/>
  <c r="G65" i="89" s="1"/>
  <c r="H64" i="89"/>
  <c r="B421" i="26"/>
  <c r="F320" i="26"/>
  <c r="G319" i="26"/>
  <c r="G346" i="26"/>
  <c r="F347" i="26"/>
  <c r="I169" i="26"/>
  <c r="D415" i="26"/>
  <c r="E415" i="26" s="1"/>
  <c r="G175" i="26"/>
  <c r="F176" i="26"/>
  <c r="H372" i="26"/>
  <c r="C422" i="26"/>
  <c r="G234" i="26"/>
  <c r="F235" i="26"/>
  <c r="F54" i="42"/>
  <c r="G53" i="42"/>
  <c r="J56" i="24"/>
  <c r="F57" i="24" s="1"/>
  <c r="G56" i="24"/>
  <c r="F27" i="42"/>
  <c r="G26" i="42"/>
  <c r="G89" i="26"/>
  <c r="F90" i="26"/>
  <c r="G90" i="26" s="1"/>
  <c r="H57" i="24"/>
  <c r="H57" i="26"/>
  <c r="I370" i="26"/>
  <c r="G118" i="26"/>
  <c r="F119" i="26"/>
  <c r="F402" i="26"/>
  <c r="G402" i="26" s="1"/>
  <c r="G401" i="26"/>
  <c r="G371" i="26"/>
  <c r="F372" i="26"/>
  <c r="F262" i="26"/>
  <c r="G261" i="26"/>
  <c r="I400" i="26"/>
  <c r="F148" i="26"/>
  <c r="G147" i="26"/>
  <c r="G289" i="26"/>
  <c r="F290" i="26"/>
  <c r="H54" i="42"/>
  <c r="G77" i="24"/>
  <c r="J77" i="24"/>
  <c r="F78" i="24" s="1"/>
  <c r="I70" i="58"/>
  <c r="E92" i="58"/>
  <c r="H92" i="58" s="1"/>
  <c r="I92" i="58"/>
  <c r="G92" i="58"/>
  <c r="J92" i="58" s="1"/>
  <c r="J28" i="31"/>
  <c r="F29" i="31" s="1"/>
  <c r="G29" i="31" s="1"/>
  <c r="B93" i="58"/>
  <c r="D92" i="58"/>
  <c r="C93" i="58" s="1"/>
  <c r="H61" i="58"/>
  <c r="J61" i="58"/>
  <c r="G62" i="58" s="1"/>
  <c r="I229" i="26"/>
  <c r="J55" i="26"/>
  <c r="F55" i="26"/>
  <c r="G55" i="26" l="1"/>
  <c r="H65" i="89"/>
  <c r="K65" i="89"/>
  <c r="G66" i="89" s="1"/>
  <c r="F348" i="26"/>
  <c r="G348" i="26" s="1"/>
  <c r="G347" i="26"/>
  <c r="F321" i="26"/>
  <c r="G321" i="26" s="1"/>
  <c r="G320" i="26"/>
  <c r="B94" i="58"/>
  <c r="D93" i="58"/>
  <c r="C94" i="58" s="1"/>
  <c r="G290" i="26"/>
  <c r="F291" i="26"/>
  <c r="G235" i="26"/>
  <c r="F236" i="26"/>
  <c r="H373" i="26"/>
  <c r="C423" i="26"/>
  <c r="J56" i="26"/>
  <c r="F56" i="26"/>
  <c r="I230" i="26"/>
  <c r="H58" i="26"/>
  <c r="G27" i="42"/>
  <c r="F28" i="42"/>
  <c r="G176" i="26"/>
  <c r="F177" i="26"/>
  <c r="J78" i="24"/>
  <c r="F79" i="24" s="1"/>
  <c r="G78" i="24"/>
  <c r="G148" i="26"/>
  <c r="F149" i="26"/>
  <c r="F373" i="26"/>
  <c r="G372" i="26"/>
  <c r="A94" i="58"/>
  <c r="A95" i="58" s="1"/>
  <c r="G119" i="26"/>
  <c r="F120" i="26"/>
  <c r="G120" i="26" s="1"/>
  <c r="J62" i="58"/>
  <c r="G63" i="58" s="1"/>
  <c r="H62" i="58"/>
  <c r="J29" i="31"/>
  <c r="F30" i="31" s="1"/>
  <c r="G30" i="31" s="1"/>
  <c r="B422" i="26"/>
  <c r="H58" i="24"/>
  <c r="I170" i="26"/>
  <c r="D416" i="26"/>
  <c r="E416" i="26" s="1"/>
  <c r="F263" i="26"/>
  <c r="G262" i="26"/>
  <c r="I371" i="26"/>
  <c r="F55" i="42"/>
  <c r="G55" i="42" s="1"/>
  <c r="G54" i="42"/>
  <c r="J93" i="58"/>
  <c r="I93" i="58"/>
  <c r="G93" i="58"/>
  <c r="E93" i="58"/>
  <c r="H93" i="58" s="1"/>
  <c r="I401" i="26"/>
  <c r="G57" i="24"/>
  <c r="J57" i="24"/>
  <c r="G56" i="26" l="1"/>
  <c r="H66" i="89"/>
  <c r="K66" i="89"/>
  <c r="G67" i="89" s="1"/>
  <c r="G68" i="89" s="1"/>
  <c r="B423" i="26"/>
  <c r="G263" i="26"/>
  <c r="F264" i="26"/>
  <c r="I231" i="26"/>
  <c r="I94" i="58"/>
  <c r="I96" i="58" s="1"/>
  <c r="E94" i="58"/>
  <c r="H94" i="58" s="1"/>
  <c r="G94" i="58"/>
  <c r="J94" i="58" s="1"/>
  <c r="I171" i="26"/>
  <c r="D417" i="26"/>
  <c r="E417" i="26" s="1"/>
  <c r="J30" i="31"/>
  <c r="F31" i="31" s="1"/>
  <c r="G31" i="31" s="1"/>
  <c r="G373" i="26"/>
  <c r="F374" i="26"/>
  <c r="G236" i="26"/>
  <c r="F237" i="26"/>
  <c r="G237" i="26" s="1"/>
  <c r="D94" i="58"/>
  <c r="C95" i="58" s="1"/>
  <c r="B95" i="58"/>
  <c r="D95" i="58" s="1"/>
  <c r="F29" i="42"/>
  <c r="G28" i="42"/>
  <c r="J57" i="26"/>
  <c r="F57" i="26"/>
  <c r="H63" i="58"/>
  <c r="J63" i="58"/>
  <c r="G64" i="58" s="1"/>
  <c r="G149" i="26"/>
  <c r="F150" i="26"/>
  <c r="G150" i="26" s="1"/>
  <c r="H59" i="26"/>
  <c r="F292" i="26"/>
  <c r="G291" i="26"/>
  <c r="I372" i="26"/>
  <c r="G177" i="26"/>
  <c r="F178" i="26"/>
  <c r="H374" i="26"/>
  <c r="C425" i="26" s="1"/>
  <c r="C424" i="26"/>
  <c r="G79" i="24"/>
  <c r="J79" i="24"/>
  <c r="F80" i="24" s="1"/>
  <c r="G57" i="26" l="1"/>
  <c r="K67" i="89"/>
  <c r="H67" i="89"/>
  <c r="G292" i="26"/>
  <c r="F293" i="26"/>
  <c r="G293" i="26" s="1"/>
  <c r="J95" i="58"/>
  <c r="H95" i="58"/>
  <c r="H96" i="58" s="1"/>
  <c r="G95" i="58"/>
  <c r="G96" i="58" s="1"/>
  <c r="E95" i="58"/>
  <c r="J80" i="24"/>
  <c r="F81" i="24" s="1"/>
  <c r="G80" i="24"/>
  <c r="B12" i="32" s="1"/>
  <c r="F30" i="42"/>
  <c r="G30" i="42" s="1"/>
  <c r="G29" i="42"/>
  <c r="G178" i="26"/>
  <c r="F179" i="26"/>
  <c r="G179" i="26" s="1"/>
  <c r="J31" i="31"/>
  <c r="F32" i="31" s="1"/>
  <c r="G32" i="31" s="1"/>
  <c r="I373" i="26"/>
  <c r="J64" i="58"/>
  <c r="G65" i="58" s="1"/>
  <c r="H64" i="58"/>
  <c r="J58" i="26"/>
  <c r="F58" i="26"/>
  <c r="F375" i="26"/>
  <c r="G375" i="26" s="1"/>
  <c r="G374" i="26"/>
  <c r="I172" i="26"/>
  <c r="D418" i="26"/>
  <c r="E418" i="26" s="1"/>
  <c r="G264" i="26"/>
  <c r="F265" i="26"/>
  <c r="G265" i="26" s="1"/>
  <c r="B424" i="26"/>
  <c r="I232" i="26"/>
  <c r="G58" i="26" l="1"/>
  <c r="H68" i="89"/>
  <c r="J32" i="31"/>
  <c r="J59" i="26"/>
  <c r="F60" i="26" s="1"/>
  <c r="G60" i="26" s="1"/>
  <c r="F59" i="26"/>
  <c r="I374" i="26"/>
  <c r="J81" i="24"/>
  <c r="F82" i="24" s="1"/>
  <c r="G81" i="24"/>
  <c r="C12" i="32" s="1"/>
  <c r="C27" i="32" s="1"/>
  <c r="I173" i="26"/>
  <c r="D419" i="26"/>
  <c r="E419" i="26" s="1"/>
  <c r="B425" i="26"/>
  <c r="B426" i="26"/>
  <c r="E426" i="26" s="1"/>
  <c r="J65" i="58"/>
  <c r="G66" i="58" s="1"/>
  <c r="H65" i="58"/>
  <c r="I233" i="26"/>
  <c r="G59" i="26" l="1"/>
  <c r="J66" i="58"/>
  <c r="G67" i="58" s="1"/>
  <c r="H66" i="58"/>
  <c r="I234" i="26"/>
  <c r="I174" i="26"/>
  <c r="D420" i="26"/>
  <c r="E420" i="26" s="1"/>
  <c r="J60" i="26"/>
  <c r="G82" i="24"/>
  <c r="D12" i="32" s="1"/>
  <c r="D27" i="32" s="1"/>
  <c r="J82" i="24"/>
  <c r="F83" i="24" s="1"/>
  <c r="J83" i="24" l="1"/>
  <c r="F84" i="24" s="1"/>
  <c r="G83" i="24"/>
  <c r="E12" i="32" s="1"/>
  <c r="E27" i="32" s="1"/>
  <c r="G70" i="58"/>
  <c r="J67" i="58"/>
  <c r="H67" i="58"/>
  <c r="I235" i="26"/>
  <c r="I175" i="26"/>
  <c r="D421" i="26"/>
  <c r="E421" i="26" s="1"/>
  <c r="H70" i="58" l="1"/>
  <c r="F12" i="32"/>
  <c r="I176" i="26"/>
  <c r="D422" i="26"/>
  <c r="E422" i="26" s="1"/>
  <c r="I236" i="26"/>
  <c r="J84" i="24"/>
  <c r="F85" i="24" s="1"/>
  <c r="G84" i="24"/>
  <c r="B7" i="33" s="1"/>
  <c r="B42" i="33" s="1"/>
  <c r="J85" i="24" l="1"/>
  <c r="F86" i="24" s="1"/>
  <c r="G85" i="24"/>
  <c r="C7" i="33" s="1"/>
  <c r="C42" i="33" s="1"/>
  <c r="I177" i="26"/>
  <c r="D423" i="26"/>
  <c r="E423" i="26" l="1"/>
  <c r="I178" i="26"/>
  <c r="D425" i="26" s="1"/>
  <c r="E425" i="26" s="1"/>
  <c r="D424" i="26"/>
  <c r="E424" i="26" s="1"/>
  <c r="G86" i="24"/>
  <c r="D7" i="33" s="1"/>
  <c r="D42" i="33" s="1"/>
  <c r="J86" i="24"/>
  <c r="F87" i="24" s="1"/>
  <c r="J87" i="24" l="1"/>
  <c r="F88" i="24" s="1"/>
  <c r="G87" i="24"/>
  <c r="E7" i="33" s="1"/>
  <c r="E42" i="33" s="1"/>
  <c r="F42" i="33" s="1"/>
  <c r="F7" i="33" l="1"/>
  <c r="B27" i="32"/>
  <c r="J88" i="24"/>
  <c r="F89" i="24" s="1"/>
  <c r="G88" i="24"/>
  <c r="G89" i="24" l="1"/>
  <c r="J89" i="24"/>
  <c r="F90" i="24" s="1"/>
  <c r="F27" i="32"/>
  <c r="G90" i="24" l="1"/>
  <c r="J90" i="24"/>
  <c r="F91" i="24" s="1"/>
  <c r="G91" i="24" l="1"/>
  <c r="J91" i="24"/>
  <c r="F92" i="24" s="1"/>
  <c r="G92" i="24" l="1"/>
  <c r="J92" i="24"/>
</calcChain>
</file>

<file path=xl/comments1.xml><?xml version="1.0" encoding="utf-8"?>
<comments xmlns="http://schemas.openxmlformats.org/spreadsheetml/2006/main">
  <authors>
    <author>Mani, Concepcion Mendoza</author>
  </authors>
  <commentList>
    <comment ref="C34" authorId="0">
      <text>
        <r>
          <rPr>
            <sz val="10"/>
            <color indexed="81"/>
            <rFont val="Tahoma"/>
            <family val="2"/>
          </rPr>
          <t xml:space="preserve">TC Refunds begin </t>
        </r>
      </text>
    </comment>
  </commentList>
</comments>
</file>

<file path=xl/comments2.xml><?xml version="1.0" encoding="utf-8"?>
<comments xmlns="http://schemas.openxmlformats.org/spreadsheetml/2006/main">
  <authors>
    <author>Mani, Concepcion Mendoza</author>
  </authors>
  <commentList>
    <comment ref="G37" authorId="0">
      <text>
        <r>
          <rPr>
            <sz val="10"/>
            <color indexed="81"/>
            <rFont val="Tahoma"/>
            <family val="2"/>
          </rPr>
          <t>1st Refund was delayed due to some info from customer not received on time.</t>
        </r>
      </text>
    </comment>
  </commentList>
</comments>
</file>

<file path=xl/comments3.xml><?xml version="1.0" encoding="utf-8"?>
<comments xmlns="http://schemas.openxmlformats.org/spreadsheetml/2006/main">
  <authors>
    <author>Mani, Concepcion Mendoza</author>
  </authors>
  <commentList>
    <comment ref="H43" authorId="0">
      <text>
        <r>
          <rPr>
            <b/>
            <sz val="10"/>
            <color indexed="81"/>
            <rFont val="Tahoma"/>
            <family val="2"/>
          </rPr>
          <t xml:space="preserve">Sony Mani:  </t>
        </r>
        <r>
          <rPr>
            <sz val="10"/>
            <color indexed="81"/>
            <rFont val="Tahoma"/>
            <family val="2"/>
          </rPr>
          <t xml:space="preserve">Actual cost for network upgrade is $24,754,950.33.  The 3rd quarter TC refund includes the TC refund for the quarter, plus $1,697,050 (difference between the estimated and actual cost). 
</t>
        </r>
      </text>
    </comment>
    <comment ref="H47" authorId="0">
      <text>
        <r>
          <rPr>
            <sz val="10"/>
            <color indexed="81"/>
            <rFont val="Tahoma"/>
            <family val="2"/>
          </rPr>
          <t>Includes 2nd True up amount of $273,106.80</t>
        </r>
      </text>
    </comment>
  </commentList>
</comments>
</file>

<file path=xl/sharedStrings.xml><?xml version="1.0" encoding="utf-8"?>
<sst xmlns="http://schemas.openxmlformats.org/spreadsheetml/2006/main" count="1369" uniqueCount="211">
  <si>
    <t>Total</t>
  </si>
  <si>
    <t>ITCC</t>
  </si>
  <si>
    <t>Facility Credit</t>
  </si>
  <si>
    <t>Facility - Interest Credit</t>
  </si>
  <si>
    <t>One Time Cost - Interest Credit</t>
  </si>
  <si>
    <t>Facility Cost</t>
  </si>
  <si>
    <t>Date Payment Received By SCE</t>
  </si>
  <si>
    <t>A</t>
  </si>
  <si>
    <t>B</t>
  </si>
  <si>
    <t>C</t>
  </si>
  <si>
    <t>D = C-B+1</t>
  </si>
  <si>
    <t>E</t>
  </si>
  <si>
    <t>F</t>
  </si>
  <si>
    <t>G=D/365*E/100*F</t>
  </si>
  <si>
    <t>H</t>
  </si>
  <si>
    <t>Period</t>
  </si>
  <si>
    <t>Start Date</t>
  </si>
  <si>
    <t>End Date</t>
  </si>
  <si>
    <t>Days</t>
  </si>
  <si>
    <t>APR Interest Rate (%)</t>
  </si>
  <si>
    <t>Principal Used For Interest Calculation ($)</t>
  </si>
  <si>
    <t>Running Balance ($)</t>
  </si>
  <si>
    <t>Principal Paid</t>
  </si>
  <si>
    <t>Payment #</t>
  </si>
  <si>
    <t>One-Time Cost</t>
  </si>
  <si>
    <t>Facility Costs</t>
  </si>
  <si>
    <t>In-Service Date:</t>
  </si>
  <si>
    <t>Total Payments</t>
  </si>
  <si>
    <t>(Estimated)</t>
  </si>
  <si>
    <t>Qtr 4 - 2008</t>
  </si>
  <si>
    <t>Qtr 4 - 2009</t>
  </si>
  <si>
    <t>Qtr 4 - 2010</t>
  </si>
  <si>
    <t>Qtr 4 - 2011</t>
  </si>
  <si>
    <t>Qtr 4 - 2012</t>
  </si>
  <si>
    <t>Qtr 2 - 2008</t>
  </si>
  <si>
    <t>Qtr 3 - 2008</t>
  </si>
  <si>
    <t>Qtr 1 - 2009</t>
  </si>
  <si>
    <t>Qtr 2 - 2009</t>
  </si>
  <si>
    <t>Qtr 1 - 2012</t>
  </si>
  <si>
    <t>Qtr 3 - 2009</t>
  </si>
  <si>
    <t>Qtr 1 - 2010</t>
  </si>
  <si>
    <t>Qtr 2 - 2010</t>
  </si>
  <si>
    <t>Qtr 3 - 2010</t>
  </si>
  <si>
    <t>Qtr 1 - 2011</t>
  </si>
  <si>
    <t>Qtr 2 - 2011</t>
  </si>
  <si>
    <t>Qtr 3 - 2011</t>
  </si>
  <si>
    <t>Qtr 2 - 2012</t>
  </si>
  <si>
    <t>Qtr 3 - 2012</t>
  </si>
  <si>
    <t xml:space="preserve">Notes: </t>
  </si>
  <si>
    <t>Accrued / Quarterly Interest Amount ($)</t>
  </si>
  <si>
    <t>Accrued Interest Paid</t>
  </si>
  <si>
    <t>Total Interest Accrued</t>
  </si>
  <si>
    <t>1st Qtr</t>
  </si>
  <si>
    <t>2nd Qtr</t>
  </si>
  <si>
    <t>3rd Qtr</t>
  </si>
  <si>
    <t>4 Qtr</t>
  </si>
  <si>
    <t>Balance</t>
  </si>
  <si>
    <t>Total Payments ***</t>
  </si>
  <si>
    <t>Actual</t>
  </si>
  <si>
    <t>Mountainview (Actual)</t>
  </si>
  <si>
    <t>Qtr 1 - 2013</t>
  </si>
  <si>
    <t>Qtr 2 - 2013</t>
  </si>
  <si>
    <t>Qtr 3 - 2013</t>
  </si>
  <si>
    <t>Qtr 4 - 2013</t>
  </si>
  <si>
    <t>Total Interest</t>
  </si>
  <si>
    <t>Qtr 1 - 2014</t>
  </si>
  <si>
    <t>Qtr 2 - 2014</t>
  </si>
  <si>
    <t>Qtr 3 - 2014</t>
  </si>
  <si>
    <t>Qtr 4 - 2014</t>
  </si>
  <si>
    <t>Qtr 1 - 2015</t>
  </si>
  <si>
    <t>Qtr 2 - 2015</t>
  </si>
  <si>
    <t>Qtr 3 - 2015</t>
  </si>
  <si>
    <t>Qtr 4 - 2015</t>
  </si>
  <si>
    <t>Accrued Interest on One-Time Cost</t>
  </si>
  <si>
    <t xml:space="preserve">1st refund </t>
  </si>
  <si>
    <t>Accrued Interest</t>
  </si>
  <si>
    <t>Quarterly Interest Amount ($)</t>
  </si>
  <si>
    <t>Qtr 1 - 2016</t>
  </si>
  <si>
    <t>Qtr 2 - 2016</t>
  </si>
  <si>
    <t>Qtr 3 - 2016</t>
  </si>
  <si>
    <t>Qtr 4 - 2016</t>
  </si>
  <si>
    <t>Qtr 1 - 2017</t>
  </si>
  <si>
    <t>Qtr 2 - 2017</t>
  </si>
  <si>
    <t>Qtr 3 - 2017</t>
  </si>
  <si>
    <t>Qtr 4 - 2017</t>
  </si>
  <si>
    <t>Qtr 1 - 2018</t>
  </si>
  <si>
    <t>Qtr 2 - 2018</t>
  </si>
  <si>
    <t>Qtr 3 - 2018</t>
  </si>
  <si>
    <t>Contract was amended; cost increased from $8.3M to $26.5M.</t>
  </si>
  <si>
    <t>Est.date</t>
  </si>
  <si>
    <t>One Time Cost</t>
  </si>
  <si>
    <t>Mountain View IV Project</t>
  </si>
  <si>
    <t>Inland Empire Energy Center (TOT037)</t>
  </si>
  <si>
    <t>Mountain View IV Project (WDT213)</t>
  </si>
  <si>
    <t>NRG El Segundo (TOT041)</t>
  </si>
  <si>
    <t>Payment Received Date</t>
  </si>
  <si>
    <t>Facilities Cost</t>
  </si>
  <si>
    <t>Total Cost</t>
  </si>
  <si>
    <t>Total Costs</t>
  </si>
  <si>
    <t>In Service Date:</t>
  </si>
  <si>
    <t>Refund Dates</t>
  </si>
  <si>
    <t>Start Year:</t>
  </si>
  <si>
    <t>Start Quarter (Q1, Q2, Q3, Q4):</t>
  </si>
  <si>
    <t>End Year:</t>
  </si>
  <si>
    <t>End Quarter (Q1, Q2, Q3, Q4):</t>
  </si>
  <si>
    <t>Year</t>
  </si>
  <si>
    <t>Quarter</t>
  </si>
  <si>
    <t>FERC APR</t>
  </si>
  <si>
    <t>Principal</t>
  </si>
  <si>
    <t>Quarterly Interest</t>
  </si>
  <si>
    <t>Remaining Balance</t>
  </si>
  <si>
    <t>One-Time Costs</t>
  </si>
  <si>
    <t>Q1</t>
  </si>
  <si>
    <t>Q2</t>
  </si>
  <si>
    <t>2013</t>
  </si>
  <si>
    <t>2018</t>
  </si>
  <si>
    <t>Q3</t>
  </si>
  <si>
    <t>Accrued Interest on One-Time Cost - 10/01/2011</t>
  </si>
  <si>
    <t>First Refund</t>
  </si>
  <si>
    <t>Accrued Interest on One-Time Cost - 11/01/2011</t>
  </si>
  <si>
    <t>Accrued Interest on One-Time Cost - 12/01/2011</t>
  </si>
  <si>
    <t>Accrued Interest on One-Time Cost - 01/01/2012</t>
  </si>
  <si>
    <t>Accrued Interest on One-Time Cost - 02/01/2012</t>
  </si>
  <si>
    <t>Accrued Interest on One-Time Cost - 03/01/2012</t>
  </si>
  <si>
    <t>Accrued Interest on One-Time Cost - 04/01/2012</t>
  </si>
  <si>
    <t>Accrued Interest on One-Time Cost - 05/01/2012</t>
  </si>
  <si>
    <t>Accrued Interest on One-Time Cost - 06/01/2012</t>
  </si>
  <si>
    <t>Accrued Interest on One-Time Cost - 07/01/2012</t>
  </si>
  <si>
    <t>Accrued Interest on One-Time Cost - 08/01/2012</t>
  </si>
  <si>
    <t>Accrued Interest on One-Time Cost - 09/02/2012</t>
  </si>
  <si>
    <t>One Time Cost Summary</t>
  </si>
  <si>
    <t>Payment Received Schedule</t>
  </si>
  <si>
    <t>Actual Costs</t>
  </si>
  <si>
    <t>Q4</t>
  </si>
  <si>
    <t>Antelope Power Plant (TOT427)</t>
  </si>
  <si>
    <t>07.11.12-Actual Costs less than estimated costs.  Forecast breakdown includes one time true-up payment; therefore, quarterly and annual summaries will still illustrate estimated $26.5M amount, which includes the true-up adj amount</t>
  </si>
  <si>
    <t>*2012Q2 - Converted FSA Tab combined in this tab since One-Time Costs interest calculations no longer exist</t>
  </si>
  <si>
    <t>Sentinel (TOT032)</t>
  </si>
  <si>
    <t>NRG Alta Vista SunTower (TOT278)</t>
  </si>
  <si>
    <t>Blythe (TOT094)</t>
  </si>
  <si>
    <t>**Interest Accrual until first payment in Q3 2013.  Payment in Q3 2013 includes all interest accrued form In Service Date</t>
  </si>
  <si>
    <t>Trueup Refund to Customer</t>
  </si>
  <si>
    <t>1st Trueup</t>
  </si>
  <si>
    <t>2nd Trueup</t>
  </si>
  <si>
    <t xml:space="preserve">COD or Start of Refund: </t>
  </si>
  <si>
    <t>3rd Q 2009</t>
  </si>
  <si>
    <t>COD or Start of Refund:</t>
  </si>
  <si>
    <t>1st Q 2013</t>
  </si>
  <si>
    <t>Actual 1st Refund date</t>
  </si>
  <si>
    <t>COD</t>
  </si>
  <si>
    <t xml:space="preserve">1st Refund </t>
  </si>
  <si>
    <t>2nd Refund</t>
  </si>
  <si>
    <t>3rd Refund</t>
  </si>
  <si>
    <t>FERC Rate</t>
  </si>
  <si>
    <t>COD:</t>
  </si>
  <si>
    <t>**Interest Accrual until first payment in Q3 2013.  Payment in Q3 2013 includes all interest accrued from In Service Date</t>
  </si>
  <si>
    <t>**Two payments completed during Q3 2013</t>
  </si>
  <si>
    <t xml:space="preserve">There are three refunds in September.  </t>
  </si>
  <si>
    <t>**No longer eligible for Transmission Credit Refunds after 12/15/2013.  EKWRA impacted.</t>
  </si>
  <si>
    <t>**No longer eligible for Transmission Credit Refunds.  EKWRA impacted.</t>
  </si>
  <si>
    <t xml:space="preserve">*** ALL TOTALS </t>
  </si>
  <si>
    <t xml:space="preserve">   Facility Interest Credit = Quarterly post-construction interest payments made by SCE, calculation starts on the in-service date of the facility.</t>
  </si>
  <si>
    <t xml:space="preserve">   Facility Credit = Quarterly refunds made by SCE related to customer facility cost prepayments.</t>
  </si>
  <si>
    <t xml:space="preserve">   One Time Cost Interest Credit = Quarterly interest payments made by SCE (for pre and post-construction periods) related to customer one Time prepayments.</t>
  </si>
  <si>
    <t xml:space="preserve">      Calculation begins on the date SCE receives prepayment.</t>
  </si>
  <si>
    <t>RECORDED QUARTERLY 2013 - Network Upgrade Credits</t>
  </si>
  <si>
    <t xml:space="preserve">* Total Payments = Total facility related payments made by customer, subject to refund.  </t>
  </si>
  <si>
    <t xml:space="preserve">** Refunds to date = Total refunds made by SCE at the end of reporting year. </t>
  </si>
  <si>
    <t>Total Payments *</t>
  </si>
  <si>
    <t>Refunds to Date **</t>
  </si>
  <si>
    <t>Balance ^</t>
  </si>
  <si>
    <t>^ Refunds no longer available beginning 2Qtr 2013 due to EKWRA</t>
  </si>
  <si>
    <t>All Totals ***</t>
  </si>
  <si>
    <t>Inland Empire Energy Center (Estimate)</t>
  </si>
  <si>
    <t xml:space="preserve">Blythe (Actual) </t>
  </si>
  <si>
    <t>RECORDED QUARTERLY 2012 - Network Upgrade Credits</t>
  </si>
  <si>
    <t>Disbursement #</t>
  </si>
  <si>
    <t>Disbursement Date</t>
  </si>
  <si>
    <t>Combined total</t>
  </si>
  <si>
    <t>Estimated In-Service Date:</t>
  </si>
  <si>
    <t>Facility Costs Interest</t>
  </si>
  <si>
    <t>Qtr 4 - 2005</t>
  </si>
  <si>
    <t>Qtr 1 - 2006</t>
  </si>
  <si>
    <t>Qtr 2 - 2006</t>
  </si>
  <si>
    <t>Qtr 3 - 2006</t>
  </si>
  <si>
    <t>Qtr 4 - 2006</t>
  </si>
  <si>
    <t>Qtr 1 - 2007</t>
  </si>
  <si>
    <t>Qtr 2 - 2007</t>
  </si>
  <si>
    <t>Qtr 3 - 2007</t>
  </si>
  <si>
    <t>Qtr 4 - 2007</t>
  </si>
  <si>
    <t>Qtr 1 - 2008</t>
  </si>
  <si>
    <t>Accrued Interest on One-Time Costs - Payment 1</t>
  </si>
  <si>
    <t>Qtr 2 - 2001</t>
  </si>
  <si>
    <t>Qtr 3 - 2001</t>
  </si>
  <si>
    <t>Qtr 4 - 2001</t>
  </si>
  <si>
    <t>Qtr 1 - 2002</t>
  </si>
  <si>
    <t>Qtr 2 - 2002</t>
  </si>
  <si>
    <t>Qtr 3 - 2002</t>
  </si>
  <si>
    <t>Qtr 4 - 2002</t>
  </si>
  <si>
    <t>Qtr 1 - 2003</t>
  </si>
  <si>
    <t>Qtr 2 - 2003</t>
  </si>
  <si>
    <t>Qtr 3 - 2003</t>
  </si>
  <si>
    <t>Qtr 4 - 2003</t>
  </si>
  <si>
    <t>Qtr 1 - 2004</t>
  </si>
  <si>
    <t>Qtr 2 - 2004</t>
  </si>
  <si>
    <t>Qtr 3 - 2004</t>
  </si>
  <si>
    <t>Qtr 4 - 2004</t>
  </si>
  <si>
    <t>Qtr 1 - 2005</t>
  </si>
  <si>
    <t>Qtr 2 - 2005</t>
  </si>
  <si>
    <t>Qtr 3 - 2005</t>
  </si>
  <si>
    <t>Accrued Interest on One-Time Costs - Payment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</si>
</sst>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&quot;$&quot;#,##0.00"/>
    <numFmt numFmtId="166" formatCode="m/d/yyyy;@"/>
    <numFmt numFmtId="167" formatCode="mm/dd/yy;@"/>
    <numFmt numFmtId="168" formatCode="0.000%"/>
  </numFmts>
  <fonts count="1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name val="Arial Narrow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10"/>
      <color indexed="81"/>
      <name val="Tahoma"/>
      <family val="2"/>
    </font>
    <font>
      <b/>
      <sz val="10"/>
      <color indexed="81"/>
      <name val="Tahoma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0"/>
      <color rgb="FFFF0000"/>
      <name val="Arial"/>
      <family val="2"/>
    </font>
    <font>
      <b/>
      <sz val="12"/>
      <color rgb="FFFF0000"/>
      <name val="Arial"/>
      <family val="2"/>
    </font>
    <font>
      <b/>
      <sz val="10"/>
      <color rgb="FFFF0000"/>
      <name val="Arial"/>
      <family val="2"/>
    </font>
    <font>
      <sz val="10"/>
      <color rgb="FF0000FF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2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55"/>
      </right>
      <top style="thin">
        <color indexed="64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64"/>
      </top>
      <bottom style="thin">
        <color indexed="55"/>
      </bottom>
      <diagonal/>
    </border>
    <border>
      <left style="thin">
        <color indexed="55"/>
      </left>
      <right style="thin">
        <color indexed="64"/>
      </right>
      <top style="thin">
        <color indexed="64"/>
      </top>
      <bottom style="thin">
        <color indexed="55"/>
      </bottom>
      <diagonal/>
    </border>
    <border>
      <left style="thin">
        <color indexed="64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64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55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55"/>
      </bottom>
      <diagonal/>
    </border>
    <border>
      <left style="thin">
        <color indexed="64"/>
      </left>
      <right style="thin">
        <color indexed="55"/>
      </right>
      <top/>
      <bottom style="thin">
        <color indexed="55"/>
      </bottom>
      <diagonal/>
    </border>
    <border>
      <left style="thin">
        <color indexed="64"/>
      </left>
      <right style="thin">
        <color indexed="55"/>
      </right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55"/>
      </right>
      <top style="thin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64"/>
      </right>
      <top style="thin">
        <color indexed="55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6" fillId="0" borderId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537">
    <xf numFmtId="0" fontId="0" fillId="0" borderId="0" xfId="0"/>
    <xf numFmtId="0" fontId="6" fillId="0" borderId="0" xfId="0" applyFont="1" applyFill="1"/>
    <xf numFmtId="0" fontId="4" fillId="0" borderId="1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center" wrapText="1"/>
    </xf>
    <xf numFmtId="0" fontId="6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4" fillId="2" borderId="1" xfId="0" applyFont="1" applyFill="1" applyBorder="1"/>
    <xf numFmtId="0" fontId="0" fillId="0" borderId="0" xfId="0" applyAlignment="1">
      <alignment horizontal="left"/>
    </xf>
    <xf numFmtId="167" fontId="6" fillId="0" borderId="0" xfId="0" applyNumberFormat="1" applyFont="1" applyFill="1" applyAlignment="1">
      <alignment horizontal="center"/>
    </xf>
    <xf numFmtId="167" fontId="6" fillId="0" borderId="0" xfId="0" applyNumberFormat="1" applyFont="1" applyFill="1" applyAlignment="1">
      <alignment horizontal="center" wrapText="1"/>
    </xf>
    <xf numFmtId="44" fontId="6" fillId="0" borderId="0" xfId="3" applyFont="1" applyFill="1" applyAlignment="1">
      <alignment horizontal="center"/>
    </xf>
    <xf numFmtId="0" fontId="3" fillId="0" borderId="1" xfId="0" applyFont="1" applyBorder="1" applyAlignment="1">
      <alignment horizontal="right"/>
    </xf>
    <xf numFmtId="14" fontId="4" fillId="0" borderId="0" xfId="0" applyNumberFormat="1" applyFont="1" applyFill="1"/>
    <xf numFmtId="167" fontId="6" fillId="0" borderId="0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9" fillId="0" borderId="0" xfId="0" applyFont="1" applyFill="1"/>
    <xf numFmtId="0" fontId="7" fillId="0" borderId="0" xfId="0" applyNumberFormat="1" applyFont="1" applyFill="1" applyAlignment="1">
      <alignment horizontal="center"/>
    </xf>
    <xf numFmtId="44" fontId="6" fillId="0" borderId="0" xfId="3" applyFont="1" applyFill="1"/>
    <xf numFmtId="0" fontId="1" fillId="0" borderId="0" xfId="0" applyFont="1" applyFill="1"/>
    <xf numFmtId="44" fontId="9" fillId="0" borderId="0" xfId="3" applyFont="1" applyFill="1"/>
    <xf numFmtId="44" fontId="9" fillId="0" borderId="0" xfId="3" applyFont="1" applyFill="1" applyBorder="1"/>
    <xf numFmtId="44" fontId="9" fillId="0" borderId="0" xfId="0" applyNumberFormat="1" applyFont="1" applyFill="1"/>
    <xf numFmtId="0" fontId="7" fillId="0" borderId="0" xfId="0" applyNumberFormat="1" applyFont="1" applyFill="1" applyBorder="1" applyAlignment="1">
      <alignment horizontal="center"/>
    </xf>
    <xf numFmtId="44" fontId="6" fillId="0" borderId="0" xfId="3" applyFont="1" applyFill="1" applyBorder="1"/>
    <xf numFmtId="14" fontId="6" fillId="0" borderId="13" xfId="0" applyNumberFormat="1" applyFont="1" applyFill="1" applyBorder="1" applyAlignment="1">
      <alignment horizontal="center"/>
    </xf>
    <xf numFmtId="43" fontId="6" fillId="0" borderId="13" xfId="0" applyNumberFormat="1" applyFont="1" applyFill="1" applyBorder="1"/>
    <xf numFmtId="4" fontId="6" fillId="0" borderId="13" xfId="1" applyNumberFormat="1" applyFont="1" applyFill="1" applyBorder="1"/>
    <xf numFmtId="4" fontId="6" fillId="0" borderId="14" xfId="1" applyNumberFormat="1" applyFont="1" applyFill="1" applyBorder="1"/>
    <xf numFmtId="0" fontId="6" fillId="0" borderId="12" xfId="0" applyFont="1" applyFill="1" applyBorder="1" applyAlignment="1">
      <alignment horizontal="center"/>
    </xf>
    <xf numFmtId="0" fontId="6" fillId="0" borderId="15" xfId="0" applyFont="1" applyFill="1" applyBorder="1" applyAlignment="1">
      <alignment horizontal="center"/>
    </xf>
    <xf numFmtId="14" fontId="6" fillId="0" borderId="16" xfId="0" applyNumberFormat="1" applyFont="1" applyFill="1" applyBorder="1" applyAlignment="1">
      <alignment horizontal="center"/>
    </xf>
    <xf numFmtId="17" fontId="6" fillId="0" borderId="9" xfId="0" applyNumberFormat="1" applyFont="1" applyFill="1" applyBorder="1" applyAlignment="1">
      <alignment horizontal="center"/>
    </xf>
    <xf numFmtId="4" fontId="4" fillId="0" borderId="13" xfId="0" applyNumberFormat="1" applyFont="1" applyFill="1" applyBorder="1"/>
    <xf numFmtId="0" fontId="10" fillId="0" borderId="0" xfId="0" applyFont="1" applyFill="1" applyBorder="1"/>
    <xf numFmtId="0" fontId="0" fillId="0" borderId="4" xfId="0" applyBorder="1"/>
    <xf numFmtId="0" fontId="0" fillId="0" borderId="0" xfId="0" applyFill="1"/>
    <xf numFmtId="44" fontId="1" fillId="0" borderId="0" xfId="3" applyFont="1" applyFill="1" applyBorder="1"/>
    <xf numFmtId="44" fontId="1" fillId="0" borderId="0" xfId="3" applyFont="1" applyFill="1"/>
    <xf numFmtId="44" fontId="1" fillId="0" borderId="0" xfId="0" applyNumberFormat="1" applyFont="1" applyFill="1"/>
    <xf numFmtId="0" fontId="1" fillId="3" borderId="0" xfId="0" applyFont="1" applyFill="1"/>
    <xf numFmtId="14" fontId="1" fillId="3" borderId="13" xfId="0" applyNumberFormat="1" applyFont="1" applyFill="1" applyBorder="1" applyAlignment="1">
      <alignment horizontal="center"/>
    </xf>
    <xf numFmtId="0" fontId="1" fillId="3" borderId="13" xfId="0" applyFont="1" applyFill="1" applyBorder="1" applyAlignment="1">
      <alignment horizontal="center"/>
    </xf>
    <xf numFmtId="0" fontId="1" fillId="0" borderId="12" xfId="0" applyFont="1" applyFill="1" applyBorder="1"/>
    <xf numFmtId="0" fontId="1" fillId="0" borderId="13" xfId="0" applyFont="1" applyFill="1" applyBorder="1"/>
    <xf numFmtId="0" fontId="1" fillId="0" borderId="5" xfId="0" applyFont="1" applyFill="1" applyBorder="1"/>
    <xf numFmtId="0" fontId="1" fillId="0" borderId="13" xfId="0" applyNumberFormat="1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43" fontId="1" fillId="0" borderId="13" xfId="0" applyNumberFormat="1" applyFont="1" applyFill="1" applyBorder="1"/>
    <xf numFmtId="0" fontId="6" fillId="0" borderId="21" xfId="0" applyFont="1" applyFill="1" applyBorder="1" applyAlignment="1">
      <alignment horizontal="center"/>
    </xf>
    <xf numFmtId="0" fontId="6" fillId="0" borderId="20" xfId="0" applyFont="1" applyFill="1" applyBorder="1" applyAlignment="1">
      <alignment horizontal="center"/>
    </xf>
    <xf numFmtId="0" fontId="3" fillId="0" borderId="1" xfId="0" applyFont="1" applyBorder="1"/>
    <xf numFmtId="0" fontId="3" fillId="0" borderId="1" xfId="0" applyFont="1" applyFill="1" applyBorder="1"/>
    <xf numFmtId="0" fontId="0" fillId="0" borderId="0" xfId="0" applyFill="1" applyBorder="1"/>
    <xf numFmtId="0" fontId="6" fillId="4" borderId="12" xfId="0" applyFont="1" applyFill="1" applyBorder="1" applyAlignment="1">
      <alignment horizontal="center"/>
    </xf>
    <xf numFmtId="14" fontId="6" fillId="4" borderId="13" xfId="0" applyNumberFormat="1" applyFont="1" applyFill="1" applyBorder="1" applyAlignment="1">
      <alignment horizontal="center"/>
    </xf>
    <xf numFmtId="0" fontId="1" fillId="4" borderId="13" xfId="0" applyNumberFormat="1" applyFont="1" applyFill="1" applyBorder="1" applyAlignment="1">
      <alignment horizontal="center"/>
    </xf>
    <xf numFmtId="0" fontId="1" fillId="4" borderId="13" xfId="0" applyFont="1" applyFill="1" applyBorder="1" applyAlignment="1">
      <alignment horizontal="center"/>
    </xf>
    <xf numFmtId="43" fontId="1" fillId="4" borderId="13" xfId="0" applyNumberFormat="1" applyFont="1" applyFill="1" applyBorder="1"/>
    <xf numFmtId="0" fontId="1" fillId="4" borderId="0" xfId="0" applyFont="1" applyFill="1"/>
    <xf numFmtId="17" fontId="6" fillId="4" borderId="9" xfId="0" applyNumberFormat="1" applyFont="1" applyFill="1" applyBorder="1" applyAlignment="1">
      <alignment horizontal="center"/>
    </xf>
    <xf numFmtId="14" fontId="1" fillId="4" borderId="10" xfId="0" applyNumberFormat="1" applyFont="1" applyFill="1" applyBorder="1" applyAlignment="1">
      <alignment horizontal="center"/>
    </xf>
    <xf numFmtId="14" fontId="1" fillId="4" borderId="13" xfId="0" applyNumberFormat="1" applyFont="1" applyFill="1" applyBorder="1" applyAlignment="1">
      <alignment horizontal="center"/>
    </xf>
    <xf numFmtId="43" fontId="6" fillId="4" borderId="13" xfId="0" applyNumberFormat="1" applyFont="1" applyFill="1" applyBorder="1"/>
    <xf numFmtId="0" fontId="6" fillId="4" borderId="0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44" fontId="6" fillId="0" borderId="1" xfId="3" applyFont="1" applyFill="1" applyBorder="1"/>
    <xf numFmtId="14" fontId="1" fillId="0" borderId="10" xfId="0" applyNumberFormat="1" applyFont="1" applyFill="1" applyBorder="1" applyAlignment="1">
      <alignment horizontal="center"/>
    </xf>
    <xf numFmtId="43" fontId="1" fillId="0" borderId="19" xfId="0" applyNumberFormat="1" applyFont="1" applyFill="1" applyBorder="1"/>
    <xf numFmtId="14" fontId="1" fillId="0" borderId="13" xfId="0" applyNumberFormat="1" applyFont="1" applyFill="1" applyBorder="1" applyAlignment="1">
      <alignment horizontal="center"/>
    </xf>
    <xf numFmtId="164" fontId="1" fillId="0" borderId="13" xfId="3" applyNumberFormat="1" applyFont="1" applyFill="1" applyBorder="1"/>
    <xf numFmtId="164" fontId="1" fillId="0" borderId="14" xfId="3" applyNumberFormat="1" applyFont="1" applyFill="1" applyBorder="1"/>
    <xf numFmtId="164" fontId="1" fillId="4" borderId="13" xfId="3" applyNumberFormat="1" applyFont="1" applyFill="1" applyBorder="1"/>
    <xf numFmtId="164" fontId="1" fillId="4" borderId="14" xfId="3" applyNumberFormat="1" applyFont="1" applyFill="1" applyBorder="1"/>
    <xf numFmtId="43" fontId="1" fillId="3" borderId="13" xfId="0" applyNumberFormat="1" applyFont="1" applyFill="1" applyBorder="1"/>
    <xf numFmtId="0" fontId="4" fillId="0" borderId="6" xfId="0" applyFont="1" applyFill="1" applyBorder="1" applyAlignment="1">
      <alignment horizontal="center" wrapText="1"/>
    </xf>
    <xf numFmtId="4" fontId="1" fillId="0" borderId="13" xfId="0" applyNumberFormat="1" applyFont="1" applyFill="1" applyBorder="1"/>
    <xf numFmtId="43" fontId="1" fillId="0" borderId="13" xfId="1" applyFont="1" applyFill="1" applyBorder="1"/>
    <xf numFmtId="4" fontId="1" fillId="4" borderId="13" xfId="0" applyNumberFormat="1" applyFont="1" applyFill="1" applyBorder="1"/>
    <xf numFmtId="43" fontId="1" fillId="4" borderId="13" xfId="1" applyFont="1" applyFill="1" applyBorder="1"/>
    <xf numFmtId="39" fontId="1" fillId="0" borderId="13" xfId="0" applyNumberFormat="1" applyFont="1" applyFill="1" applyBorder="1"/>
    <xf numFmtId="14" fontId="6" fillId="0" borderId="1" xfId="0" applyNumberFormat="1" applyFont="1" applyFill="1" applyBorder="1" applyAlignment="1">
      <alignment horizontal="center"/>
    </xf>
    <xf numFmtId="44" fontId="6" fillId="0" borderId="1" xfId="0" applyNumberFormat="1" applyFont="1" applyFill="1" applyBorder="1" applyAlignment="1">
      <alignment horizontal="center" wrapText="1"/>
    </xf>
    <xf numFmtId="0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4" fontId="6" fillId="0" borderId="1" xfId="1" applyNumberFormat="1" applyFont="1" applyFill="1" applyBorder="1"/>
    <xf numFmtId="43" fontId="1" fillId="0" borderId="1" xfId="0" applyNumberFormat="1" applyFont="1" applyFill="1" applyBorder="1"/>
    <xf numFmtId="0" fontId="6" fillId="4" borderId="21" xfId="0" applyFont="1" applyFill="1" applyBorder="1" applyAlignment="1">
      <alignment horizontal="center"/>
    </xf>
    <xf numFmtId="14" fontId="6" fillId="4" borderId="22" xfId="0" applyNumberFormat="1" applyFont="1" applyFill="1" applyBorder="1" applyAlignment="1">
      <alignment horizontal="center"/>
    </xf>
    <xf numFmtId="0" fontId="6" fillId="4" borderId="20" xfId="0" applyFont="1" applyFill="1" applyBorder="1" applyAlignment="1">
      <alignment horizontal="center"/>
    </xf>
    <xf numFmtId="14" fontId="6" fillId="0" borderId="0" xfId="0" applyNumberFormat="1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4" fontId="1" fillId="0" borderId="0" xfId="0" applyNumberFormat="1" applyFont="1" applyFill="1" applyBorder="1"/>
    <xf numFmtId="43" fontId="1" fillId="0" borderId="0" xfId="0" applyNumberFormat="1" applyFont="1" applyFill="1" applyBorder="1"/>
    <xf numFmtId="4" fontId="1" fillId="0" borderId="0" xfId="0" applyNumberFormat="1" applyFont="1" applyFill="1"/>
    <xf numFmtId="0" fontId="6" fillId="7" borderId="1" xfId="0" applyFont="1" applyFill="1" applyBorder="1" applyAlignment="1">
      <alignment horizontal="center"/>
    </xf>
    <xf numFmtId="14" fontId="6" fillId="7" borderId="1" xfId="0" applyNumberFormat="1" applyFont="1" applyFill="1" applyBorder="1" applyAlignment="1">
      <alignment horizontal="center"/>
    </xf>
    <xf numFmtId="0" fontId="1" fillId="7" borderId="1" xfId="0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44" fontId="6" fillId="7" borderId="1" xfId="0" applyNumberFormat="1" applyFont="1" applyFill="1" applyBorder="1" applyAlignment="1">
      <alignment horizontal="center" wrapText="1"/>
    </xf>
    <xf numFmtId="4" fontId="6" fillId="7" borderId="1" xfId="1" applyNumberFormat="1" applyFont="1" applyFill="1" applyBorder="1"/>
    <xf numFmtId="0" fontId="4" fillId="8" borderId="1" xfId="0" applyFont="1" applyFill="1" applyBorder="1"/>
    <xf numFmtId="0" fontId="4" fillId="9" borderId="1" xfId="0" applyFont="1" applyFill="1" applyBorder="1"/>
    <xf numFmtId="44" fontId="4" fillId="0" borderId="0" xfId="0" applyNumberFormat="1" applyFont="1" applyFill="1"/>
    <xf numFmtId="0" fontId="1" fillId="0" borderId="1" xfId="0" applyFont="1" applyFill="1" applyBorder="1"/>
    <xf numFmtId="0" fontId="6" fillId="0" borderId="0" xfId="5" applyAlignment="1">
      <alignment horizontal="center"/>
    </xf>
    <xf numFmtId="8" fontId="6" fillId="0" borderId="0" xfId="5" applyNumberFormat="1" applyAlignment="1">
      <alignment horizontal="center"/>
    </xf>
    <xf numFmtId="0" fontId="6" fillId="0" borderId="0" xfId="5"/>
    <xf numFmtId="0" fontId="4" fillId="10" borderId="28" xfId="5" applyFont="1" applyFill="1" applyBorder="1" applyAlignment="1">
      <alignment horizontal="center" vertical="center" wrapText="1"/>
    </xf>
    <xf numFmtId="0" fontId="4" fillId="10" borderId="26" xfId="5" applyFont="1" applyFill="1" applyBorder="1" applyAlignment="1">
      <alignment horizontal="center" vertical="center" wrapText="1"/>
    </xf>
    <xf numFmtId="8" fontId="4" fillId="10" borderId="26" xfId="5" applyNumberFormat="1" applyFont="1" applyFill="1" applyBorder="1" applyAlignment="1">
      <alignment horizontal="center" vertical="center" wrapText="1"/>
    </xf>
    <xf numFmtId="8" fontId="4" fillId="10" borderId="29" xfId="5" applyNumberFormat="1" applyFont="1" applyFill="1" applyBorder="1" applyAlignment="1">
      <alignment horizontal="center" vertical="center" wrapText="1"/>
    </xf>
    <xf numFmtId="0" fontId="4" fillId="0" borderId="0" xfId="5" applyFont="1" applyAlignment="1">
      <alignment vertical="center" wrapText="1"/>
    </xf>
    <xf numFmtId="0" fontId="6" fillId="0" borderId="8" xfId="5" applyBorder="1" applyAlignment="1">
      <alignment horizontal="center"/>
    </xf>
    <xf numFmtId="166" fontId="6" fillId="0" borderId="0" xfId="5" applyNumberFormat="1" applyBorder="1" applyAlignment="1" applyProtection="1">
      <alignment horizontal="center"/>
      <protection locked="0"/>
    </xf>
    <xf numFmtId="8" fontId="6" fillId="0" borderId="0" xfId="5" applyNumberFormat="1" applyBorder="1" applyAlignment="1" applyProtection="1">
      <alignment horizontal="center"/>
      <protection locked="0"/>
    </xf>
    <xf numFmtId="8" fontId="4" fillId="0" borderId="30" xfId="5" applyNumberFormat="1" applyFont="1" applyBorder="1" applyAlignment="1">
      <alignment horizontal="center"/>
    </xf>
    <xf numFmtId="0" fontId="6" fillId="0" borderId="31" xfId="5" applyBorder="1" applyAlignment="1">
      <alignment horizontal="center"/>
    </xf>
    <xf numFmtId="166" fontId="6" fillId="0" borderId="32" xfId="5" applyNumberFormat="1" applyBorder="1" applyAlignment="1" applyProtection="1">
      <alignment horizontal="center"/>
      <protection locked="0"/>
    </xf>
    <xf numFmtId="8" fontId="6" fillId="0" borderId="32" xfId="5" applyNumberFormat="1" applyBorder="1" applyAlignment="1" applyProtection="1">
      <alignment horizontal="center"/>
      <protection locked="0"/>
    </xf>
    <xf numFmtId="8" fontId="4" fillId="0" borderId="33" xfId="5" applyNumberFormat="1" applyFont="1" applyBorder="1" applyAlignment="1">
      <alignment horizontal="center"/>
    </xf>
    <xf numFmtId="0" fontId="4" fillId="11" borderId="34" xfId="5" applyFont="1" applyFill="1" applyBorder="1" applyAlignment="1">
      <alignment horizontal="center"/>
    </xf>
    <xf numFmtId="0" fontId="4" fillId="11" borderId="35" xfId="5" applyFont="1" applyFill="1" applyBorder="1" applyAlignment="1">
      <alignment horizontal="center"/>
    </xf>
    <xf numFmtId="8" fontId="4" fillId="11" borderId="35" xfId="5" applyNumberFormat="1" applyFont="1" applyFill="1" applyBorder="1" applyAlignment="1">
      <alignment horizontal="center"/>
    </xf>
    <xf numFmtId="8" fontId="4" fillId="11" borderId="36" xfId="5" applyNumberFormat="1" applyFont="1" applyFill="1" applyBorder="1" applyAlignment="1">
      <alignment horizontal="center"/>
    </xf>
    <xf numFmtId="0" fontId="4" fillId="10" borderId="28" xfId="5" applyFont="1" applyFill="1" applyBorder="1" applyAlignment="1">
      <alignment horizontal="left"/>
    </xf>
    <xf numFmtId="0" fontId="4" fillId="0" borderId="0" xfId="5" applyFont="1" applyAlignment="1">
      <alignment horizontal="left"/>
    </xf>
    <xf numFmtId="166" fontId="6" fillId="0" borderId="0" xfId="5" applyNumberFormat="1" applyAlignment="1" applyProtection="1">
      <alignment horizontal="center"/>
      <protection locked="0"/>
    </xf>
    <xf numFmtId="0" fontId="4" fillId="10" borderId="8" xfId="5" applyFont="1" applyFill="1" applyBorder="1" applyAlignment="1">
      <alignment horizontal="left"/>
    </xf>
    <xf numFmtId="49" fontId="6" fillId="0" borderId="0" xfId="5" applyNumberFormat="1" applyBorder="1" applyAlignment="1" applyProtection="1">
      <alignment horizontal="center"/>
      <protection locked="0"/>
    </xf>
    <xf numFmtId="0" fontId="4" fillId="10" borderId="0" xfId="5" applyFont="1" applyFill="1" applyBorder="1" applyAlignment="1">
      <alignment horizontal="left"/>
    </xf>
    <xf numFmtId="49" fontId="6" fillId="0" borderId="30" xfId="5" applyNumberFormat="1" applyBorder="1" applyAlignment="1" applyProtection="1">
      <alignment horizontal="center"/>
      <protection locked="0"/>
    </xf>
    <xf numFmtId="0" fontId="4" fillId="10" borderId="34" xfId="5" applyFont="1" applyFill="1" applyBorder="1" applyAlignment="1">
      <alignment horizontal="left"/>
    </xf>
    <xf numFmtId="49" fontId="6" fillId="0" borderId="35" xfId="5" applyNumberFormat="1" applyBorder="1" applyAlignment="1" applyProtection="1">
      <alignment horizontal="center"/>
      <protection locked="0"/>
    </xf>
    <xf numFmtId="0" fontId="4" fillId="10" borderId="35" xfId="5" applyFont="1" applyFill="1" applyBorder="1" applyAlignment="1">
      <alignment horizontal="left"/>
    </xf>
    <xf numFmtId="49" fontId="6" fillId="0" borderId="36" xfId="5" applyNumberFormat="1" applyBorder="1" applyAlignment="1" applyProtection="1">
      <alignment horizontal="center"/>
      <protection locked="0"/>
    </xf>
    <xf numFmtId="14" fontId="6" fillId="0" borderId="0" xfId="5" applyNumberFormat="1" applyAlignment="1">
      <alignment horizontal="center"/>
    </xf>
    <xf numFmtId="0" fontId="16" fillId="0" borderId="0" xfId="5" applyFont="1" applyAlignment="1">
      <alignment horizontal="left"/>
    </xf>
    <xf numFmtId="38" fontId="6" fillId="0" borderId="0" xfId="5" applyNumberFormat="1" applyAlignment="1">
      <alignment horizontal="center"/>
    </xf>
    <xf numFmtId="1" fontId="6" fillId="0" borderId="0" xfId="5" applyNumberFormat="1"/>
    <xf numFmtId="0" fontId="4" fillId="10" borderId="28" xfId="5" applyFont="1" applyFill="1" applyBorder="1" applyAlignment="1">
      <alignment horizontal="center"/>
    </xf>
    <xf numFmtId="0" fontId="4" fillId="10" borderId="26" xfId="5" applyFont="1" applyFill="1" applyBorder="1" applyAlignment="1">
      <alignment horizontal="center"/>
    </xf>
    <xf numFmtId="8" fontId="4" fillId="10" borderId="26" xfId="5" applyNumberFormat="1" applyFont="1" applyFill="1" applyBorder="1" applyAlignment="1">
      <alignment horizontal="center"/>
    </xf>
    <xf numFmtId="8" fontId="4" fillId="10" borderId="29" xfId="5" applyNumberFormat="1" applyFont="1" applyFill="1" applyBorder="1" applyAlignment="1">
      <alignment horizontal="center"/>
    </xf>
    <xf numFmtId="0" fontId="6" fillId="0" borderId="8" xfId="5" applyNumberFormat="1" applyBorder="1" applyAlignment="1">
      <alignment horizontal="center"/>
    </xf>
    <xf numFmtId="0" fontId="6" fillId="0" borderId="0" xfId="5" applyNumberFormat="1" applyBorder="1" applyAlignment="1">
      <alignment horizontal="center"/>
    </xf>
    <xf numFmtId="166" fontId="6" fillId="0" borderId="0" xfId="5" applyNumberFormat="1" applyBorder="1" applyAlignment="1">
      <alignment horizontal="center"/>
    </xf>
    <xf numFmtId="166" fontId="6" fillId="0" borderId="0" xfId="5" applyNumberFormat="1" applyFill="1" applyBorder="1" applyAlignment="1">
      <alignment horizontal="center"/>
    </xf>
    <xf numFmtId="38" fontId="6" fillId="0" borderId="0" xfId="5" applyNumberFormat="1" applyBorder="1" applyAlignment="1">
      <alignment horizontal="center"/>
    </xf>
    <xf numFmtId="10" fontId="6" fillId="0" borderId="0" xfId="5" applyNumberFormat="1" applyBorder="1" applyAlignment="1">
      <alignment horizontal="center"/>
    </xf>
    <xf numFmtId="165" fontId="6" fillId="0" borderId="0" xfId="5" applyNumberFormat="1" applyBorder="1" applyAlignment="1">
      <alignment horizontal="center"/>
    </xf>
    <xf numFmtId="165" fontId="13" fillId="0" borderId="30" xfId="5" applyNumberFormat="1" applyFont="1" applyBorder="1" applyAlignment="1">
      <alignment horizontal="center"/>
    </xf>
    <xf numFmtId="0" fontId="6" fillId="0" borderId="31" xfId="5" applyNumberFormat="1" applyBorder="1" applyAlignment="1">
      <alignment horizontal="center"/>
    </xf>
    <xf numFmtId="0" fontId="6" fillId="0" borderId="32" xfId="5" applyNumberFormat="1" applyBorder="1" applyAlignment="1">
      <alignment horizontal="center"/>
    </xf>
    <xf numFmtId="166" fontId="6" fillId="0" borderId="32" xfId="5" applyNumberFormat="1" applyBorder="1" applyAlignment="1">
      <alignment horizontal="center"/>
    </xf>
    <xf numFmtId="166" fontId="6" fillId="0" borderId="32" xfId="5" applyNumberFormat="1" applyFill="1" applyBorder="1" applyAlignment="1">
      <alignment horizontal="center"/>
    </xf>
    <xf numFmtId="38" fontId="6" fillId="0" borderId="32" xfId="5" applyNumberFormat="1" applyBorder="1" applyAlignment="1">
      <alignment horizontal="center"/>
    </xf>
    <xf numFmtId="10" fontId="6" fillId="0" borderId="32" xfId="5" applyNumberFormat="1" applyBorder="1" applyAlignment="1">
      <alignment horizontal="center"/>
    </xf>
    <xf numFmtId="165" fontId="6" fillId="0" borderId="32" xfId="5" applyNumberFormat="1" applyBorder="1" applyAlignment="1">
      <alignment horizontal="center"/>
    </xf>
    <xf numFmtId="165" fontId="13" fillId="0" borderId="33" xfId="5" applyNumberFormat="1" applyFont="1" applyBorder="1" applyAlignment="1">
      <alignment horizontal="center"/>
    </xf>
    <xf numFmtId="0" fontId="4" fillId="12" borderId="34" xfId="5" applyFont="1" applyFill="1" applyBorder="1" applyAlignment="1">
      <alignment horizontal="center"/>
    </xf>
    <xf numFmtId="0" fontId="6" fillId="12" borderId="35" xfId="5" applyFill="1" applyBorder="1" applyAlignment="1">
      <alignment horizontal="center"/>
    </xf>
    <xf numFmtId="8" fontId="6" fillId="12" borderId="35" xfId="5" applyNumberFormat="1" applyFill="1" applyBorder="1" applyAlignment="1">
      <alignment horizontal="center"/>
    </xf>
    <xf numFmtId="165" fontId="4" fillId="12" borderId="35" xfId="5" applyNumberFormat="1" applyFont="1" applyFill="1" applyBorder="1" applyAlignment="1">
      <alignment horizontal="center"/>
    </xf>
    <xf numFmtId="0" fontId="6" fillId="12" borderId="36" xfId="5" applyFill="1" applyBorder="1"/>
    <xf numFmtId="10" fontId="6" fillId="0" borderId="0" xfId="5" applyNumberFormat="1" applyFill="1" applyBorder="1" applyAlignment="1">
      <alignment horizontal="center"/>
    </xf>
    <xf numFmtId="0" fontId="1" fillId="0" borderId="0" xfId="0" applyFont="1" applyFill="1" applyBorder="1"/>
    <xf numFmtId="44" fontId="1" fillId="0" borderId="1" xfId="3" applyFont="1" applyFill="1" applyBorder="1"/>
    <xf numFmtId="4" fontId="1" fillId="0" borderId="1" xfId="0" applyNumberFormat="1" applyFont="1" applyFill="1" applyBorder="1"/>
    <xf numFmtId="0" fontId="6" fillId="14" borderId="1" xfId="0" applyFont="1" applyFill="1" applyBorder="1" applyAlignment="1">
      <alignment horizontal="center"/>
    </xf>
    <xf numFmtId="14" fontId="6" fillId="14" borderId="1" xfId="0" applyNumberFormat="1" applyFont="1" applyFill="1" applyBorder="1" applyAlignment="1">
      <alignment horizontal="center"/>
    </xf>
    <xf numFmtId="14" fontId="1" fillId="14" borderId="1" xfId="0" applyNumberFormat="1" applyFont="1" applyFill="1" applyBorder="1" applyAlignment="1">
      <alignment horizontal="center"/>
    </xf>
    <xf numFmtId="0" fontId="1" fillId="14" borderId="1" xfId="0" applyFont="1" applyFill="1" applyBorder="1" applyAlignment="1">
      <alignment horizontal="center"/>
    </xf>
    <xf numFmtId="165" fontId="1" fillId="0" borderId="1" xfId="0" applyNumberFormat="1" applyFont="1" applyFill="1" applyBorder="1"/>
    <xf numFmtId="165" fontId="6" fillId="0" borderId="1" xfId="1" applyNumberFormat="1" applyFont="1" applyFill="1" applyBorder="1"/>
    <xf numFmtId="165" fontId="1" fillId="7" borderId="1" xfId="0" applyNumberFormat="1" applyFont="1" applyFill="1" applyBorder="1"/>
    <xf numFmtId="165" fontId="1" fillId="0" borderId="0" xfId="0" applyNumberFormat="1" applyFont="1" applyFill="1"/>
    <xf numFmtId="44" fontId="6" fillId="0" borderId="0" xfId="0" applyNumberFormat="1" applyFont="1" applyFill="1"/>
    <xf numFmtId="0" fontId="4" fillId="0" borderId="1" xfId="0" applyFont="1" applyFill="1" applyBorder="1" applyAlignment="1">
      <alignment horizontal="right"/>
    </xf>
    <xf numFmtId="165" fontId="6" fillId="0" borderId="1" xfId="0" applyNumberFormat="1" applyFont="1" applyFill="1" applyBorder="1"/>
    <xf numFmtId="0" fontId="1" fillId="14" borderId="1" xfId="0" applyNumberFormat="1" applyFont="1" applyFill="1" applyBorder="1" applyAlignment="1">
      <alignment horizontal="center"/>
    </xf>
    <xf numFmtId="0" fontId="6" fillId="15" borderId="1" xfId="0" applyFont="1" applyFill="1" applyBorder="1" applyAlignment="1">
      <alignment horizontal="center"/>
    </xf>
    <xf numFmtId="14" fontId="6" fillId="15" borderId="1" xfId="0" applyNumberFormat="1" applyFont="1" applyFill="1" applyBorder="1" applyAlignment="1">
      <alignment horizontal="center"/>
    </xf>
    <xf numFmtId="0" fontId="1" fillId="15" borderId="1" xfId="0" applyNumberFormat="1" applyFont="1" applyFill="1" applyBorder="1" applyAlignment="1">
      <alignment horizontal="center"/>
    </xf>
    <xf numFmtId="0" fontId="1" fillId="15" borderId="1" xfId="0" applyFont="1" applyFill="1" applyBorder="1" applyAlignment="1">
      <alignment horizontal="center"/>
    </xf>
    <xf numFmtId="165" fontId="6" fillId="14" borderId="1" xfId="1" applyNumberFormat="1" applyFont="1" applyFill="1" applyBorder="1"/>
    <xf numFmtId="165" fontId="1" fillId="14" borderId="1" xfId="1" applyNumberFormat="1" applyFont="1" applyFill="1" applyBorder="1"/>
    <xf numFmtId="165" fontId="1" fillId="14" borderId="1" xfId="0" applyNumberFormat="1" applyFont="1" applyFill="1" applyBorder="1"/>
    <xf numFmtId="165" fontId="4" fillId="15" borderId="1" xfId="0" applyNumberFormat="1" applyFont="1" applyFill="1" applyBorder="1"/>
    <xf numFmtId="165" fontId="1" fillId="15" borderId="1" xfId="0" applyNumberFormat="1" applyFont="1" applyFill="1" applyBorder="1"/>
    <xf numFmtId="165" fontId="1" fillId="15" borderId="1" xfId="1" applyNumberFormat="1" applyFont="1" applyFill="1" applyBorder="1"/>
    <xf numFmtId="165" fontId="1" fillId="0" borderId="0" xfId="0" applyNumberFormat="1" applyFont="1" applyFill="1" applyBorder="1"/>
    <xf numFmtId="165" fontId="6" fillId="14" borderId="1" xfId="0" applyNumberFormat="1" applyFont="1" applyFill="1" applyBorder="1"/>
    <xf numFmtId="165" fontId="4" fillId="15" borderId="1" xfId="0" applyNumberFormat="1" applyFont="1" applyFill="1" applyBorder="1" applyAlignment="1">
      <alignment horizontal="right"/>
    </xf>
    <xf numFmtId="0" fontId="4" fillId="0" borderId="0" xfId="0" applyFont="1" applyFill="1" applyBorder="1"/>
    <xf numFmtId="0" fontId="1" fillId="15" borderId="1" xfId="0" applyFont="1" applyFill="1" applyBorder="1"/>
    <xf numFmtId="0" fontId="4" fillId="0" borderId="18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/>
    </xf>
    <xf numFmtId="165" fontId="1" fillId="0" borderId="1" xfId="0" applyNumberFormat="1" applyFont="1" applyFill="1" applyBorder="1" applyAlignment="1">
      <alignment horizontal="center"/>
    </xf>
    <xf numFmtId="165" fontId="6" fillId="7" borderId="1" xfId="0" applyNumberFormat="1" applyFont="1" applyFill="1" applyBorder="1" applyAlignment="1">
      <alignment horizontal="center"/>
    </xf>
    <xf numFmtId="165" fontId="1" fillId="7" borderId="1" xfId="0" applyNumberFormat="1" applyFont="1" applyFill="1" applyBorder="1" applyAlignment="1">
      <alignment horizontal="center"/>
    </xf>
    <xf numFmtId="167" fontId="6" fillId="0" borderId="1" xfId="0" applyNumberFormat="1" applyFont="1" applyFill="1" applyBorder="1" applyAlignment="1">
      <alignment horizontal="center" wrapText="1"/>
    </xf>
    <xf numFmtId="44" fontId="6" fillId="0" borderId="1" xfId="3" applyFont="1" applyFill="1" applyBorder="1" applyAlignment="1">
      <alignment horizontal="center"/>
    </xf>
    <xf numFmtId="0" fontId="7" fillId="0" borderId="1" xfId="0" applyNumberFormat="1" applyFont="1" applyFill="1" applyBorder="1" applyAlignment="1">
      <alignment horizontal="center"/>
    </xf>
    <xf numFmtId="167" fontId="6" fillId="0" borderId="1" xfId="0" applyNumberFormat="1" applyFont="1" applyFill="1" applyBorder="1" applyAlignment="1">
      <alignment horizontal="center"/>
    </xf>
    <xf numFmtId="44" fontId="4" fillId="0" borderId="1" xfId="0" applyNumberFormat="1" applyFont="1" applyFill="1" applyBorder="1"/>
    <xf numFmtId="43" fontId="1" fillId="0" borderId="27" xfId="0" applyNumberFormat="1" applyFont="1" applyFill="1" applyBorder="1"/>
    <xf numFmtId="0" fontId="13" fillId="0" borderId="0" xfId="0" applyFont="1" applyFill="1"/>
    <xf numFmtId="44" fontId="3" fillId="0" borderId="1" xfId="3" applyFont="1" applyFill="1" applyBorder="1" applyAlignment="1">
      <alignment horizontal="right"/>
    </xf>
    <xf numFmtId="44" fontId="3" fillId="0" borderId="38" xfId="3" applyFont="1" applyFill="1" applyBorder="1" applyAlignment="1">
      <alignment horizontal="right"/>
    </xf>
    <xf numFmtId="44" fontId="3" fillId="0" borderId="39" xfId="3" applyFont="1" applyFill="1" applyBorder="1" applyAlignment="1">
      <alignment horizontal="right"/>
    </xf>
    <xf numFmtId="44" fontId="0" fillId="0" borderId="0" xfId="3" applyFont="1"/>
    <xf numFmtId="44" fontId="6" fillId="0" borderId="13" xfId="3" applyFont="1" applyFill="1" applyBorder="1"/>
    <xf numFmtId="44" fontId="6" fillId="0" borderId="14" xfId="3" applyFont="1" applyFill="1" applyBorder="1"/>
    <xf numFmtId="44" fontId="6" fillId="0" borderId="6" xfId="3" applyFont="1" applyFill="1" applyBorder="1" applyAlignment="1">
      <alignment horizontal="center" wrapText="1"/>
    </xf>
    <xf numFmtId="0" fontId="6" fillId="7" borderId="13" xfId="0" applyFont="1" applyFill="1" applyBorder="1" applyAlignment="1">
      <alignment horizontal="center"/>
    </xf>
    <xf numFmtId="44" fontId="6" fillId="7" borderId="13" xfId="3" applyFont="1" applyFill="1" applyBorder="1"/>
    <xf numFmtId="44" fontId="6" fillId="7" borderId="6" xfId="3" applyFont="1" applyFill="1" applyBorder="1" applyAlignment="1">
      <alignment horizontal="center" wrapText="1"/>
    </xf>
    <xf numFmtId="0" fontId="6" fillId="7" borderId="12" xfId="0" applyFont="1" applyFill="1" applyBorder="1" applyAlignment="1">
      <alignment horizontal="center"/>
    </xf>
    <xf numFmtId="14" fontId="6" fillId="7" borderId="13" xfId="0" applyNumberFormat="1" applyFont="1" applyFill="1" applyBorder="1" applyAlignment="1">
      <alignment horizontal="center"/>
    </xf>
    <xf numFmtId="14" fontId="1" fillId="7" borderId="13" xfId="0" applyNumberFormat="1" applyFont="1" applyFill="1" applyBorder="1" applyAlignment="1">
      <alignment horizontal="center"/>
    </xf>
    <xf numFmtId="0" fontId="1" fillId="7" borderId="13" xfId="0" applyFont="1" applyFill="1" applyBorder="1" applyAlignment="1">
      <alignment horizontal="center"/>
    </xf>
    <xf numFmtId="44" fontId="6" fillId="7" borderId="14" xfId="3" applyFont="1" applyFill="1" applyBorder="1"/>
    <xf numFmtId="0" fontId="1" fillId="7" borderId="13" xfId="0" applyNumberFormat="1" applyFont="1" applyFill="1" applyBorder="1" applyAlignment="1">
      <alignment horizontal="center"/>
    </xf>
    <xf numFmtId="0" fontId="6" fillId="7" borderId="21" xfId="0" applyFont="1" applyFill="1" applyBorder="1" applyAlignment="1">
      <alignment horizontal="center"/>
    </xf>
    <xf numFmtId="0" fontId="6" fillId="7" borderId="0" xfId="0" applyFont="1" applyFill="1" applyBorder="1" applyAlignment="1">
      <alignment horizontal="center"/>
    </xf>
    <xf numFmtId="14" fontId="6" fillId="7" borderId="22" xfId="0" applyNumberFormat="1" applyFont="1" applyFill="1" applyBorder="1" applyAlignment="1">
      <alignment horizontal="center"/>
    </xf>
    <xf numFmtId="14" fontId="1" fillId="0" borderId="0" xfId="0" applyNumberFormat="1" applyFont="1" applyFill="1"/>
    <xf numFmtId="44" fontId="6" fillId="0" borderId="0" xfId="0" applyNumberFormat="1" applyFont="1" applyFill="1" applyAlignment="1">
      <alignment vertical="top" wrapText="1"/>
    </xf>
    <xf numFmtId="44" fontId="0" fillId="2" borderId="1" xfId="3" applyFont="1" applyFill="1" applyBorder="1" applyAlignment="1">
      <alignment horizontal="center"/>
    </xf>
    <xf numFmtId="44" fontId="5" fillId="0" borderId="0" xfId="3" applyFont="1" applyFill="1" applyBorder="1" applyAlignment="1">
      <alignment horizontal="center"/>
    </xf>
    <xf numFmtId="44" fontId="3" fillId="0" borderId="0" xfId="3" applyFont="1" applyFill="1" applyBorder="1" applyAlignment="1">
      <alignment horizontal="right"/>
    </xf>
    <xf numFmtId="44" fontId="3" fillId="0" borderId="0" xfId="3" applyFont="1" applyFill="1" applyBorder="1" applyAlignment="1"/>
    <xf numFmtId="44" fontId="3" fillId="0" borderId="1" xfId="3" applyFont="1" applyFill="1" applyBorder="1" applyAlignment="1"/>
    <xf numFmtId="44" fontId="0" fillId="0" borderId="0" xfId="3" applyFont="1" applyBorder="1"/>
    <xf numFmtId="44" fontId="6" fillId="2" borderId="27" xfId="3" applyFont="1" applyFill="1" applyBorder="1" applyAlignment="1">
      <alignment horizontal="center"/>
    </xf>
    <xf numFmtId="8" fontId="15" fillId="0" borderId="0" xfId="5" applyNumberFormat="1" applyFont="1" applyFill="1" applyAlignment="1">
      <alignment vertical="center" wrapText="1"/>
    </xf>
    <xf numFmtId="0" fontId="6" fillId="6" borderId="37" xfId="5" applyNumberFormat="1" applyFill="1" applyBorder="1" applyAlignment="1">
      <alignment horizontal="center"/>
    </xf>
    <xf numFmtId="0" fontId="6" fillId="6" borderId="24" xfId="5" applyNumberFormat="1" applyFill="1" applyBorder="1" applyAlignment="1">
      <alignment horizontal="center"/>
    </xf>
    <xf numFmtId="166" fontId="6" fillId="6" borderId="24" xfId="5" applyNumberFormat="1" applyFill="1" applyBorder="1" applyAlignment="1">
      <alignment horizontal="center"/>
    </xf>
    <xf numFmtId="166" fontId="6" fillId="6" borderId="24" xfId="5" applyNumberFormat="1" applyFont="1" applyFill="1" applyBorder="1" applyAlignment="1">
      <alignment horizontal="center"/>
    </xf>
    <xf numFmtId="38" fontId="6" fillId="6" borderId="24" xfId="5" applyNumberFormat="1" applyFill="1" applyBorder="1" applyAlignment="1">
      <alignment horizontal="center"/>
    </xf>
    <xf numFmtId="10" fontId="6" fillId="6" borderId="24" xfId="5" applyNumberFormat="1" applyFont="1" applyFill="1" applyBorder="1" applyAlignment="1">
      <alignment horizontal="center"/>
    </xf>
    <xf numFmtId="165" fontId="6" fillId="6" borderId="24" xfId="5" applyNumberFormat="1" applyFill="1" applyBorder="1" applyAlignment="1">
      <alignment horizontal="center"/>
    </xf>
    <xf numFmtId="165" fontId="13" fillId="6" borderId="25" xfId="5" applyNumberFormat="1" applyFont="1" applyFill="1" applyBorder="1" applyAlignment="1">
      <alignment horizontal="center"/>
    </xf>
    <xf numFmtId="0" fontId="6" fillId="6" borderId="8" xfId="5" applyNumberFormat="1" applyFill="1" applyBorder="1" applyAlignment="1">
      <alignment horizontal="center"/>
    </xf>
    <xf numFmtId="0" fontId="6" fillId="6" borderId="0" xfId="5" applyNumberFormat="1" applyFill="1" applyBorder="1" applyAlignment="1">
      <alignment horizontal="center"/>
    </xf>
    <xf numFmtId="166" fontId="6" fillId="6" borderId="0" xfId="5" applyNumberFormat="1" applyFill="1" applyBorder="1" applyAlignment="1">
      <alignment horizontal="center"/>
    </xf>
    <xf numFmtId="166" fontId="6" fillId="6" borderId="0" xfId="5" applyNumberFormat="1" applyFont="1" applyFill="1" applyBorder="1" applyAlignment="1">
      <alignment horizontal="center"/>
    </xf>
    <xf numFmtId="38" fontId="6" fillId="6" borderId="0" xfId="5" applyNumberFormat="1" applyFill="1" applyBorder="1" applyAlignment="1">
      <alignment horizontal="center"/>
    </xf>
    <xf numFmtId="10" fontId="6" fillId="6" borderId="0" xfId="5" applyNumberFormat="1" applyFill="1" applyBorder="1" applyAlignment="1">
      <alignment horizontal="center"/>
    </xf>
    <xf numFmtId="165" fontId="6" fillId="6" borderId="0" xfId="5" applyNumberFormat="1" applyFill="1" applyBorder="1" applyAlignment="1">
      <alignment horizontal="center"/>
    </xf>
    <xf numFmtId="165" fontId="13" fillId="6" borderId="30" xfId="5" applyNumberFormat="1" applyFont="1" applyFill="1" applyBorder="1" applyAlignment="1">
      <alignment horizontal="center"/>
    </xf>
    <xf numFmtId="165" fontId="6" fillId="0" borderId="0" xfId="5" applyNumberFormat="1"/>
    <xf numFmtId="165" fontId="6" fillId="0" borderId="0" xfId="5" applyNumberFormat="1" applyFill="1" applyBorder="1" applyAlignment="1">
      <alignment horizontal="center"/>
    </xf>
    <xf numFmtId="165" fontId="13" fillId="0" borderId="30" xfId="5" applyNumberFormat="1" applyFont="1" applyFill="1" applyBorder="1" applyAlignment="1">
      <alignment horizontal="center"/>
    </xf>
    <xf numFmtId="0" fontId="6" fillId="0" borderId="8" xfId="5" applyNumberFormat="1" applyFill="1" applyBorder="1" applyAlignment="1">
      <alignment horizontal="center"/>
    </xf>
    <xf numFmtId="0" fontId="6" fillId="0" borderId="0" xfId="5" applyNumberFormat="1" applyFill="1" applyBorder="1" applyAlignment="1">
      <alignment horizontal="center"/>
    </xf>
    <xf numFmtId="38" fontId="6" fillId="0" borderId="0" xfId="5" applyNumberFormat="1" applyFill="1" applyBorder="1" applyAlignment="1">
      <alignment horizontal="center"/>
    </xf>
    <xf numFmtId="0" fontId="6" fillId="6" borderId="1" xfId="0" applyFont="1" applyFill="1" applyBorder="1" applyAlignment="1">
      <alignment horizontal="center"/>
    </xf>
    <xf numFmtId="14" fontId="6" fillId="6" borderId="1" xfId="0" applyNumberFormat="1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165" fontId="6" fillId="6" borderId="1" xfId="0" applyNumberFormat="1" applyFont="1" applyFill="1" applyBorder="1"/>
    <xf numFmtId="165" fontId="6" fillId="6" borderId="1" xfId="1" applyNumberFormat="1" applyFont="1" applyFill="1" applyBorder="1"/>
    <xf numFmtId="165" fontId="1" fillId="6" borderId="1" xfId="0" applyNumberFormat="1" applyFont="1" applyFill="1" applyBorder="1"/>
    <xf numFmtId="14" fontId="6" fillId="0" borderId="0" xfId="0" applyNumberFormat="1" applyFont="1" applyFill="1"/>
    <xf numFmtId="44" fontId="0" fillId="0" borderId="0" xfId="0" applyNumberFormat="1"/>
    <xf numFmtId="0" fontId="6" fillId="0" borderId="0" xfId="5" applyBorder="1" applyAlignment="1">
      <alignment horizontal="left" vertical="top" wrapText="1"/>
    </xf>
    <xf numFmtId="0" fontId="6" fillId="0" borderId="0" xfId="5" applyAlignment="1">
      <alignment horizontal="left" vertical="top" wrapText="1"/>
    </xf>
    <xf numFmtId="0" fontId="4" fillId="0" borderId="0" xfId="0" applyFont="1" applyFill="1"/>
    <xf numFmtId="14" fontId="4" fillId="0" borderId="0" xfId="0" applyNumberFormat="1" applyFont="1" applyFill="1" applyAlignment="1">
      <alignment horizontal="center"/>
    </xf>
    <xf numFmtId="44" fontId="18" fillId="0" borderId="0" xfId="0" applyNumberFormat="1" applyFont="1" applyFill="1"/>
    <xf numFmtId="44" fontId="4" fillId="0" borderId="13" xfId="3" applyFont="1" applyFill="1" applyBorder="1"/>
    <xf numFmtId="43" fontId="4" fillId="4" borderId="13" xfId="0" applyNumberFormat="1" applyFont="1" applyFill="1" applyBorder="1"/>
    <xf numFmtId="164" fontId="4" fillId="4" borderId="13" xfId="3" applyNumberFormat="1" applyFont="1" applyFill="1" applyBorder="1"/>
    <xf numFmtId="8" fontId="6" fillId="0" borderId="0" xfId="5" applyNumberFormat="1" applyFont="1" applyFill="1" applyAlignment="1">
      <alignment vertical="center" wrapText="1"/>
    </xf>
    <xf numFmtId="8" fontId="6" fillId="0" borderId="0" xfId="5" applyNumberFormat="1" applyFont="1" applyFill="1" applyAlignment="1">
      <alignment horizontal="right" vertical="center" wrapText="1"/>
    </xf>
    <xf numFmtId="8" fontId="4" fillId="0" borderId="0" xfId="5" applyNumberFormat="1" applyFont="1" applyFill="1" applyAlignment="1">
      <alignment vertical="center" wrapText="1"/>
    </xf>
    <xf numFmtId="14" fontId="4" fillId="0" borderId="0" xfId="5" applyNumberFormat="1" applyFont="1" applyFill="1" applyAlignment="1">
      <alignment vertical="center" wrapText="1"/>
    </xf>
    <xf numFmtId="0" fontId="17" fillId="0" borderId="0" xfId="5" applyFont="1"/>
    <xf numFmtId="0" fontId="4" fillId="0" borderId="0" xfId="5" applyFont="1"/>
    <xf numFmtId="8" fontId="17" fillId="0" borderId="0" xfId="5" applyNumberFormat="1" applyFont="1" applyFill="1" applyAlignment="1">
      <alignment vertical="center" wrapText="1"/>
    </xf>
    <xf numFmtId="0" fontId="4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/>
    </xf>
    <xf numFmtId="0" fontId="4" fillId="13" borderId="1" xfId="0" applyFont="1" applyFill="1" applyBorder="1" applyAlignment="1">
      <alignment horizontal="center" wrapText="1"/>
    </xf>
    <xf numFmtId="4" fontId="6" fillId="6" borderId="1" xfId="1" applyNumberFormat="1" applyFont="1" applyFill="1" applyBorder="1"/>
    <xf numFmtId="168" fontId="1" fillId="0" borderId="1" xfId="6" applyNumberFormat="1" applyFont="1" applyFill="1" applyBorder="1" applyAlignment="1">
      <alignment horizontal="center"/>
    </xf>
    <xf numFmtId="168" fontId="1" fillId="6" borderId="1" xfId="6" applyNumberFormat="1" applyFont="1" applyFill="1" applyBorder="1" applyAlignment="1">
      <alignment horizontal="center"/>
    </xf>
    <xf numFmtId="165" fontId="4" fillId="6" borderId="1" xfId="1" applyNumberFormat="1" applyFont="1" applyFill="1" applyBorder="1"/>
    <xf numFmtId="0" fontId="6" fillId="0" borderId="5" xfId="5" applyBorder="1" applyAlignment="1">
      <alignment vertical="top" wrapText="1"/>
    </xf>
    <xf numFmtId="0" fontId="6" fillId="0" borderId="0" xfId="5" applyAlignment="1">
      <alignment vertical="top" wrapText="1"/>
    </xf>
    <xf numFmtId="0" fontId="6" fillId="10" borderId="1" xfId="0" applyFont="1" applyFill="1" applyBorder="1" applyAlignment="1">
      <alignment horizontal="center"/>
    </xf>
    <xf numFmtId="14" fontId="6" fillId="10" borderId="1" xfId="0" applyNumberFormat="1" applyFont="1" applyFill="1" applyBorder="1" applyAlignment="1">
      <alignment horizontal="center"/>
    </xf>
    <xf numFmtId="168" fontId="1" fillId="10" borderId="1" xfId="6" applyNumberFormat="1" applyFont="1" applyFill="1" applyBorder="1" applyAlignment="1">
      <alignment horizontal="center"/>
    </xf>
    <xf numFmtId="165" fontId="6" fillId="10" borderId="1" xfId="0" applyNumberFormat="1" applyFont="1" applyFill="1" applyBorder="1"/>
    <xf numFmtId="165" fontId="6" fillId="10" borderId="1" xfId="1" applyNumberFormat="1" applyFont="1" applyFill="1" applyBorder="1"/>
    <xf numFmtId="44" fontId="1" fillId="10" borderId="1" xfId="3" applyFont="1" applyFill="1" applyBorder="1"/>
    <xf numFmtId="44" fontId="6" fillId="10" borderId="1" xfId="3" applyFont="1" applyFill="1" applyBorder="1"/>
    <xf numFmtId="165" fontId="1" fillId="10" borderId="1" xfId="0" applyNumberFormat="1" applyFont="1" applyFill="1" applyBorder="1"/>
    <xf numFmtId="0" fontId="6" fillId="0" borderId="5" xfId="5" applyFill="1" applyBorder="1" applyAlignment="1">
      <alignment vertical="top" wrapText="1"/>
    </xf>
    <xf numFmtId="0" fontId="6" fillId="0" borderId="0" xfId="5" applyFill="1" applyBorder="1" applyAlignment="1">
      <alignment vertical="top" wrapText="1"/>
    </xf>
    <xf numFmtId="44" fontId="6" fillId="6" borderId="1" xfId="3" applyFont="1" applyFill="1" applyBorder="1"/>
    <xf numFmtId="44" fontId="1" fillId="6" borderId="1" xfId="3" applyFont="1" applyFill="1" applyBorder="1"/>
    <xf numFmtId="0" fontId="6" fillId="10" borderId="8" xfId="5" applyNumberFormat="1" applyFill="1" applyBorder="1" applyAlignment="1">
      <alignment horizontal="center"/>
    </xf>
    <xf numFmtId="0" fontId="6" fillId="10" borderId="0" xfId="5" applyNumberFormat="1" applyFill="1" applyBorder="1" applyAlignment="1">
      <alignment horizontal="center"/>
    </xf>
    <xf numFmtId="166" fontId="6" fillId="10" borderId="0" xfId="5" applyNumberFormat="1" applyFill="1" applyBorder="1" applyAlignment="1">
      <alignment horizontal="center"/>
    </xf>
    <xf numFmtId="38" fontId="6" fillId="10" borderId="0" xfId="5" applyNumberFormat="1" applyFill="1" applyBorder="1" applyAlignment="1">
      <alignment horizontal="center"/>
    </xf>
    <xf numFmtId="10" fontId="6" fillId="10" borderId="0" xfId="5" applyNumberFormat="1" applyFill="1" applyBorder="1" applyAlignment="1">
      <alignment horizontal="center"/>
    </xf>
    <xf numFmtId="165" fontId="6" fillId="10" borderId="0" xfId="5" applyNumberFormat="1" applyFill="1" applyBorder="1" applyAlignment="1">
      <alignment horizontal="center"/>
    </xf>
    <xf numFmtId="165" fontId="13" fillId="10" borderId="30" xfId="5" applyNumberFormat="1" applyFont="1" applyFill="1" applyBorder="1" applyAlignment="1">
      <alignment horizontal="center"/>
    </xf>
    <xf numFmtId="0" fontId="6" fillId="0" borderId="8" xfId="5" applyBorder="1" applyAlignment="1">
      <alignment vertical="top" wrapText="1"/>
    </xf>
    <xf numFmtId="0" fontId="4" fillId="0" borderId="0" xfId="0" applyFont="1" applyFill="1" applyAlignment="1">
      <alignment horizontal="right"/>
    </xf>
    <xf numFmtId="165" fontId="6" fillId="0" borderId="1" xfId="3" applyNumberFormat="1" applyFont="1" applyFill="1" applyBorder="1"/>
    <xf numFmtId="166" fontId="1" fillId="0" borderId="0" xfId="5" applyNumberFormat="1" applyFont="1" applyFill="1" applyBorder="1" applyAlignment="1">
      <alignment horizont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 wrapText="1"/>
    </xf>
    <xf numFmtId="44" fontId="0" fillId="16" borderId="0" xfId="3" applyFont="1" applyFill="1" applyAlignment="1">
      <alignment horizontal="center"/>
    </xf>
    <xf numFmtId="44" fontId="1" fillId="2" borderId="27" xfId="3" applyFont="1" applyFill="1" applyBorder="1" applyAlignment="1">
      <alignment horizontal="center"/>
    </xf>
    <xf numFmtId="44" fontId="1" fillId="2" borderId="1" xfId="3" applyFont="1" applyFill="1" applyBorder="1" applyAlignment="1">
      <alignment horizontal="center"/>
    </xf>
    <xf numFmtId="0" fontId="0" fillId="0" borderId="0" xfId="0" applyBorder="1" applyAlignment="1">
      <alignment horizontal="left" wrapText="1"/>
    </xf>
    <xf numFmtId="14" fontId="4" fillId="0" borderId="0" xfId="5" applyNumberFormat="1" applyFont="1"/>
    <xf numFmtId="38" fontId="1" fillId="0" borderId="0" xfId="5" applyNumberFormat="1" applyFont="1" applyBorder="1" applyAlignment="1">
      <alignment horizontal="center"/>
    </xf>
    <xf numFmtId="44" fontId="1" fillId="0" borderId="8" xfId="0" applyNumberFormat="1" applyFont="1" applyFill="1" applyBorder="1"/>
    <xf numFmtId="44" fontId="1" fillId="0" borderId="34" xfId="0" applyNumberFormat="1" applyFont="1" applyFill="1" applyBorder="1"/>
    <xf numFmtId="44" fontId="1" fillId="0" borderId="30" xfId="3" applyFont="1" applyFill="1" applyBorder="1"/>
    <xf numFmtId="44" fontId="1" fillId="0" borderId="36" xfId="3" applyFont="1" applyFill="1" applyBorder="1"/>
    <xf numFmtId="0" fontId="0" fillId="0" borderId="0" xfId="0" applyAlignment="1">
      <alignment horizontal="left"/>
    </xf>
    <xf numFmtId="0" fontId="3" fillId="0" borderId="0" xfId="0" applyFont="1" applyFill="1" applyBorder="1" applyAlignment="1">
      <alignment horizontal="left"/>
    </xf>
    <xf numFmtId="0" fontId="0" fillId="0" borderId="0" xfId="0" applyBorder="1" applyAlignment="1">
      <alignment horizontal="left"/>
    </xf>
    <xf numFmtId="44" fontId="3" fillId="0" borderId="1" xfId="3" applyNumberFormat="1" applyFont="1" applyFill="1" applyBorder="1" applyAlignment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wrapText="1"/>
    </xf>
    <xf numFmtId="166" fontId="1" fillId="0" borderId="0" xfId="0" applyNumberFormat="1" applyFont="1" applyFill="1" applyAlignment="1">
      <alignment horizontal="center"/>
    </xf>
    <xf numFmtId="0" fontId="1" fillId="0" borderId="4" xfId="0" applyFont="1" applyFill="1" applyBorder="1" applyAlignment="1">
      <alignment horizontal="center"/>
    </xf>
    <xf numFmtId="44" fontId="1" fillId="0" borderId="4" xfId="3" applyFont="1" applyFill="1" applyBorder="1"/>
    <xf numFmtId="0" fontId="1" fillId="0" borderId="9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39" fontId="1" fillId="0" borderId="10" xfId="0" applyNumberFormat="1" applyFont="1" applyFill="1" applyBorder="1" applyAlignment="1">
      <alignment horizontal="center"/>
    </xf>
    <xf numFmtId="43" fontId="1" fillId="0" borderId="10" xfId="0" applyNumberFormat="1" applyFont="1" applyFill="1" applyBorder="1"/>
    <xf numFmtId="4" fontId="1" fillId="0" borderId="10" xfId="1" applyNumberFormat="1" applyFont="1" applyFill="1" applyBorder="1"/>
    <xf numFmtId="4" fontId="1" fillId="0" borderId="11" xfId="1" applyNumberFormat="1" applyFont="1" applyFill="1" applyBorder="1"/>
    <xf numFmtId="39" fontId="1" fillId="0" borderId="19" xfId="0" applyNumberFormat="1" applyFont="1" applyFill="1" applyBorder="1"/>
    <xf numFmtId="43" fontId="1" fillId="0" borderId="0" xfId="0" applyNumberFormat="1" applyFont="1" applyFill="1"/>
    <xf numFmtId="17" fontId="1" fillId="0" borderId="12" xfId="0" applyNumberFormat="1" applyFont="1" applyFill="1" applyBorder="1" applyAlignment="1">
      <alignment horizontal="center"/>
    </xf>
    <xf numFmtId="4" fontId="1" fillId="0" borderId="13" xfId="0" applyNumberFormat="1" applyFont="1" applyFill="1" applyBorder="1" applyAlignment="1">
      <alignment horizontal="center"/>
    </xf>
    <xf numFmtId="4" fontId="1" fillId="0" borderId="13" xfId="1" applyNumberFormat="1" applyFont="1" applyFill="1" applyBorder="1"/>
    <xf numFmtId="4" fontId="1" fillId="0" borderId="14" xfId="1" applyNumberFormat="1" applyFont="1" applyFill="1" applyBorder="1"/>
    <xf numFmtId="39" fontId="1" fillId="0" borderId="40" xfId="0" applyNumberFormat="1" applyFont="1" applyFill="1" applyBorder="1"/>
    <xf numFmtId="0" fontId="1" fillId="0" borderId="14" xfId="0" applyFont="1" applyFill="1" applyBorder="1"/>
    <xf numFmtId="4" fontId="4" fillId="0" borderId="13" xfId="1" applyNumberFormat="1" applyFont="1" applyFill="1" applyBorder="1"/>
    <xf numFmtId="0" fontId="1" fillId="0" borderId="17" xfId="0" applyFont="1" applyFill="1" applyBorder="1"/>
    <xf numFmtId="4" fontId="1" fillId="0" borderId="41" xfId="1" applyNumberFormat="1" applyFont="1" applyFill="1" applyBorder="1"/>
    <xf numFmtId="0" fontId="1" fillId="0" borderId="12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4" fontId="1" fillId="3" borderId="13" xfId="1" applyNumberFormat="1" applyFont="1" applyFill="1" applyBorder="1"/>
    <xf numFmtId="4" fontId="1" fillId="3" borderId="14" xfId="1" applyNumberFormat="1" applyFont="1" applyFill="1" applyBorder="1"/>
    <xf numFmtId="0" fontId="1" fillId="3" borderId="0" xfId="0" applyFont="1" applyFill="1" applyBorder="1"/>
    <xf numFmtId="0" fontId="1" fillId="4" borderId="12" xfId="0" applyFont="1" applyFill="1" applyBorder="1" applyAlignment="1">
      <alignment horizontal="center"/>
    </xf>
    <xf numFmtId="4" fontId="1" fillId="4" borderId="13" xfId="1" applyNumberFormat="1" applyFont="1" applyFill="1" applyBorder="1"/>
    <xf numFmtId="4" fontId="1" fillId="4" borderId="14" xfId="1" applyNumberFormat="1" applyFont="1" applyFill="1" applyBorder="1"/>
    <xf numFmtId="0" fontId="1" fillId="4" borderId="0" xfId="0" applyFont="1" applyFill="1" applyBorder="1"/>
    <xf numFmtId="0" fontId="1" fillId="0" borderId="15" xfId="0" applyFont="1" applyFill="1" applyBorder="1" applyAlignment="1">
      <alignment horizontal="center"/>
    </xf>
    <xf numFmtId="14" fontId="1" fillId="0" borderId="16" xfId="0" applyNumberFormat="1" applyFont="1" applyFill="1" applyBorder="1" applyAlignment="1">
      <alignment horizontal="center"/>
    </xf>
    <xf numFmtId="0" fontId="1" fillId="0" borderId="16" xfId="0" applyFont="1" applyFill="1" applyBorder="1" applyAlignment="1">
      <alignment horizontal="center"/>
    </xf>
    <xf numFmtId="39" fontId="1" fillId="0" borderId="16" xfId="0" applyNumberFormat="1" applyFont="1" applyFill="1" applyBorder="1"/>
    <xf numFmtId="0" fontId="1" fillId="4" borderId="15" xfId="0" applyFont="1" applyFill="1" applyBorder="1" applyAlignment="1">
      <alignment horizontal="center"/>
    </xf>
    <xf numFmtId="14" fontId="1" fillId="4" borderId="16" xfId="0" applyNumberFormat="1" applyFont="1" applyFill="1" applyBorder="1" applyAlignment="1">
      <alignment horizontal="center"/>
    </xf>
    <xf numFmtId="0" fontId="1" fillId="4" borderId="16" xfId="0" applyFont="1" applyFill="1" applyBorder="1" applyAlignment="1">
      <alignment horizontal="center"/>
    </xf>
    <xf numFmtId="39" fontId="1" fillId="4" borderId="16" xfId="0" applyNumberFormat="1" applyFont="1" applyFill="1" applyBorder="1"/>
    <xf numFmtId="4" fontId="4" fillId="0" borderId="14" xfId="1" applyNumberFormat="1" applyFont="1" applyFill="1" applyBorder="1"/>
    <xf numFmtId="4" fontId="1" fillId="0" borderId="0" xfId="1" applyNumberFormat="1" applyFont="1" applyFill="1" applyBorder="1"/>
    <xf numFmtId="0" fontId="4" fillId="0" borderId="0" xfId="0" applyFont="1" applyFill="1" applyBorder="1" applyAlignment="1"/>
    <xf numFmtId="0" fontId="4" fillId="0" borderId="5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 wrapText="1"/>
    </xf>
    <xf numFmtId="17" fontId="1" fillId="0" borderId="9" xfId="0" applyNumberFormat="1" applyFont="1" applyFill="1" applyBorder="1" applyAlignment="1">
      <alignment horizontal="center"/>
    </xf>
    <xf numFmtId="14" fontId="1" fillId="0" borderId="10" xfId="0" applyNumberFormat="1" applyFont="1" applyFill="1" applyBorder="1" applyAlignment="1">
      <alignment horizontal="center" wrapText="1"/>
    </xf>
    <xf numFmtId="2" fontId="1" fillId="0" borderId="10" xfId="0" applyNumberFormat="1" applyFont="1" applyFill="1" applyBorder="1" applyAlignment="1">
      <alignment horizontal="center" wrapText="1"/>
    </xf>
    <xf numFmtId="44" fontId="1" fillId="0" borderId="10" xfId="3" applyFont="1" applyFill="1" applyBorder="1" applyAlignment="1">
      <alignment horizontal="center" wrapText="1"/>
    </xf>
    <xf numFmtId="44" fontId="1" fillId="0" borderId="10" xfId="3" applyFont="1" applyFill="1" applyBorder="1"/>
    <xf numFmtId="44" fontId="1" fillId="0" borderId="11" xfId="3" applyFont="1" applyFill="1" applyBorder="1"/>
    <xf numFmtId="14" fontId="1" fillId="0" borderId="13" xfId="0" applyNumberFormat="1" applyFont="1" applyFill="1" applyBorder="1" applyAlignment="1">
      <alignment horizontal="center" wrapText="1"/>
    </xf>
    <xf numFmtId="2" fontId="1" fillId="0" borderId="13" xfId="0" applyNumberFormat="1" applyFont="1" applyFill="1" applyBorder="1" applyAlignment="1">
      <alignment horizontal="center" wrapText="1"/>
    </xf>
    <xf numFmtId="44" fontId="1" fillId="0" borderId="13" xfId="3" applyFont="1" applyFill="1" applyBorder="1" applyAlignment="1">
      <alignment horizontal="center" wrapText="1"/>
    </xf>
    <xf numFmtId="44" fontId="1" fillId="0" borderId="13" xfId="3" applyFont="1" applyFill="1" applyBorder="1"/>
    <xf numFmtId="44" fontId="1" fillId="0" borderId="14" xfId="3" applyFont="1" applyFill="1" applyBorder="1"/>
    <xf numFmtId="17" fontId="4" fillId="0" borderId="12" xfId="0" applyNumberFormat="1" applyFont="1" applyFill="1" applyBorder="1" applyAlignment="1">
      <alignment horizontal="center"/>
    </xf>
    <xf numFmtId="14" fontId="4" fillId="0" borderId="13" xfId="0" applyNumberFormat="1" applyFont="1" applyFill="1" applyBorder="1" applyAlignment="1">
      <alignment horizontal="center"/>
    </xf>
    <xf numFmtId="0" fontId="4" fillId="0" borderId="13" xfId="0" applyFont="1" applyFill="1" applyBorder="1" applyAlignment="1"/>
    <xf numFmtId="4" fontId="4" fillId="0" borderId="14" xfId="0" applyNumberFormat="1" applyFont="1" applyFill="1" applyBorder="1"/>
    <xf numFmtId="4" fontId="1" fillId="0" borderId="16" xfId="1" applyNumberFormat="1" applyFont="1" applyFill="1" applyBorder="1"/>
    <xf numFmtId="43" fontId="1" fillId="0" borderId="16" xfId="0" applyNumberFormat="1" applyFont="1" applyFill="1" applyBorder="1"/>
    <xf numFmtId="4" fontId="1" fillId="0" borderId="42" xfId="1" applyNumberFormat="1" applyFont="1" applyFill="1" applyBorder="1"/>
    <xf numFmtId="6" fontId="5" fillId="0" borderId="0" xfId="3" applyNumberFormat="1" applyFont="1" applyFill="1" applyBorder="1" applyAlignment="1">
      <alignment horizontal="center"/>
    </xf>
    <xf numFmtId="6" fontId="3" fillId="0" borderId="0" xfId="0" applyNumberFormat="1" applyFont="1" applyBorder="1" applyAlignment="1">
      <alignment horizontal="right"/>
    </xf>
    <xf numFmtId="6" fontId="3" fillId="0" borderId="0" xfId="0" applyNumberFormat="1" applyFont="1" applyFill="1" applyBorder="1" applyAlignment="1">
      <alignment horizontal="right"/>
    </xf>
    <xf numFmtId="6" fontId="3" fillId="0" borderId="0" xfId="3" applyNumberFormat="1" applyFont="1" applyFill="1" applyBorder="1" applyAlignment="1">
      <alignment horizontal="right"/>
    </xf>
    <xf numFmtId="6" fontId="3" fillId="0" borderId="1" xfId="0" applyNumberFormat="1" applyFont="1" applyBorder="1" applyAlignment="1">
      <alignment horizontal="right"/>
    </xf>
    <xf numFmtId="6" fontId="3" fillId="0" borderId="1" xfId="0" applyNumberFormat="1" applyFont="1" applyFill="1" applyBorder="1" applyAlignment="1">
      <alignment horizontal="right"/>
    </xf>
    <xf numFmtId="6" fontId="3" fillId="0" borderId="1" xfId="3" applyNumberFormat="1" applyFont="1" applyFill="1" applyBorder="1" applyAlignment="1">
      <alignment horizontal="right"/>
    </xf>
    <xf numFmtId="6" fontId="4" fillId="9" borderId="1" xfId="0" applyNumberFormat="1" applyFont="1" applyFill="1" applyBorder="1"/>
    <xf numFmtId="6" fontId="0" fillId="2" borderId="1" xfId="0" applyNumberFormat="1" applyFill="1" applyBorder="1" applyAlignment="1">
      <alignment horizontal="center"/>
    </xf>
    <xf numFmtId="6" fontId="0" fillId="2" borderId="1" xfId="3" applyNumberFormat="1" applyFont="1" applyFill="1" applyBorder="1" applyAlignment="1">
      <alignment horizontal="center"/>
    </xf>
    <xf numFmtId="6" fontId="0" fillId="2" borderId="27" xfId="3" applyNumberFormat="1" applyFont="1" applyFill="1" applyBorder="1" applyAlignment="1">
      <alignment horizontal="center"/>
    </xf>
    <xf numFmtId="6" fontId="1" fillId="2" borderId="1" xfId="3" applyNumberFormat="1" applyFont="1" applyFill="1" applyBorder="1" applyAlignment="1">
      <alignment horizontal="center"/>
    </xf>
    <xf numFmtId="6" fontId="3" fillId="0" borderId="1" xfId="0" applyNumberFormat="1" applyFont="1" applyBorder="1"/>
    <xf numFmtId="6" fontId="3" fillId="0" borderId="38" xfId="3" applyNumberFormat="1" applyFont="1" applyFill="1" applyBorder="1" applyAlignment="1">
      <alignment horizontal="right"/>
    </xf>
    <xf numFmtId="6" fontId="3" fillId="0" borderId="39" xfId="3" applyNumberFormat="1" applyFont="1" applyFill="1" applyBorder="1" applyAlignment="1">
      <alignment horizontal="right"/>
    </xf>
    <xf numFmtId="6" fontId="0" fillId="0" borderId="0" xfId="3" applyNumberFormat="1" applyFont="1"/>
    <xf numFmtId="6" fontId="4" fillId="8" borderId="1" xfId="0" applyNumberFormat="1" applyFont="1" applyFill="1" applyBorder="1"/>
    <xf numFmtId="6" fontId="3" fillId="0" borderId="2" xfId="3" applyNumberFormat="1" applyFont="1" applyFill="1" applyBorder="1" applyAlignment="1">
      <alignment horizontal="right"/>
    </xf>
    <xf numFmtId="6" fontId="3" fillId="0" borderId="1" xfId="0" applyNumberFormat="1" applyFont="1" applyFill="1" applyBorder="1"/>
    <xf numFmtId="6" fontId="0" fillId="0" borderId="0" xfId="3" applyNumberFormat="1" applyFont="1" applyFill="1"/>
    <xf numFmtId="6" fontId="4" fillId="2" borderId="1" xfId="0" applyNumberFormat="1" applyFont="1" applyFill="1" applyBorder="1"/>
    <xf numFmtId="6" fontId="3" fillId="0" borderId="1" xfId="0" applyNumberFormat="1" applyFont="1" applyFill="1" applyBorder="1" applyAlignment="1"/>
    <xf numFmtId="6" fontId="3" fillId="0" borderId="1" xfId="3" applyNumberFormat="1" applyFont="1" applyFill="1" applyBorder="1" applyAlignment="1"/>
    <xf numFmtId="6" fontId="3" fillId="0" borderId="38" xfId="3" applyNumberFormat="1" applyFont="1" applyFill="1" applyBorder="1" applyAlignment="1"/>
    <xf numFmtId="6" fontId="3" fillId="0" borderId="0" xfId="3" applyNumberFormat="1" applyFont="1" applyFill="1" applyBorder="1" applyAlignment="1"/>
    <xf numFmtId="6" fontId="0" fillId="0" borderId="4" xfId="0" applyNumberFormat="1" applyBorder="1"/>
    <xf numFmtId="6" fontId="0" fillId="0" borderId="0" xfId="0" applyNumberFormat="1"/>
    <xf numFmtId="6" fontId="10" fillId="0" borderId="0" xfId="0" applyNumberFormat="1" applyFont="1" applyFill="1" applyBorder="1"/>
    <xf numFmtId="6" fontId="3" fillId="0" borderId="0" xfId="0" applyNumberFormat="1" applyFont="1" applyFill="1" applyBorder="1" applyAlignment="1">
      <alignment horizontal="left"/>
    </xf>
    <xf numFmtId="6" fontId="0" fillId="0" borderId="0" xfId="0" applyNumberFormat="1" applyAlignment="1">
      <alignment horizontal="left"/>
    </xf>
    <xf numFmtId="6" fontId="0" fillId="0" borderId="0" xfId="0" applyNumberFormat="1" applyBorder="1" applyAlignment="1">
      <alignment horizontal="left"/>
    </xf>
    <xf numFmtId="0" fontId="1" fillId="18" borderId="12" xfId="0" applyFont="1" applyFill="1" applyBorder="1" applyAlignment="1">
      <alignment horizontal="center"/>
    </xf>
    <xf numFmtId="14" fontId="1" fillId="18" borderId="13" xfId="0" applyNumberFormat="1" applyFont="1" applyFill="1" applyBorder="1" applyAlignment="1">
      <alignment horizontal="center"/>
    </xf>
    <xf numFmtId="0" fontId="1" fillId="18" borderId="13" xfId="0" applyFont="1" applyFill="1" applyBorder="1" applyAlignment="1">
      <alignment horizontal="center"/>
    </xf>
    <xf numFmtId="43" fontId="1" fillId="18" borderId="13" xfId="0" applyNumberFormat="1" applyFont="1" applyFill="1" applyBorder="1"/>
    <xf numFmtId="4" fontId="1" fillId="18" borderId="13" xfId="1" applyNumberFormat="1" applyFont="1" applyFill="1" applyBorder="1"/>
    <xf numFmtId="4" fontId="1" fillId="18" borderId="14" xfId="1" applyNumberFormat="1" applyFont="1" applyFill="1" applyBorder="1"/>
    <xf numFmtId="0" fontId="1" fillId="19" borderId="12" xfId="0" applyFont="1" applyFill="1" applyBorder="1" applyAlignment="1">
      <alignment horizontal="center"/>
    </xf>
    <xf numFmtId="14" fontId="1" fillId="19" borderId="13" xfId="0" applyNumberFormat="1" applyFont="1" applyFill="1" applyBorder="1" applyAlignment="1">
      <alignment horizontal="center"/>
    </xf>
    <xf numFmtId="0" fontId="1" fillId="19" borderId="13" xfId="0" applyFont="1" applyFill="1" applyBorder="1" applyAlignment="1">
      <alignment horizontal="center"/>
    </xf>
    <xf numFmtId="43" fontId="1" fillId="19" borderId="13" xfId="0" applyNumberFormat="1" applyFont="1" applyFill="1" applyBorder="1"/>
    <xf numFmtId="4" fontId="1" fillId="19" borderId="13" xfId="1" applyNumberFormat="1" applyFont="1" applyFill="1" applyBorder="1"/>
    <xf numFmtId="4" fontId="1" fillId="19" borderId="14" xfId="1" applyNumberFormat="1" applyFont="1" applyFill="1" applyBorder="1"/>
    <xf numFmtId="0" fontId="1" fillId="0" borderId="0" xfId="5" applyFont="1" applyBorder="1" applyAlignment="1">
      <alignment vertical="top" wrapText="1"/>
    </xf>
    <xf numFmtId="0" fontId="1" fillId="0" borderId="0" xfId="5" applyFont="1" applyBorder="1" applyAlignment="1">
      <alignment horizontal="left" vertical="top"/>
    </xf>
    <xf numFmtId="14" fontId="6" fillId="19" borderId="13" xfId="0" applyNumberFormat="1" applyFont="1" applyFill="1" applyBorder="1" applyAlignment="1">
      <alignment horizontal="center"/>
    </xf>
    <xf numFmtId="14" fontId="1" fillId="19" borderId="10" xfId="0" applyNumberFormat="1" applyFont="1" applyFill="1" applyBorder="1" applyAlignment="1">
      <alignment horizontal="center"/>
    </xf>
    <xf numFmtId="0" fontId="6" fillId="19" borderId="10" xfId="0" applyFont="1" applyFill="1" applyBorder="1" applyAlignment="1">
      <alignment horizontal="center"/>
    </xf>
    <xf numFmtId="0" fontId="1" fillId="19" borderId="10" xfId="0" applyFont="1" applyFill="1" applyBorder="1" applyAlignment="1">
      <alignment horizontal="center"/>
    </xf>
    <xf numFmtId="43" fontId="6" fillId="19" borderId="13" xfId="0" applyNumberFormat="1" applyFont="1" applyFill="1" applyBorder="1"/>
    <xf numFmtId="4" fontId="6" fillId="19" borderId="10" xfId="1" applyNumberFormat="1" applyFont="1" applyFill="1" applyBorder="1"/>
    <xf numFmtId="164" fontId="1" fillId="19" borderId="13" xfId="3" applyNumberFormat="1" applyFont="1" applyFill="1" applyBorder="1"/>
    <xf numFmtId="164" fontId="6" fillId="19" borderId="11" xfId="3" applyNumberFormat="1" applyFont="1" applyFill="1" applyBorder="1"/>
    <xf numFmtId="43" fontId="1" fillId="19" borderId="19" xfId="0" applyNumberFormat="1" applyFont="1" applyFill="1" applyBorder="1"/>
    <xf numFmtId="0" fontId="6" fillId="19" borderId="13" xfId="0" applyFont="1" applyFill="1" applyBorder="1" applyAlignment="1">
      <alignment horizontal="center"/>
    </xf>
    <xf numFmtId="164" fontId="6" fillId="19" borderId="14" xfId="3" applyNumberFormat="1" applyFont="1" applyFill="1" applyBorder="1"/>
    <xf numFmtId="43" fontId="1" fillId="19" borderId="17" xfId="0" applyNumberFormat="1" applyFont="1" applyFill="1" applyBorder="1"/>
    <xf numFmtId="0" fontId="1" fillId="19" borderId="13" xfId="0" applyNumberFormat="1" applyFont="1" applyFill="1" applyBorder="1" applyAlignment="1">
      <alignment horizontal="center"/>
    </xf>
    <xf numFmtId="164" fontId="1" fillId="19" borderId="14" xfId="3" applyNumberFormat="1" applyFont="1" applyFill="1" applyBorder="1"/>
    <xf numFmtId="0" fontId="1" fillId="19" borderId="0" xfId="0" applyFont="1" applyFill="1"/>
    <xf numFmtId="44" fontId="6" fillId="7" borderId="43" xfId="3" applyFont="1" applyFill="1" applyBorder="1"/>
    <xf numFmtId="44" fontId="6" fillId="0" borderId="44" xfId="3" applyFont="1" applyFill="1" applyBorder="1"/>
    <xf numFmtId="44" fontId="1" fillId="7" borderId="22" xfId="3" applyFont="1" applyFill="1" applyBorder="1"/>
    <xf numFmtId="44" fontId="1" fillId="7" borderId="44" xfId="3" applyFont="1" applyFill="1" applyBorder="1"/>
    <xf numFmtId="17" fontId="6" fillId="18" borderId="9" xfId="0" applyNumberFormat="1" applyFont="1" applyFill="1" applyBorder="1" applyAlignment="1">
      <alignment horizontal="center"/>
    </xf>
    <xf numFmtId="14" fontId="6" fillId="18" borderId="10" xfId="0" applyNumberFormat="1" applyFont="1" applyFill="1" applyBorder="1" applyAlignment="1">
      <alignment horizontal="center"/>
    </xf>
    <xf numFmtId="0" fontId="6" fillId="18" borderId="13" xfId="0" applyFont="1" applyFill="1" applyBorder="1" applyAlignment="1">
      <alignment horizontal="center"/>
    </xf>
    <xf numFmtId="43" fontId="6" fillId="18" borderId="13" xfId="0" applyNumberFormat="1" applyFont="1" applyFill="1" applyBorder="1"/>
    <xf numFmtId="4" fontId="6" fillId="18" borderId="13" xfId="1" applyNumberFormat="1" applyFont="1" applyFill="1" applyBorder="1"/>
    <xf numFmtId="0" fontId="6" fillId="18" borderId="12" xfId="0" applyFont="1" applyFill="1" applyBorder="1" applyAlignment="1">
      <alignment horizontal="center"/>
    </xf>
    <xf numFmtId="14" fontId="6" fillId="18" borderId="13" xfId="0" applyNumberFormat="1" applyFont="1" applyFill="1" applyBorder="1" applyAlignment="1">
      <alignment horizontal="center"/>
    </xf>
    <xf numFmtId="0" fontId="1" fillId="18" borderId="13" xfId="0" applyNumberFormat="1" applyFont="1" applyFill="1" applyBorder="1" applyAlignment="1">
      <alignment horizontal="center"/>
    </xf>
    <xf numFmtId="4" fontId="1" fillId="18" borderId="13" xfId="0" applyNumberFormat="1" applyFont="1" applyFill="1" applyBorder="1"/>
    <xf numFmtId="43" fontId="1" fillId="18" borderId="13" xfId="1" applyFont="1" applyFill="1" applyBorder="1"/>
    <xf numFmtId="0" fontId="6" fillId="19" borderId="12" xfId="0" applyFont="1" applyFill="1" applyBorder="1" applyAlignment="1">
      <alignment horizontal="center"/>
    </xf>
    <xf numFmtId="4" fontId="1" fillId="19" borderId="13" xfId="0" applyNumberFormat="1" applyFont="1" applyFill="1" applyBorder="1"/>
    <xf numFmtId="43" fontId="1" fillId="19" borderId="13" xfId="1" applyFont="1" applyFill="1" applyBorder="1"/>
    <xf numFmtId="0" fontId="5" fillId="0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44" fontId="15" fillId="0" borderId="7" xfId="3" applyFont="1" applyBorder="1" applyAlignment="1">
      <alignment horizontal="left" vertical="center" wrapText="1"/>
    </xf>
    <xf numFmtId="44" fontId="15" fillId="0" borderId="4" xfId="3" applyFont="1" applyBorder="1" applyAlignment="1">
      <alignment horizontal="left" vertical="center" wrapText="1"/>
    </xf>
    <xf numFmtId="44" fontId="15" fillId="0" borderId="5" xfId="3" applyFont="1" applyBorder="1" applyAlignment="1">
      <alignment horizontal="left" vertical="center" wrapText="1"/>
    </xf>
    <xf numFmtId="44" fontId="15" fillId="0" borderId="0" xfId="3" applyFont="1" applyBorder="1" applyAlignment="1">
      <alignment horizontal="left" vertical="center" wrapText="1"/>
    </xf>
    <xf numFmtId="6" fontId="5" fillId="0" borderId="0" xfId="0" applyNumberFormat="1" applyFont="1" applyFill="1" applyBorder="1" applyAlignment="1">
      <alignment horizontal="center"/>
    </xf>
    <xf numFmtId="6" fontId="0" fillId="0" borderId="0" xfId="0" applyNumberFormat="1" applyBorder="1" applyAlignment="1">
      <alignment horizontal="center"/>
    </xf>
    <xf numFmtId="166" fontId="4" fillId="0" borderId="26" xfId="5" applyNumberFormat="1" applyFont="1" applyBorder="1" applyAlignment="1" applyProtection="1">
      <alignment horizontal="center"/>
      <protection locked="0"/>
    </xf>
    <xf numFmtId="166" fontId="4" fillId="0" borderId="29" xfId="5" applyNumberFormat="1" applyFont="1" applyBorder="1" applyAlignment="1" applyProtection="1">
      <alignment horizontal="center"/>
      <protection locked="0"/>
    </xf>
    <xf numFmtId="0" fontId="4" fillId="8" borderId="28" xfId="5" applyFont="1" applyFill="1" applyBorder="1" applyAlignment="1">
      <alignment horizontal="center"/>
    </xf>
    <xf numFmtId="0" fontId="4" fillId="8" borderId="26" xfId="5" applyFont="1" applyFill="1" applyBorder="1" applyAlignment="1">
      <alignment horizontal="center"/>
    </xf>
    <xf numFmtId="0" fontId="4" fillId="8" borderId="29" xfId="5" applyFont="1" applyFill="1" applyBorder="1" applyAlignment="1">
      <alignment horizontal="center"/>
    </xf>
    <xf numFmtId="0" fontId="14" fillId="8" borderId="28" xfId="5" applyFont="1" applyFill="1" applyBorder="1" applyAlignment="1">
      <alignment horizontal="center"/>
    </xf>
    <xf numFmtId="0" fontId="14" fillId="8" borderId="26" xfId="5" applyFont="1" applyFill="1" applyBorder="1" applyAlignment="1">
      <alignment horizontal="center"/>
    </xf>
    <xf numFmtId="0" fontId="14" fillId="8" borderId="29" xfId="5" applyFont="1" applyFill="1" applyBorder="1" applyAlignment="1">
      <alignment horizontal="center"/>
    </xf>
    <xf numFmtId="0" fontId="6" fillId="0" borderId="8" xfId="5" applyBorder="1" applyAlignment="1">
      <alignment horizontal="left" vertical="top" wrapText="1"/>
    </xf>
    <xf numFmtId="0" fontId="6" fillId="0" borderId="0" xfId="5" applyAlignment="1">
      <alignment horizontal="left" vertical="top" wrapText="1"/>
    </xf>
    <xf numFmtId="8" fontId="17" fillId="0" borderId="0" xfId="5" applyNumberFormat="1" applyFont="1" applyFill="1" applyAlignment="1">
      <alignment horizontal="left" wrapText="1"/>
    </xf>
    <xf numFmtId="166" fontId="6" fillId="0" borderId="26" xfId="5" applyNumberFormat="1" applyBorder="1" applyAlignment="1" applyProtection="1">
      <alignment horizontal="center"/>
      <protection locked="0"/>
    </xf>
    <xf numFmtId="166" fontId="6" fillId="0" borderId="29" xfId="5" applyNumberFormat="1" applyBorder="1" applyAlignment="1" applyProtection="1">
      <alignment horizontal="center"/>
      <protection locked="0"/>
    </xf>
    <xf numFmtId="0" fontId="6" fillId="0" borderId="0" xfId="5" applyBorder="1" applyAlignment="1">
      <alignment horizontal="left" vertical="top" wrapText="1"/>
    </xf>
    <xf numFmtId="0" fontId="1" fillId="0" borderId="8" xfId="5" applyFont="1" applyBorder="1" applyAlignment="1">
      <alignment horizontal="left" vertical="top" wrapText="1"/>
    </xf>
    <xf numFmtId="0" fontId="1" fillId="0" borderId="0" xfId="5" applyFont="1" applyBorder="1" applyAlignment="1">
      <alignment horizontal="left" vertical="top" wrapText="1"/>
    </xf>
    <xf numFmtId="0" fontId="4" fillId="15" borderId="1" xfId="0" applyFont="1" applyFill="1" applyBorder="1" applyAlignment="1">
      <alignment horizontal="right"/>
    </xf>
    <xf numFmtId="14" fontId="4" fillId="8" borderId="1" xfId="0" applyNumberFormat="1" applyFont="1" applyFill="1" applyBorder="1" applyAlignment="1">
      <alignment horizontal="center"/>
    </xf>
    <xf numFmtId="0" fontId="4" fillId="10" borderId="1" xfId="0" applyFont="1" applyFill="1" applyBorder="1" applyAlignment="1">
      <alignment horizontal="center"/>
    </xf>
    <xf numFmtId="0" fontId="4" fillId="8" borderId="2" xfId="0" applyFont="1" applyFill="1" applyBorder="1" applyAlignment="1">
      <alignment horizontal="center"/>
    </xf>
    <xf numFmtId="0" fontId="8" fillId="8" borderId="23" xfId="0" applyFont="1" applyFill="1" applyBorder="1" applyAlignment="1">
      <alignment horizontal="center"/>
    </xf>
    <xf numFmtId="0" fontId="8" fillId="8" borderId="27" xfId="0" applyFont="1" applyFill="1" applyBorder="1" applyAlignment="1">
      <alignment horizontal="center"/>
    </xf>
    <xf numFmtId="0" fontId="6" fillId="0" borderId="5" xfId="5" applyBorder="1" applyAlignment="1">
      <alignment horizontal="left" vertical="top" wrapText="1"/>
    </xf>
    <xf numFmtId="0" fontId="0" fillId="6" borderId="0" xfId="0" quotePrefix="1" applyFont="1" applyFill="1" applyAlignment="1">
      <alignment horizontal="left" vertical="top" wrapText="1"/>
    </xf>
    <xf numFmtId="0" fontId="4" fillId="0" borderId="0" xfId="0" applyFont="1" applyFill="1" applyAlignment="1">
      <alignment horizontal="right"/>
    </xf>
    <xf numFmtId="0" fontId="4" fillId="8" borderId="23" xfId="0" applyFont="1" applyFill="1" applyBorder="1" applyAlignment="1">
      <alignment horizontal="center"/>
    </xf>
    <xf numFmtId="0" fontId="4" fillId="8" borderId="27" xfId="0" applyFont="1" applyFill="1" applyBorder="1" applyAlignment="1">
      <alignment horizontal="center"/>
    </xf>
    <xf numFmtId="0" fontId="4" fillId="12" borderId="1" xfId="0" applyFont="1" applyFill="1" applyBorder="1" applyAlignment="1">
      <alignment horizontal="center"/>
    </xf>
    <xf numFmtId="0" fontId="6" fillId="0" borderId="5" xfId="5" applyFill="1" applyBorder="1" applyAlignment="1">
      <alignment horizontal="left" vertical="top" wrapText="1"/>
    </xf>
    <xf numFmtId="0" fontId="6" fillId="0" borderId="0" xfId="5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center"/>
    </xf>
    <xf numFmtId="0" fontId="1" fillId="5" borderId="0" xfId="0" applyFont="1" applyFill="1" applyAlignment="1">
      <alignment horizontal="left" wrapText="1"/>
    </xf>
    <xf numFmtId="0" fontId="4" fillId="0" borderId="13" xfId="0" applyFont="1" applyFill="1" applyBorder="1" applyAlignment="1">
      <alignment horizontal="right"/>
    </xf>
    <xf numFmtId="0" fontId="8" fillId="5" borderId="2" xfId="0" applyFont="1" applyFill="1" applyBorder="1" applyAlignment="1">
      <alignment horizontal="center"/>
    </xf>
    <xf numFmtId="0" fontId="8" fillId="5" borderId="23" xfId="0" applyFont="1" applyFill="1" applyBorder="1" applyAlignment="1">
      <alignment horizontal="center"/>
    </xf>
    <xf numFmtId="0" fontId="8" fillId="5" borderId="27" xfId="0" applyFont="1" applyFill="1" applyBorder="1" applyAlignment="1">
      <alignment horizontal="center"/>
    </xf>
    <xf numFmtId="44" fontId="6" fillId="6" borderId="0" xfId="0" applyNumberFormat="1" applyFont="1" applyFill="1" applyAlignment="1">
      <alignment horizontal="left" vertical="top" wrapText="1"/>
    </xf>
    <xf numFmtId="0" fontId="1" fillId="6" borderId="28" xfId="0" applyFont="1" applyFill="1" applyBorder="1" applyAlignment="1">
      <alignment horizontal="center"/>
    </xf>
    <xf numFmtId="0" fontId="1" fillId="6" borderId="29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1" fillId="0" borderId="8" xfId="5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0" xfId="0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43" fontId="4" fillId="0" borderId="41" xfId="0" applyNumberFormat="1" applyFont="1" applyFill="1" applyBorder="1" applyAlignment="1">
      <alignment horizontal="right"/>
    </xf>
    <xf numFmtId="43" fontId="4" fillId="0" borderId="22" xfId="0" applyNumberFormat="1" applyFont="1" applyFill="1" applyBorder="1" applyAlignment="1">
      <alignment horizontal="right"/>
    </xf>
    <xf numFmtId="0" fontId="4" fillId="17" borderId="2" xfId="0" applyFont="1" applyFill="1" applyBorder="1" applyAlignment="1">
      <alignment horizontal="center"/>
    </xf>
    <xf numFmtId="0" fontId="4" fillId="17" borderId="23" xfId="0" applyFont="1" applyFill="1" applyBorder="1" applyAlignment="1">
      <alignment horizontal="center"/>
    </xf>
    <xf numFmtId="0" fontId="4" fillId="17" borderId="27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/>
    </xf>
    <xf numFmtId="0" fontId="4" fillId="5" borderId="23" xfId="0" applyFont="1" applyFill="1" applyBorder="1" applyAlignment="1">
      <alignment horizontal="center"/>
    </xf>
    <xf numFmtId="0" fontId="4" fillId="5" borderId="27" xfId="0" applyFont="1" applyFill="1" applyBorder="1" applyAlignment="1">
      <alignment horizontal="center"/>
    </xf>
  </cellXfs>
  <cellStyles count="8">
    <cellStyle name="Comma" xfId="1" builtinId="3"/>
    <cellStyle name="Comma 2" xfId="2"/>
    <cellStyle name="Currency" xfId="3" builtinId="4"/>
    <cellStyle name="Currency 2" xfId="4"/>
    <cellStyle name="Normal" xfId="0" builtinId="0"/>
    <cellStyle name="Normal 2" xfId="5"/>
    <cellStyle name="Percent" xfId="6" builtinId="5"/>
    <cellStyle name="Percent 2" xfId="7"/>
  </cellStyles>
  <dxfs count="0"/>
  <tableStyles count="0" defaultTableStyle="TableStyleMedium9" defaultPivotStyle="PivotStyleLight16"/>
  <colors>
    <mruColors>
      <color rgb="FFCCFF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1030941</xdr:colOff>
      <xdr:row>42</xdr:row>
      <xdr:rowOff>145676</xdr:rowOff>
    </xdr:from>
    <xdr:ext cx="890703" cy="490327"/>
    <xdr:sp macro="" textlink="">
      <xdr:nvSpPr>
        <xdr:cNvPr id="2" name="TextBox 1"/>
        <xdr:cNvSpPr txBox="1"/>
      </xdr:nvSpPr>
      <xdr:spPr>
        <a:xfrm>
          <a:off x="7687235" y="6936441"/>
          <a:ext cx="890703" cy="490327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900">
              <a:latin typeface="Arial" panose="020B0604020202020204" pitchFamily="34" charset="0"/>
              <a:cs typeface="Arial" panose="020B0604020202020204" pitchFamily="34" charset="0"/>
            </a:rPr>
            <a:t>Sum is input</a:t>
          </a:r>
          <a:r>
            <a:rPr lang="en-US" sz="900" baseline="0">
              <a:latin typeface="Arial" panose="020B0604020202020204" pitchFamily="34" charset="0"/>
              <a:cs typeface="Arial" panose="020B0604020202020204" pitchFamily="34" charset="0"/>
            </a:rPr>
            <a:t> to Schedule 22, Line 10</a:t>
          </a:r>
          <a:endParaRPr lang="en-US" sz="9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7</xdr:col>
      <xdr:colOff>100853</xdr:colOff>
      <xdr:row>42</xdr:row>
      <xdr:rowOff>132229</xdr:rowOff>
    </xdr:from>
    <xdr:ext cx="1075765" cy="414617"/>
    <xdr:sp macro="" textlink="">
      <xdr:nvSpPr>
        <xdr:cNvPr id="3" name="TextBox 2"/>
        <xdr:cNvSpPr txBox="1"/>
      </xdr:nvSpPr>
      <xdr:spPr>
        <a:xfrm>
          <a:off x="8901953" y="7133104"/>
          <a:ext cx="1075765" cy="414617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sz="900">
              <a:latin typeface="Arial" panose="020B0604020202020204" pitchFamily="34" charset="0"/>
              <a:cs typeface="Arial" panose="020B0604020202020204" pitchFamily="34" charset="0"/>
            </a:rPr>
            <a:t>Input to Schedule 22, Line 5</a:t>
          </a:r>
        </a:p>
      </xdr:txBody>
    </xdr:sp>
    <xdr:clientData/>
  </xdr:oneCellAnchor>
  <xdr:twoCellAnchor>
    <xdr:from>
      <xdr:col>5</xdr:col>
      <xdr:colOff>1030941</xdr:colOff>
      <xdr:row>40</xdr:row>
      <xdr:rowOff>78441</xdr:rowOff>
    </xdr:from>
    <xdr:to>
      <xdr:col>6</xdr:col>
      <xdr:colOff>22412</xdr:colOff>
      <xdr:row>41</xdr:row>
      <xdr:rowOff>67235</xdr:rowOff>
    </xdr:to>
    <xdr:cxnSp macro="">
      <xdr:nvCxnSpPr>
        <xdr:cNvPr id="5" name="Straight Arrow Connector 4"/>
        <xdr:cNvCxnSpPr/>
      </xdr:nvCxnSpPr>
      <xdr:spPr>
        <a:xfrm flipV="1">
          <a:off x="7687235" y="6398559"/>
          <a:ext cx="33618" cy="14567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22412</xdr:colOff>
      <xdr:row>40</xdr:row>
      <xdr:rowOff>112058</xdr:rowOff>
    </xdr:from>
    <xdr:to>
      <xdr:col>6</xdr:col>
      <xdr:colOff>434146</xdr:colOff>
      <xdr:row>42</xdr:row>
      <xdr:rowOff>145676</xdr:rowOff>
    </xdr:to>
    <xdr:cxnSp macro="">
      <xdr:nvCxnSpPr>
        <xdr:cNvPr id="9" name="Straight Arrow Connector 8"/>
        <xdr:cNvCxnSpPr>
          <a:stCxn id="2" idx="0"/>
        </xdr:cNvCxnSpPr>
      </xdr:nvCxnSpPr>
      <xdr:spPr>
        <a:xfrm flipH="1" flipV="1">
          <a:off x="7720853" y="6432176"/>
          <a:ext cx="411734" cy="50426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22412</xdr:colOff>
      <xdr:row>41</xdr:row>
      <xdr:rowOff>123265</xdr:rowOff>
    </xdr:from>
    <xdr:to>
      <xdr:col>6</xdr:col>
      <xdr:colOff>434146</xdr:colOff>
      <xdr:row>42</xdr:row>
      <xdr:rowOff>145676</xdr:rowOff>
    </xdr:to>
    <xdr:cxnSp macro="">
      <xdr:nvCxnSpPr>
        <xdr:cNvPr id="12" name="Straight Arrow Connector 11"/>
        <xdr:cNvCxnSpPr>
          <a:stCxn id="2" idx="0"/>
        </xdr:cNvCxnSpPr>
      </xdr:nvCxnSpPr>
      <xdr:spPr>
        <a:xfrm flipH="1" flipV="1">
          <a:off x="7720853" y="6600265"/>
          <a:ext cx="411734" cy="33617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381000</xdr:colOff>
      <xdr:row>40</xdr:row>
      <xdr:rowOff>38100</xdr:rowOff>
    </xdr:from>
    <xdr:to>
      <xdr:col>8</xdr:col>
      <xdr:colOff>323850</xdr:colOff>
      <xdr:row>42</xdr:row>
      <xdr:rowOff>123265</xdr:rowOff>
    </xdr:to>
    <xdr:cxnSp macro="">
      <xdr:nvCxnSpPr>
        <xdr:cNvPr id="16" name="Straight Arrow Connector 15"/>
        <xdr:cNvCxnSpPr/>
      </xdr:nvCxnSpPr>
      <xdr:spPr>
        <a:xfrm flipV="1">
          <a:off x="9182100" y="6553200"/>
          <a:ext cx="990600" cy="57094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168089</xdr:colOff>
      <xdr:row>26</xdr:row>
      <xdr:rowOff>138952</xdr:rowOff>
    </xdr:from>
    <xdr:ext cx="1075765" cy="414617"/>
    <xdr:sp macro="" textlink="">
      <xdr:nvSpPr>
        <xdr:cNvPr id="2" name="TextBox 1"/>
        <xdr:cNvSpPr txBox="1"/>
      </xdr:nvSpPr>
      <xdr:spPr>
        <a:xfrm>
          <a:off x="8942295" y="5091952"/>
          <a:ext cx="1075765" cy="414617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sz="900">
              <a:latin typeface="Arial" panose="020B0604020202020204" pitchFamily="34" charset="0"/>
              <a:cs typeface="Arial" panose="020B0604020202020204" pitchFamily="34" charset="0"/>
            </a:rPr>
            <a:t>Input to Schedule 22, Line 1</a:t>
          </a:r>
        </a:p>
      </xdr:txBody>
    </xdr:sp>
    <xdr:clientData/>
  </xdr:oneCellAnchor>
  <xdr:twoCellAnchor>
    <xdr:from>
      <xdr:col>7</xdr:col>
      <xdr:colOff>448236</xdr:colOff>
      <xdr:row>25</xdr:row>
      <xdr:rowOff>44824</xdr:rowOff>
    </xdr:from>
    <xdr:to>
      <xdr:col>8</xdr:col>
      <xdr:colOff>391086</xdr:colOff>
      <xdr:row>26</xdr:row>
      <xdr:rowOff>129988</xdr:rowOff>
    </xdr:to>
    <xdr:cxnSp macro="">
      <xdr:nvCxnSpPr>
        <xdr:cNvPr id="3" name="Straight Arrow Connector 2"/>
        <xdr:cNvCxnSpPr/>
      </xdr:nvCxnSpPr>
      <xdr:spPr>
        <a:xfrm flipV="1">
          <a:off x="9222442" y="4684059"/>
          <a:ext cx="996203" cy="398929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9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1" enableFormatConditionsCalculation="0">
    <tabColor theme="0" tint="-4.9989318521683403E-2"/>
    <pageSetUpPr fitToPage="1"/>
  </sheetPr>
  <dimension ref="A1:J58"/>
  <sheetViews>
    <sheetView tabSelected="1" zoomScaleNormal="100" zoomScaleSheetLayoutView="85" workbookViewId="0">
      <selection sqref="A1:F1"/>
    </sheetView>
  </sheetViews>
  <sheetFormatPr defaultRowHeight="12.75" x14ac:dyDescent="0.2"/>
  <cols>
    <col min="1" max="1" width="41.28515625" bestFit="1" customWidth="1"/>
    <col min="2" max="5" width="14.5703125" style="216" bestFit="1" customWidth="1"/>
    <col min="6" max="6" width="15.5703125" style="216" customWidth="1"/>
    <col min="7" max="7" width="16.85546875" style="216" bestFit="1" customWidth="1"/>
    <col min="8" max="8" width="15.7109375" style="216" bestFit="1" customWidth="1"/>
    <col min="9" max="9" width="16.140625" style="216" customWidth="1"/>
    <col min="10" max="10" width="15.28515625" bestFit="1" customWidth="1"/>
    <col min="11" max="12" width="14" bestFit="1" customWidth="1"/>
  </cols>
  <sheetData>
    <row r="1" spans="1:9" s="55" customFormat="1" ht="15.75" x14ac:dyDescent="0.25">
      <c r="A1" s="476" t="s">
        <v>165</v>
      </c>
      <c r="B1" s="477"/>
      <c r="C1" s="477"/>
      <c r="D1" s="477"/>
      <c r="E1" s="477"/>
      <c r="F1" s="477"/>
      <c r="G1" s="235"/>
      <c r="H1" s="235"/>
      <c r="I1" s="235"/>
    </row>
    <row r="2" spans="1:9" x14ac:dyDescent="0.2">
      <c r="A2" s="17"/>
      <c r="B2" s="236"/>
      <c r="C2" s="236"/>
      <c r="D2" s="236"/>
      <c r="E2" s="236"/>
      <c r="F2" s="236"/>
      <c r="G2" s="236"/>
      <c r="H2" s="236"/>
      <c r="I2" s="236"/>
    </row>
    <row r="3" spans="1:9" x14ac:dyDescent="0.2">
      <c r="A3" s="17"/>
      <c r="B3" s="236"/>
      <c r="C3" s="236"/>
      <c r="D3" s="236"/>
      <c r="E3" s="236"/>
      <c r="F3" s="236"/>
      <c r="G3" s="236"/>
      <c r="H3" s="236"/>
      <c r="I3" s="236"/>
    </row>
    <row r="4" spans="1:9" x14ac:dyDescent="0.2">
      <c r="A4" s="104" t="s">
        <v>139</v>
      </c>
      <c r="B4" s="234" t="s">
        <v>52</v>
      </c>
      <c r="C4" s="234" t="s">
        <v>53</v>
      </c>
      <c r="D4" s="234" t="s">
        <v>54</v>
      </c>
      <c r="E4" s="234" t="s">
        <v>55</v>
      </c>
      <c r="F4" s="234" t="s">
        <v>0</v>
      </c>
      <c r="G4" s="324" t="s">
        <v>168</v>
      </c>
      <c r="H4" s="325" t="s">
        <v>169</v>
      </c>
      <c r="I4" s="234" t="s">
        <v>56</v>
      </c>
    </row>
    <row r="5" spans="1:9" x14ac:dyDescent="0.2">
      <c r="A5" s="53" t="s">
        <v>2</v>
      </c>
      <c r="B5" s="213">
        <f>'Blythe I'!H49</f>
        <v>1182152.6753333332</v>
      </c>
      <c r="C5" s="213">
        <f>'Blythe I'!H50</f>
        <v>1182152.6753333332</v>
      </c>
      <c r="D5" s="213">
        <f>'Blythe I'!H51</f>
        <v>1182152.6753333332</v>
      </c>
      <c r="E5" s="213">
        <f>'Blythe I'!H52</f>
        <v>1182152.6753333332</v>
      </c>
      <c r="F5" s="213">
        <f t="shared" ref="F5:F37" si="0">SUM(B5:E5)</f>
        <v>4728610.7013333328</v>
      </c>
      <c r="G5" s="214">
        <f>'Blythe I'!D29</f>
        <v>26452000</v>
      </c>
      <c r="H5" s="215">
        <f>SUM('Blythe I'!H38:H52)</f>
        <v>20541236.623333331</v>
      </c>
      <c r="I5" s="215">
        <f>G5-H5</f>
        <v>5910763.3766666688</v>
      </c>
    </row>
    <row r="6" spans="1:9" x14ac:dyDescent="0.2">
      <c r="A6" s="53" t="s">
        <v>3</v>
      </c>
      <c r="B6" s="213">
        <f>'Blythe I'!G49</f>
        <v>85260.737474383539</v>
      </c>
      <c r="C6" s="213">
        <f>'Blythe I'!G50</f>
        <v>76629.403557223734</v>
      </c>
      <c r="D6" s="213">
        <f>'Blythe I'!G51</f>
        <v>67787.549300621002</v>
      </c>
      <c r="E6" s="213">
        <f>'Blythe I'!G52</f>
        <v>58103.613686246572</v>
      </c>
      <c r="F6" s="213">
        <f t="shared" si="0"/>
        <v>287781.30401847488</v>
      </c>
    </row>
    <row r="7" spans="1:9" x14ac:dyDescent="0.2">
      <c r="A7" s="53" t="s">
        <v>4</v>
      </c>
      <c r="B7" s="213">
        <f>'Blythe I'!G84+'Blythe I'!I84</f>
        <v>21.321089994948249</v>
      </c>
      <c r="C7" s="213">
        <f>'Blythe I'!G85+'Blythe I'!I85</f>
        <v>20.324614674341241</v>
      </c>
      <c r="D7" s="213">
        <f>'Blythe I'!G86+'Blythe I'!I86</f>
        <v>19.303835077621869</v>
      </c>
      <c r="E7" s="213">
        <f>'Blythe I'!G87+'Blythe I'!I87</f>
        <v>18.185838376453034</v>
      </c>
      <c r="F7" s="213">
        <f t="shared" si="0"/>
        <v>79.13537812336439</v>
      </c>
    </row>
    <row r="8" spans="1:9" x14ac:dyDescent="0.2">
      <c r="A8" s="14"/>
      <c r="B8" s="213"/>
      <c r="C8" s="213"/>
      <c r="D8" s="213"/>
      <c r="E8" s="213"/>
      <c r="F8" s="213"/>
      <c r="G8" s="236"/>
      <c r="H8" s="236"/>
      <c r="I8" s="236"/>
    </row>
    <row r="9" spans="1:9" x14ac:dyDescent="0.2">
      <c r="A9" s="104" t="s">
        <v>134</v>
      </c>
      <c r="B9" s="234" t="s">
        <v>52</v>
      </c>
      <c r="C9" s="234" t="s">
        <v>53</v>
      </c>
      <c r="D9" s="234" t="s">
        <v>54</v>
      </c>
      <c r="E9" s="234" t="s">
        <v>55</v>
      </c>
      <c r="F9" s="234" t="s">
        <v>0</v>
      </c>
      <c r="G9" s="324" t="s">
        <v>168</v>
      </c>
      <c r="H9" s="325" t="s">
        <v>169</v>
      </c>
      <c r="I9" s="234" t="s">
        <v>56</v>
      </c>
    </row>
    <row r="10" spans="1:9" x14ac:dyDescent="0.2">
      <c r="A10" s="53" t="s">
        <v>2</v>
      </c>
      <c r="B10" s="213">
        <v>0</v>
      </c>
      <c r="C10" s="213">
        <v>0</v>
      </c>
      <c r="D10" s="213">
        <f>SUM('Antelope Power Plant'!I48:I48)</f>
        <v>29377.65</v>
      </c>
      <c r="E10" s="213">
        <f>SUM('Antelope Power Plant'!I49:I50)</f>
        <v>58755.3</v>
      </c>
      <c r="F10" s="213">
        <f>SUM(B10:E10)</f>
        <v>88132.950000000012</v>
      </c>
      <c r="G10" s="214">
        <f>'Antelope Power Plant'!$C$34</f>
        <v>587553</v>
      </c>
      <c r="H10" s="215">
        <f>SUM('Antelope Power Plant'!I48:I51)</f>
        <v>88132.950000000012</v>
      </c>
      <c r="I10" s="215">
        <f>G10-H10</f>
        <v>499420.05</v>
      </c>
    </row>
    <row r="11" spans="1:9" x14ac:dyDescent="0.2">
      <c r="A11" s="53" t="s">
        <v>3</v>
      </c>
      <c r="B11" s="213">
        <v>0</v>
      </c>
      <c r="C11" s="213">
        <v>0</v>
      </c>
      <c r="D11" s="213">
        <f>SUM('Antelope Power Plant'!H48:H48)+'Antelope Power Plant'!J48</f>
        <v>6429.0558122067932</v>
      </c>
      <c r="E11" s="213">
        <f>SUM('Antelope Power Plant'!H49:H50)</f>
        <v>737.66071849315051</v>
      </c>
      <c r="F11" s="213">
        <f t="shared" si="0"/>
        <v>7166.7165306999441</v>
      </c>
    </row>
    <row r="12" spans="1:9" x14ac:dyDescent="0.2">
      <c r="A12" s="53" t="s">
        <v>4</v>
      </c>
      <c r="B12" s="213">
        <v>0</v>
      </c>
      <c r="C12" s="213">
        <v>0</v>
      </c>
      <c r="D12" s="213">
        <v>0</v>
      </c>
      <c r="E12" s="213">
        <v>0</v>
      </c>
      <c r="F12" s="213">
        <f t="shared" si="0"/>
        <v>0</v>
      </c>
    </row>
    <row r="13" spans="1:9" x14ac:dyDescent="0.2">
      <c r="A13" s="14"/>
      <c r="B13" s="213"/>
      <c r="C13" s="213"/>
      <c r="D13" s="213"/>
      <c r="E13" s="213"/>
      <c r="F13" s="213"/>
      <c r="G13" s="236"/>
      <c r="H13" s="236"/>
      <c r="I13" s="236"/>
    </row>
    <row r="14" spans="1:9" x14ac:dyDescent="0.2">
      <c r="A14" s="104" t="s">
        <v>92</v>
      </c>
      <c r="B14" s="234" t="s">
        <v>52</v>
      </c>
      <c r="C14" s="234" t="s">
        <v>53</v>
      </c>
      <c r="D14" s="234" t="s">
        <v>54</v>
      </c>
      <c r="E14" s="234" t="s">
        <v>55</v>
      </c>
      <c r="F14" s="234" t="s">
        <v>0</v>
      </c>
      <c r="G14" s="324" t="s">
        <v>168</v>
      </c>
      <c r="H14" s="325" t="s">
        <v>169</v>
      </c>
      <c r="I14" s="234" t="s">
        <v>56</v>
      </c>
    </row>
    <row r="15" spans="1:9" x14ac:dyDescent="0.2">
      <c r="A15" s="53" t="s">
        <v>2</v>
      </c>
      <c r="B15" s="213">
        <f>'Inland Empire Energy Center'!H30</f>
        <v>249200</v>
      </c>
      <c r="C15" s="213">
        <f>'Inland Empire Energy Center'!H31</f>
        <v>249200</v>
      </c>
      <c r="D15" s="213">
        <f>'Inland Empire Energy Center'!H32</f>
        <v>249200</v>
      </c>
      <c r="E15" s="213">
        <f>'Inland Empire Energy Center'!H33</f>
        <v>249200</v>
      </c>
      <c r="F15" s="213">
        <f>SUM(B15:E15)</f>
        <v>996800</v>
      </c>
      <c r="G15" s="214">
        <f>'Inland Empire Energy Center'!D9</f>
        <v>4984000</v>
      </c>
      <c r="H15" s="215">
        <f>SUM('Inland Empire Energy Center'!H16:H33)</f>
        <v>4485600</v>
      </c>
      <c r="I15" s="215">
        <f>G15-H15</f>
        <v>498400</v>
      </c>
    </row>
    <row r="16" spans="1:9" x14ac:dyDescent="0.2">
      <c r="A16" s="53" t="s">
        <v>3</v>
      </c>
      <c r="B16" s="213">
        <f>'Inland Empire Energy Center'!G30</f>
        <v>11982.082191780821</v>
      </c>
      <c r="C16" s="213">
        <f>'Inland Empire Energy Center'!G31</f>
        <v>10096.013698630137</v>
      </c>
      <c r="D16" s="213">
        <f>'Inland Empire Energy Center'!G32</f>
        <v>8165.5671232876721</v>
      </c>
      <c r="E16" s="213">
        <f>'Inland Empire Energy Center'!G33</f>
        <v>6124.1753424657536</v>
      </c>
      <c r="F16" s="213">
        <f t="shared" si="0"/>
        <v>36367.838356164379</v>
      </c>
    </row>
    <row r="17" spans="1:9" x14ac:dyDescent="0.2">
      <c r="A17" s="53" t="s">
        <v>4</v>
      </c>
      <c r="B17" s="213">
        <v>0</v>
      </c>
      <c r="C17" s="213">
        <v>0</v>
      </c>
      <c r="D17" s="213">
        <v>0</v>
      </c>
      <c r="E17" s="213">
        <v>0</v>
      </c>
      <c r="F17" s="213">
        <f t="shared" si="0"/>
        <v>0</v>
      </c>
    </row>
    <row r="18" spans="1:9" x14ac:dyDescent="0.2">
      <c r="A18" s="14"/>
      <c r="B18" s="213"/>
      <c r="C18" s="213"/>
      <c r="D18" s="213"/>
      <c r="E18" s="213"/>
      <c r="F18" s="213"/>
      <c r="G18" s="236"/>
      <c r="H18" s="236"/>
      <c r="I18" s="236"/>
    </row>
    <row r="19" spans="1:9" x14ac:dyDescent="0.2">
      <c r="A19" s="104" t="s">
        <v>94</v>
      </c>
      <c r="B19" s="234" t="s">
        <v>52</v>
      </c>
      <c r="C19" s="234" t="s">
        <v>53</v>
      </c>
      <c r="D19" s="234" t="s">
        <v>54</v>
      </c>
      <c r="E19" s="234" t="s">
        <v>55</v>
      </c>
      <c r="F19" s="234" t="s">
        <v>0</v>
      </c>
      <c r="G19" s="324" t="s">
        <v>168</v>
      </c>
      <c r="H19" s="325" t="s">
        <v>169</v>
      </c>
      <c r="I19" s="234" t="s">
        <v>56</v>
      </c>
    </row>
    <row r="20" spans="1:9" ht="12.75" customHeight="1" x14ac:dyDescent="0.2">
      <c r="A20" s="53" t="s">
        <v>2</v>
      </c>
      <c r="B20" s="213">
        <v>0</v>
      </c>
      <c r="C20" s="213">
        <f>'NRG El Segundo'!H38</f>
        <v>0</v>
      </c>
      <c r="D20" s="213">
        <f>'NRG El Segundo'!H40</f>
        <v>844591.65</v>
      </c>
      <c r="E20" s="213">
        <f>'NRG El Segundo'!H41</f>
        <v>844591.65</v>
      </c>
      <c r="F20" s="213">
        <f>SUM(B20:E20)</f>
        <v>1689183.3</v>
      </c>
      <c r="G20" s="214">
        <f>'NRG El Segundo'!C30</f>
        <v>16891833</v>
      </c>
      <c r="H20" s="215">
        <f>SUM('NRG El Segundo'!H40:H41)</f>
        <v>1689183.3</v>
      </c>
      <c r="I20" s="215">
        <f>G20-H20</f>
        <v>15202649.699999999</v>
      </c>
    </row>
    <row r="21" spans="1:9" x14ac:dyDescent="0.2">
      <c r="A21" s="53" t="s">
        <v>3</v>
      </c>
      <c r="B21" s="213">
        <v>0</v>
      </c>
      <c r="C21" s="213">
        <v>0</v>
      </c>
      <c r="D21" s="213">
        <f>'NRG El Segundo'!G40+'NRG El Segundo'!I40</f>
        <v>409360.27339358308</v>
      </c>
      <c r="E21" s="213">
        <f>'NRG El Segundo'!G41</f>
        <v>131455.48393561644</v>
      </c>
      <c r="F21" s="213">
        <f t="shared" si="0"/>
        <v>540815.75732919946</v>
      </c>
      <c r="I21" s="236"/>
    </row>
    <row r="22" spans="1:9" x14ac:dyDescent="0.2">
      <c r="A22" s="53" t="s">
        <v>4</v>
      </c>
      <c r="B22" s="213">
        <f>'NRG El Segundo'!E407</f>
        <v>0</v>
      </c>
      <c r="C22" s="213">
        <f>'NRG El Segundo'!E408</f>
        <v>0</v>
      </c>
      <c r="D22" s="213">
        <f>'NRG El Segundo'!E409</f>
        <v>0</v>
      </c>
      <c r="E22" s="213">
        <f>'NRG El Segundo'!E410</f>
        <v>0</v>
      </c>
      <c r="F22" s="213">
        <f t="shared" si="0"/>
        <v>0</v>
      </c>
    </row>
    <row r="23" spans="1:9" x14ac:dyDescent="0.2">
      <c r="A23" s="53"/>
      <c r="B23" s="213"/>
      <c r="C23" s="213"/>
      <c r="D23" s="213"/>
      <c r="E23" s="213"/>
      <c r="F23" s="213"/>
    </row>
    <row r="24" spans="1:9" x14ac:dyDescent="0.2">
      <c r="A24" s="104" t="s">
        <v>137</v>
      </c>
      <c r="B24" s="234" t="s">
        <v>52</v>
      </c>
      <c r="C24" s="234" t="s">
        <v>53</v>
      </c>
      <c r="D24" s="234" t="s">
        <v>54</v>
      </c>
      <c r="E24" s="234" t="s">
        <v>55</v>
      </c>
      <c r="F24" s="234" t="s">
        <v>0</v>
      </c>
      <c r="G24" s="240" t="s">
        <v>27</v>
      </c>
      <c r="H24" s="325" t="s">
        <v>169</v>
      </c>
      <c r="I24" s="234" t="s">
        <v>56</v>
      </c>
    </row>
    <row r="25" spans="1:9" x14ac:dyDescent="0.2">
      <c r="A25" s="53" t="s">
        <v>2</v>
      </c>
      <c r="B25" s="213">
        <v>0</v>
      </c>
      <c r="C25" s="213">
        <v>0</v>
      </c>
      <c r="D25" s="213">
        <f>Sentinel!H14</f>
        <v>1343368.3</v>
      </c>
      <c r="E25" s="213">
        <f>Sentinel!H15</f>
        <v>671684.15</v>
      </c>
      <c r="F25" s="213">
        <f>SUM(B25:E25)</f>
        <v>2015052.4500000002</v>
      </c>
      <c r="G25" s="214">
        <f>Sentinel!D3</f>
        <v>13433683</v>
      </c>
      <c r="H25" s="215">
        <f>SUM(Sentinel!H11:H15)</f>
        <v>2015052.4500000002</v>
      </c>
      <c r="I25" s="215">
        <f>G25-H25</f>
        <v>11418630.550000001</v>
      </c>
    </row>
    <row r="26" spans="1:9" x14ac:dyDescent="0.2">
      <c r="A26" s="53" t="s">
        <v>3</v>
      </c>
      <c r="B26" s="213">
        <v>0</v>
      </c>
      <c r="C26" s="213">
        <v>0</v>
      </c>
      <c r="D26" s="213">
        <f>Sentinel!G14+Sentinel!I14</f>
        <v>419547.19421420491</v>
      </c>
      <c r="E26" s="213">
        <f>Sentinel!G15</f>
        <v>99041.208090410961</v>
      </c>
      <c r="F26" s="213">
        <f t="shared" si="0"/>
        <v>518588.40230461588</v>
      </c>
      <c r="I26" s="236"/>
    </row>
    <row r="27" spans="1:9" x14ac:dyDescent="0.2">
      <c r="A27" s="53" t="s">
        <v>4</v>
      </c>
      <c r="B27" s="213">
        <v>0</v>
      </c>
      <c r="C27" s="213">
        <v>0</v>
      </c>
      <c r="D27" s="213">
        <v>0</v>
      </c>
      <c r="E27" s="213">
        <v>0</v>
      </c>
      <c r="F27" s="213">
        <f t="shared" si="0"/>
        <v>0</v>
      </c>
      <c r="I27" s="236"/>
    </row>
    <row r="28" spans="1:9" x14ac:dyDescent="0.2">
      <c r="A28" s="53"/>
      <c r="B28" s="213"/>
      <c r="C28" s="213"/>
      <c r="D28" s="213"/>
      <c r="E28" s="213"/>
      <c r="F28" s="213"/>
    </row>
    <row r="29" spans="1:9" x14ac:dyDescent="0.2">
      <c r="A29" s="105" t="s">
        <v>93</v>
      </c>
      <c r="B29" s="234" t="s">
        <v>52</v>
      </c>
      <c r="C29" s="234" t="s">
        <v>53</v>
      </c>
      <c r="D29" s="234" t="s">
        <v>54</v>
      </c>
      <c r="E29" s="234" t="s">
        <v>55</v>
      </c>
      <c r="F29" s="234" t="s">
        <v>0</v>
      </c>
      <c r="G29" s="324" t="s">
        <v>168</v>
      </c>
      <c r="H29" s="325" t="s">
        <v>169</v>
      </c>
      <c r="I29" s="234" t="s">
        <v>170</v>
      </c>
    </row>
    <row r="30" spans="1:9" x14ac:dyDescent="0.2">
      <c r="A30" s="54" t="s">
        <v>2</v>
      </c>
      <c r="B30" s="213">
        <f>'Mountain View IV Project'!H14</f>
        <v>15000</v>
      </c>
      <c r="C30" s="213">
        <f>'Mountain View IV Project'!H15</f>
        <v>15000</v>
      </c>
      <c r="D30" s="213">
        <f>'Mountain View IV Project'!H16</f>
        <v>0</v>
      </c>
      <c r="E30" s="213">
        <f>'Mountain View IV Project'!H17</f>
        <v>0</v>
      </c>
      <c r="F30" s="213">
        <f>SUM(B30:E30)</f>
        <v>30000</v>
      </c>
      <c r="G30" s="214">
        <f>'Mountain View IV Project'!$D$3</f>
        <v>300000</v>
      </c>
      <c r="H30" s="215">
        <f>SUM('Mountain View IV Project'!H10:H17)</f>
        <v>90000</v>
      </c>
      <c r="I30" s="215">
        <v>0</v>
      </c>
    </row>
    <row r="31" spans="1:9" x14ac:dyDescent="0.2">
      <c r="A31" s="54" t="s">
        <v>3</v>
      </c>
      <c r="B31" s="213">
        <f>'Mountain View IV Project'!G14</f>
        <v>1923.2876712328766</v>
      </c>
      <c r="C31" s="213">
        <f>'Mountain View IV Project'!G15</f>
        <v>1823.1164383561645</v>
      </c>
      <c r="D31" s="213">
        <f>'Mountain View IV Project'!G16</f>
        <v>0</v>
      </c>
      <c r="E31" s="213">
        <f>'Mountain View IV Project'!G17</f>
        <v>0</v>
      </c>
      <c r="F31" s="213">
        <f t="shared" si="0"/>
        <v>3746.4041095890411</v>
      </c>
    </row>
    <row r="32" spans="1:9" x14ac:dyDescent="0.2">
      <c r="A32" s="54" t="s">
        <v>4</v>
      </c>
      <c r="B32" s="213">
        <f>'Mountain View IV Project'!G39</f>
        <v>44.87671232876712</v>
      </c>
      <c r="C32" s="213">
        <f>'Mountain View IV Project'!G40</f>
        <v>42.539383561643838</v>
      </c>
      <c r="D32" s="213">
        <f>'Mountain View IV Project'!G41</f>
        <v>0</v>
      </c>
      <c r="E32" s="213">
        <f>'Mountain View IV Project'!G42</f>
        <v>0</v>
      </c>
      <c r="F32" s="213">
        <f t="shared" si="0"/>
        <v>87.416095890410958</v>
      </c>
      <c r="G32" s="478"/>
      <c r="H32" s="479"/>
      <c r="I32" s="479"/>
    </row>
    <row r="33" spans="1:10" x14ac:dyDescent="0.2">
      <c r="A33" s="14"/>
      <c r="B33" s="213"/>
      <c r="C33" s="213"/>
      <c r="D33" s="213"/>
      <c r="E33" s="213"/>
      <c r="F33" s="213"/>
      <c r="G33" s="480"/>
      <c r="H33" s="481"/>
      <c r="I33" s="481"/>
    </row>
    <row r="34" spans="1:10" x14ac:dyDescent="0.2">
      <c r="A34" s="104" t="s">
        <v>138</v>
      </c>
      <c r="B34" s="234" t="s">
        <v>52</v>
      </c>
      <c r="C34" s="234" t="s">
        <v>53</v>
      </c>
      <c r="D34" s="234" t="s">
        <v>54</v>
      </c>
      <c r="E34" s="234" t="s">
        <v>55</v>
      </c>
      <c r="F34" s="323" t="s">
        <v>0</v>
      </c>
      <c r="G34" s="324" t="s">
        <v>168</v>
      </c>
      <c r="H34" s="325" t="s">
        <v>169</v>
      </c>
      <c r="I34" s="234" t="s">
        <v>56</v>
      </c>
    </row>
    <row r="35" spans="1:10" x14ac:dyDescent="0.2">
      <c r="A35" s="53" t="s">
        <v>2</v>
      </c>
      <c r="B35" s="213">
        <f>'Alta Vista'!I47</f>
        <v>0</v>
      </c>
      <c r="C35" s="213">
        <v>0</v>
      </c>
      <c r="D35" s="213">
        <f>SUM('Alta Vista'!I48:I50)</f>
        <v>1379250</v>
      </c>
      <c r="E35" s="213">
        <f>'Alta Vista'!I51</f>
        <v>459750</v>
      </c>
      <c r="F35" s="216">
        <f>SUM(B35:E35)</f>
        <v>1839000</v>
      </c>
      <c r="G35" s="214">
        <f>'Alta Vista'!$F$34</f>
        <v>9195000</v>
      </c>
      <c r="H35" s="215">
        <f>SUM('Alta Vista'!I45:I51)</f>
        <v>1839000</v>
      </c>
      <c r="I35" s="215">
        <f>G35-H35</f>
        <v>7356000</v>
      </c>
    </row>
    <row r="36" spans="1:10" s="38" customFormat="1" x14ac:dyDescent="0.2">
      <c r="A36" s="53" t="s">
        <v>3</v>
      </c>
      <c r="B36" s="213">
        <v>0</v>
      </c>
      <c r="C36" s="213">
        <v>0</v>
      </c>
      <c r="D36" s="213">
        <f>SUM('Alta Vista'!H45:H50)</f>
        <v>439227.60979198199</v>
      </c>
      <c r="E36" s="213">
        <f>'Alta Vista'!H51</f>
        <v>64024.910958904104</v>
      </c>
      <c r="F36" s="213">
        <f t="shared" si="0"/>
        <v>503252.52075088606</v>
      </c>
    </row>
    <row r="37" spans="1:10" s="38" customFormat="1" x14ac:dyDescent="0.2">
      <c r="A37" s="53" t="s">
        <v>4</v>
      </c>
      <c r="B37" s="213">
        <v>0</v>
      </c>
      <c r="C37" s="213">
        <v>0</v>
      </c>
      <c r="D37" s="213">
        <v>0</v>
      </c>
      <c r="E37" s="213">
        <v>0</v>
      </c>
      <c r="F37" s="213">
        <f t="shared" si="0"/>
        <v>0</v>
      </c>
    </row>
    <row r="38" spans="1:10" s="38" customFormat="1" x14ac:dyDescent="0.2">
      <c r="A38" s="14"/>
      <c r="B38" s="213"/>
      <c r="C38" s="213"/>
      <c r="D38" s="213"/>
      <c r="E38" s="213"/>
      <c r="F38" s="213"/>
      <c r="G38" s="216"/>
      <c r="H38" s="216"/>
      <c r="I38" s="216"/>
    </row>
    <row r="39" spans="1:10" s="38" customFormat="1" x14ac:dyDescent="0.2">
      <c r="A39" s="9" t="s">
        <v>172</v>
      </c>
      <c r="B39" s="234" t="s">
        <v>52</v>
      </c>
      <c r="C39" s="234" t="s">
        <v>53</v>
      </c>
      <c r="D39" s="234" t="s">
        <v>54</v>
      </c>
      <c r="E39" s="234" t="s">
        <v>55</v>
      </c>
      <c r="F39" s="234" t="s">
        <v>0</v>
      </c>
      <c r="G39" s="324" t="s">
        <v>168</v>
      </c>
      <c r="H39" s="325" t="s">
        <v>169</v>
      </c>
      <c r="I39" s="234" t="s">
        <v>56</v>
      </c>
    </row>
    <row r="40" spans="1:10" x14ac:dyDescent="0.2">
      <c r="A40" s="54" t="s">
        <v>2</v>
      </c>
      <c r="B40" s="336">
        <f t="shared" ref="B40:E41" si="1">SUM(B5+B10+B15+B20+B25+B30+B35)</f>
        <v>1446352.6753333332</v>
      </c>
      <c r="C40" s="336">
        <f t="shared" si="1"/>
        <v>1446352.6753333332</v>
      </c>
      <c r="D40" s="238">
        <f t="shared" si="1"/>
        <v>5027940.2753333328</v>
      </c>
      <c r="E40" s="336">
        <f t="shared" si="1"/>
        <v>3466133.7753333333</v>
      </c>
      <c r="F40" s="336">
        <f>SUM(B40:E40)</f>
        <v>11386779.401333332</v>
      </c>
      <c r="G40" s="238">
        <f>SUM(G4:G39)</f>
        <v>71844069</v>
      </c>
      <c r="H40" s="238">
        <f>SUM(H4:H39)</f>
        <v>30748205.32333333</v>
      </c>
      <c r="I40" s="238">
        <f>SUM(I4:I39)</f>
        <v>40885863.67666667</v>
      </c>
    </row>
    <row r="41" spans="1:10" x14ac:dyDescent="0.2">
      <c r="A41" s="54" t="s">
        <v>3</v>
      </c>
      <c r="B41" s="336">
        <f t="shared" si="1"/>
        <v>99166.107337397232</v>
      </c>
      <c r="C41" s="336">
        <f t="shared" si="1"/>
        <v>88548.53369421004</v>
      </c>
      <c r="D41" s="336">
        <f t="shared" si="1"/>
        <v>1350517.2496358855</v>
      </c>
      <c r="E41" s="336">
        <f t="shared" si="1"/>
        <v>359487.05273213703</v>
      </c>
      <c r="F41" s="238">
        <f>SUM(B41:E41)</f>
        <v>1897718.9433996298</v>
      </c>
      <c r="G41" s="236"/>
      <c r="H41" s="236"/>
      <c r="I41" s="236"/>
    </row>
    <row r="42" spans="1:10" x14ac:dyDescent="0.2">
      <c r="A42" s="54" t="s">
        <v>4</v>
      </c>
      <c r="B42" s="238">
        <f>SUM(B7+B12+B17+B22+B27+B32+B37)</f>
        <v>66.197802323715365</v>
      </c>
      <c r="C42" s="336">
        <f>SUM(C7+C12+C17+C22+C32+C37)</f>
        <v>62.863998235985079</v>
      </c>
      <c r="D42" s="336">
        <f>SUM(D7+D12+D17+D22+D27+D32+D37)</f>
        <v>19.303835077621869</v>
      </c>
      <c r="E42" s="336">
        <f>SUM(E7+E12+E17+E22+E27+E32+E37)</f>
        <v>18.185838376453034</v>
      </c>
      <c r="F42" s="336">
        <f>SUM(B42:E42)</f>
        <v>166.55147401377533</v>
      </c>
      <c r="J42" s="271"/>
    </row>
    <row r="43" spans="1:10" x14ac:dyDescent="0.2">
      <c r="A43" s="37"/>
    </row>
    <row r="44" spans="1:10" x14ac:dyDescent="0.2">
      <c r="A44" s="36" t="s">
        <v>48</v>
      </c>
      <c r="G44" s="239"/>
    </row>
    <row r="45" spans="1:10" x14ac:dyDescent="0.2">
      <c r="A45" s="334" t="s">
        <v>166</v>
      </c>
      <c r="B45" s="321"/>
      <c r="C45" s="321"/>
      <c r="D45" s="321"/>
      <c r="E45" s="321"/>
      <c r="F45" s="321"/>
      <c r="G45" s="237"/>
    </row>
    <row r="46" spans="1:10" x14ac:dyDescent="0.2">
      <c r="A46" s="334" t="s">
        <v>167</v>
      </c>
      <c r="B46" s="322"/>
      <c r="C46" s="322"/>
      <c r="D46" s="322"/>
      <c r="E46" s="322"/>
      <c r="F46" s="322"/>
      <c r="G46" s="239"/>
    </row>
    <row r="47" spans="1:10" x14ac:dyDescent="0.2">
      <c r="A47" s="334" t="s">
        <v>160</v>
      </c>
      <c r="B47" s="322"/>
      <c r="C47" s="322"/>
      <c r="D47" s="322"/>
      <c r="E47" s="322"/>
      <c r="F47" s="322"/>
      <c r="G47" s="321"/>
      <c r="H47" s="321"/>
      <c r="I47" s="321"/>
    </row>
    <row r="48" spans="1:10" ht="12.75" customHeight="1" x14ac:dyDescent="0.2">
      <c r="A48" s="333" t="s">
        <v>162</v>
      </c>
      <c r="B48" s="319"/>
      <c r="C48" s="319"/>
      <c r="D48" s="319"/>
      <c r="E48" s="319"/>
      <c r="F48" s="319"/>
      <c r="G48" s="322"/>
      <c r="H48" s="322"/>
      <c r="I48" s="322"/>
    </row>
    <row r="49" spans="1:9" x14ac:dyDescent="0.2">
      <c r="A49" s="333" t="s">
        <v>161</v>
      </c>
      <c r="B49" s="319"/>
      <c r="C49" s="319"/>
      <c r="D49" s="319"/>
      <c r="E49" s="319"/>
      <c r="F49" s="319"/>
      <c r="G49" s="321"/>
      <c r="H49" s="321"/>
      <c r="I49" s="321"/>
    </row>
    <row r="50" spans="1:9" ht="12.75" customHeight="1" x14ac:dyDescent="0.2">
      <c r="A50" s="333" t="s">
        <v>163</v>
      </c>
      <c r="B50" s="319"/>
      <c r="C50" s="319"/>
      <c r="D50" s="319"/>
      <c r="E50" s="319"/>
      <c r="F50" s="319"/>
      <c r="G50" s="322"/>
      <c r="H50" s="322"/>
      <c r="I50" s="322"/>
    </row>
    <row r="51" spans="1:9" ht="12.75" customHeight="1" x14ac:dyDescent="0.2">
      <c r="A51" s="333" t="s">
        <v>164</v>
      </c>
      <c r="B51" s="320"/>
      <c r="C51" s="320"/>
      <c r="D51" s="320"/>
      <c r="E51" s="320"/>
      <c r="F51" s="320"/>
      <c r="G51" s="319"/>
      <c r="H51" s="319"/>
      <c r="I51" s="319"/>
    </row>
    <row r="52" spans="1:9" ht="12.75" customHeight="1" x14ac:dyDescent="0.2">
      <c r="A52" s="335" t="s">
        <v>171</v>
      </c>
      <c r="G52" s="319"/>
      <c r="H52" s="319"/>
      <c r="I52" s="319"/>
    </row>
    <row r="53" spans="1:9" ht="12.75" customHeight="1" x14ac:dyDescent="0.2">
      <c r="A53" s="326"/>
      <c r="G53" s="319"/>
      <c r="H53" s="319"/>
      <c r="I53" s="319"/>
    </row>
    <row r="54" spans="1:9" x14ac:dyDescent="0.2">
      <c r="G54" s="320"/>
      <c r="H54" s="320"/>
      <c r="I54" s="320"/>
    </row>
    <row r="55" spans="1:9" ht="25.5" customHeight="1" x14ac:dyDescent="0.2"/>
    <row r="56" spans="1:9" s="10" customFormat="1" ht="27" customHeight="1" x14ac:dyDescent="0.2">
      <c r="A56"/>
      <c r="B56" s="216"/>
      <c r="C56" s="216"/>
      <c r="D56" s="216"/>
      <c r="E56" s="216"/>
      <c r="F56" s="216"/>
      <c r="G56" s="216"/>
      <c r="H56" s="216"/>
      <c r="I56" s="216"/>
    </row>
    <row r="58" spans="1:9" ht="25.5" customHeight="1" x14ac:dyDescent="0.2"/>
  </sheetData>
  <mergeCells count="2">
    <mergeCell ref="A1:F1"/>
    <mergeCell ref="G32:I33"/>
  </mergeCells>
  <phoneticPr fontId="2" type="noConversion"/>
  <printOptions horizontalCentered="1"/>
  <pageMargins left="0.5" right="0.5" top="1" bottom="0.89" header="0.5" footer="0.5"/>
  <pageSetup scale="59" orientation="portrait" r:id="rId1"/>
  <headerFooter alignWithMargins="0">
    <oddHeader>&amp;RTO9 Annual Update
Attachment 4
WP Schedule 22
Page &amp;P of &amp;N</oddHeader>
    <oddFooter>&amp;C&amp;A</oddFooter>
  </headerFooter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</sheetPr>
  <dimension ref="A2:L157"/>
  <sheetViews>
    <sheetView zoomScale="85" zoomScaleNormal="85" zoomScaleSheetLayoutView="90" workbookViewId="0"/>
  </sheetViews>
  <sheetFormatPr defaultColWidth="9.140625" defaultRowHeight="12.75" x14ac:dyDescent="0.2"/>
  <cols>
    <col min="1" max="1" width="16.140625" style="288" bestFit="1" customWidth="1"/>
    <col min="2" max="2" width="14.5703125" style="288" customWidth="1"/>
    <col min="3" max="3" width="16.140625" style="21" customWidth="1"/>
    <col min="4" max="4" width="13.42578125" style="21" customWidth="1"/>
    <col min="5" max="5" width="15.7109375" style="21" customWidth="1"/>
    <col min="6" max="6" width="16.140625" style="21" customWidth="1"/>
    <col min="7" max="7" width="16.28515625" style="21" customWidth="1"/>
    <col min="8" max="8" width="13.42578125" style="21" customWidth="1"/>
    <col min="9" max="9" width="15" style="21" bestFit="1" customWidth="1"/>
    <col min="10" max="10" width="19.85546875" style="21" bestFit="1" customWidth="1"/>
    <col min="11" max="11" width="9.140625" style="21"/>
    <col min="12" max="12" width="13.140625" style="21" bestFit="1" customWidth="1"/>
    <col min="13" max="16384" width="9.140625" style="21"/>
  </cols>
  <sheetData>
    <row r="2" spans="1:6" ht="25.5" x14ac:dyDescent="0.2">
      <c r="A2" s="4" t="s">
        <v>176</v>
      </c>
      <c r="B2" s="4" t="s">
        <v>177</v>
      </c>
      <c r="C2" s="338" t="s">
        <v>5</v>
      </c>
      <c r="D2" s="338" t="s">
        <v>1</v>
      </c>
      <c r="E2" s="338" t="s">
        <v>24</v>
      </c>
      <c r="F2" s="338" t="s">
        <v>178</v>
      </c>
    </row>
    <row r="3" spans="1:6" x14ac:dyDescent="0.2">
      <c r="A3" s="288">
        <v>1</v>
      </c>
      <c r="B3" s="339">
        <v>36945</v>
      </c>
      <c r="C3" s="40">
        <v>50579.65</v>
      </c>
      <c r="D3" s="40">
        <v>0</v>
      </c>
      <c r="E3" s="40">
        <v>0</v>
      </c>
      <c r="F3" s="40">
        <f>SUM(C3:E3)</f>
        <v>50579.65</v>
      </c>
    </row>
    <row r="4" spans="1:6" x14ac:dyDescent="0.2">
      <c r="A4" s="288">
        <v>2</v>
      </c>
      <c r="B4" s="339">
        <v>36945</v>
      </c>
      <c r="C4" s="40">
        <v>63224.56</v>
      </c>
      <c r="D4" s="40">
        <v>0</v>
      </c>
      <c r="E4" s="40">
        <v>0</v>
      </c>
      <c r="F4" s="40">
        <f t="shared" ref="F4:F28" si="0">SUM(C4:E4)</f>
        <v>63224.56</v>
      </c>
    </row>
    <row r="5" spans="1:6" x14ac:dyDescent="0.2">
      <c r="A5" s="288">
        <v>3</v>
      </c>
      <c r="B5" s="339">
        <v>37001</v>
      </c>
      <c r="C5" s="40">
        <v>450158.9</v>
      </c>
      <c r="D5" s="40">
        <v>0</v>
      </c>
      <c r="E5" s="40">
        <v>0</v>
      </c>
      <c r="F5" s="40">
        <f t="shared" si="0"/>
        <v>450158.9</v>
      </c>
    </row>
    <row r="6" spans="1:6" x14ac:dyDescent="0.2">
      <c r="A6" s="288">
        <v>4</v>
      </c>
      <c r="B6" s="339">
        <v>37026</v>
      </c>
      <c r="C6" s="40">
        <v>730385.42</v>
      </c>
      <c r="D6" s="40">
        <v>0</v>
      </c>
      <c r="E6" s="40">
        <v>482879.15</v>
      </c>
      <c r="F6" s="40">
        <f t="shared" si="0"/>
        <v>1213264.57</v>
      </c>
    </row>
    <row r="7" spans="1:6" x14ac:dyDescent="0.2">
      <c r="A7" s="288">
        <v>5</v>
      </c>
      <c r="B7" s="339">
        <v>37082</v>
      </c>
      <c r="C7" s="40">
        <v>332687.65999999997</v>
      </c>
      <c r="D7" s="40">
        <v>0</v>
      </c>
      <c r="E7" s="40">
        <v>0</v>
      </c>
      <c r="F7" s="40">
        <f t="shared" si="0"/>
        <v>332687.65999999997</v>
      </c>
    </row>
    <row r="8" spans="1:6" x14ac:dyDescent="0.2">
      <c r="A8" s="288">
        <v>6</v>
      </c>
      <c r="B8" s="339">
        <v>37090</v>
      </c>
      <c r="C8" s="40">
        <v>723289.01</v>
      </c>
      <c r="D8" s="40">
        <v>0</v>
      </c>
      <c r="E8" s="40">
        <v>0</v>
      </c>
      <c r="F8" s="40">
        <f t="shared" si="0"/>
        <v>723289.01</v>
      </c>
    </row>
    <row r="9" spans="1:6" x14ac:dyDescent="0.2">
      <c r="A9" s="288">
        <v>7</v>
      </c>
      <c r="B9" s="339">
        <v>37119</v>
      </c>
      <c r="C9" s="40">
        <v>689147.75</v>
      </c>
      <c r="D9" s="40">
        <v>0</v>
      </c>
      <c r="E9" s="40">
        <v>0</v>
      </c>
      <c r="F9" s="40">
        <f t="shared" si="0"/>
        <v>689147.75</v>
      </c>
    </row>
    <row r="10" spans="1:6" x14ac:dyDescent="0.2">
      <c r="A10" s="288">
        <v>8</v>
      </c>
      <c r="B10" s="339">
        <v>37148</v>
      </c>
      <c r="C10" s="40">
        <v>708747.37</v>
      </c>
      <c r="D10" s="40">
        <v>0</v>
      </c>
      <c r="E10" s="40">
        <v>0</v>
      </c>
      <c r="F10" s="40">
        <f t="shared" si="0"/>
        <v>708747.37</v>
      </c>
    </row>
    <row r="11" spans="1:6" x14ac:dyDescent="0.2">
      <c r="A11" s="288">
        <v>9</v>
      </c>
      <c r="B11" s="339">
        <v>37179</v>
      </c>
      <c r="C11" s="40">
        <v>1841099.31</v>
      </c>
      <c r="D11" s="40">
        <v>0</v>
      </c>
      <c r="E11" s="40">
        <v>0</v>
      </c>
      <c r="F11" s="40">
        <f t="shared" si="0"/>
        <v>1841099.31</v>
      </c>
    </row>
    <row r="12" spans="1:6" x14ac:dyDescent="0.2">
      <c r="A12" s="288">
        <v>10</v>
      </c>
      <c r="B12" s="339">
        <v>37215</v>
      </c>
      <c r="C12" s="40">
        <v>720127.79</v>
      </c>
      <c r="D12" s="40">
        <v>0</v>
      </c>
      <c r="E12" s="40">
        <v>0</v>
      </c>
      <c r="F12" s="40">
        <f t="shared" si="0"/>
        <v>720127.79</v>
      </c>
    </row>
    <row r="13" spans="1:6" x14ac:dyDescent="0.2">
      <c r="A13" s="288">
        <v>11</v>
      </c>
      <c r="B13" s="339">
        <v>37243</v>
      </c>
      <c r="C13" s="40">
        <v>856060.6</v>
      </c>
      <c r="D13" s="40">
        <v>0</v>
      </c>
      <c r="E13" s="40">
        <v>0</v>
      </c>
      <c r="F13" s="40">
        <f t="shared" si="0"/>
        <v>856060.6</v>
      </c>
    </row>
    <row r="14" spans="1:6" x14ac:dyDescent="0.2">
      <c r="A14" s="288">
        <v>12</v>
      </c>
      <c r="B14" s="339">
        <v>37273</v>
      </c>
      <c r="C14" s="40">
        <v>936988.04</v>
      </c>
      <c r="D14" s="40">
        <v>0</v>
      </c>
      <c r="E14" s="40">
        <v>0</v>
      </c>
      <c r="F14" s="40">
        <f t="shared" si="0"/>
        <v>936988.04</v>
      </c>
    </row>
    <row r="15" spans="1:6" x14ac:dyDescent="0.2">
      <c r="A15" s="288">
        <v>13</v>
      </c>
      <c r="B15" s="339">
        <v>37512</v>
      </c>
      <c r="C15" s="40">
        <v>1200768.8899999999</v>
      </c>
      <c r="D15" s="40">
        <v>0</v>
      </c>
      <c r="E15" s="40">
        <v>0</v>
      </c>
      <c r="F15" s="40">
        <f t="shared" si="0"/>
        <v>1200768.8899999999</v>
      </c>
    </row>
    <row r="16" spans="1:6" x14ac:dyDescent="0.2">
      <c r="A16" s="288">
        <v>14</v>
      </c>
      <c r="B16" s="339">
        <v>37596</v>
      </c>
      <c r="C16" s="40">
        <v>242822.15</v>
      </c>
      <c r="D16" s="40">
        <v>0</v>
      </c>
      <c r="E16" s="40">
        <v>0</v>
      </c>
      <c r="F16" s="40">
        <f t="shared" si="0"/>
        <v>242822.15</v>
      </c>
    </row>
    <row r="17" spans="1:6" x14ac:dyDescent="0.2">
      <c r="A17" s="288">
        <v>15</v>
      </c>
      <c r="B17" s="339">
        <v>37610</v>
      </c>
      <c r="C17" s="40">
        <v>186786.27</v>
      </c>
      <c r="D17" s="40">
        <v>0</v>
      </c>
      <c r="E17" s="40">
        <v>0</v>
      </c>
      <c r="F17" s="40">
        <f t="shared" si="0"/>
        <v>186786.27</v>
      </c>
    </row>
    <row r="18" spans="1:6" x14ac:dyDescent="0.2">
      <c r="A18" s="288">
        <v>16</v>
      </c>
      <c r="B18" s="339">
        <v>37638</v>
      </c>
      <c r="C18" s="40">
        <v>189454.65</v>
      </c>
      <c r="D18" s="40">
        <v>0</v>
      </c>
      <c r="E18" s="40">
        <v>0</v>
      </c>
      <c r="F18" s="40">
        <f t="shared" si="0"/>
        <v>189454.65</v>
      </c>
    </row>
    <row r="19" spans="1:6" x14ac:dyDescent="0.2">
      <c r="A19" s="288">
        <v>17</v>
      </c>
      <c r="B19" s="339">
        <v>37666</v>
      </c>
      <c r="C19" s="40">
        <v>1241461.6100000001</v>
      </c>
      <c r="D19" s="40">
        <v>0</v>
      </c>
      <c r="E19" s="40">
        <v>0</v>
      </c>
      <c r="F19" s="40">
        <f t="shared" si="0"/>
        <v>1241461.6100000001</v>
      </c>
    </row>
    <row r="20" spans="1:6" x14ac:dyDescent="0.2">
      <c r="A20" s="288">
        <v>18</v>
      </c>
      <c r="B20" s="339">
        <v>37698</v>
      </c>
      <c r="C20" s="40">
        <v>304861.88</v>
      </c>
      <c r="D20" s="40">
        <v>0</v>
      </c>
      <c r="E20" s="40">
        <v>0</v>
      </c>
      <c r="F20" s="40">
        <f t="shared" si="0"/>
        <v>304861.88</v>
      </c>
    </row>
    <row r="21" spans="1:6" x14ac:dyDescent="0.2">
      <c r="A21" s="288">
        <v>19</v>
      </c>
      <c r="B21" s="339">
        <v>37699</v>
      </c>
      <c r="C21" s="40">
        <v>333546.90999999997</v>
      </c>
      <c r="D21" s="40">
        <v>0</v>
      </c>
      <c r="E21" s="40">
        <v>0</v>
      </c>
      <c r="F21" s="40">
        <f t="shared" si="0"/>
        <v>333546.90999999997</v>
      </c>
    </row>
    <row r="22" spans="1:6" x14ac:dyDescent="0.2">
      <c r="A22" s="288">
        <v>20</v>
      </c>
      <c r="B22" s="339">
        <v>37736</v>
      </c>
      <c r="C22" s="40">
        <v>227440.38</v>
      </c>
      <c r="D22" s="40">
        <v>0</v>
      </c>
      <c r="E22" s="40">
        <v>0</v>
      </c>
      <c r="F22" s="40">
        <f t="shared" si="0"/>
        <v>227440.38</v>
      </c>
    </row>
    <row r="23" spans="1:6" x14ac:dyDescent="0.2">
      <c r="A23" s="288">
        <v>21</v>
      </c>
      <c r="B23" s="339"/>
      <c r="C23" s="40"/>
      <c r="D23" s="40"/>
      <c r="E23" s="40"/>
      <c r="F23" s="40">
        <f t="shared" si="0"/>
        <v>0</v>
      </c>
    </row>
    <row r="24" spans="1:6" x14ac:dyDescent="0.2">
      <c r="A24" s="288">
        <v>22</v>
      </c>
      <c r="B24" s="339"/>
      <c r="C24" s="40"/>
      <c r="D24" s="40"/>
      <c r="E24" s="40"/>
      <c r="F24" s="40">
        <f t="shared" si="0"/>
        <v>0</v>
      </c>
    </row>
    <row r="25" spans="1:6" x14ac:dyDescent="0.2">
      <c r="A25" s="288">
        <v>23</v>
      </c>
      <c r="B25" s="339"/>
      <c r="C25" s="40"/>
      <c r="D25" s="40"/>
      <c r="E25" s="40"/>
      <c r="F25" s="40">
        <f t="shared" si="0"/>
        <v>0</v>
      </c>
    </row>
    <row r="26" spans="1:6" x14ac:dyDescent="0.2">
      <c r="A26" s="288">
        <v>24</v>
      </c>
      <c r="B26" s="339"/>
      <c r="C26" s="40"/>
      <c r="D26" s="40"/>
      <c r="E26" s="40"/>
      <c r="F26" s="40">
        <f t="shared" si="0"/>
        <v>0</v>
      </c>
    </row>
    <row r="27" spans="1:6" x14ac:dyDescent="0.2">
      <c r="A27" s="288">
        <v>25</v>
      </c>
      <c r="B27" s="339"/>
      <c r="C27" s="40"/>
      <c r="D27" s="40"/>
      <c r="E27" s="40"/>
      <c r="F27" s="40">
        <f t="shared" si="0"/>
        <v>0</v>
      </c>
    </row>
    <row r="28" spans="1:6" x14ac:dyDescent="0.2">
      <c r="A28" s="288">
        <v>26</v>
      </c>
      <c r="B28" s="339"/>
      <c r="C28" s="40"/>
      <c r="D28" s="40"/>
      <c r="E28" s="40"/>
      <c r="F28" s="40">
        <f t="shared" si="0"/>
        <v>0</v>
      </c>
    </row>
    <row r="29" spans="1:6" x14ac:dyDescent="0.2">
      <c r="B29" s="340" t="s">
        <v>0</v>
      </c>
      <c r="C29" s="341">
        <f>SUM(C3:C28)</f>
        <v>12029638.800000003</v>
      </c>
      <c r="D29" s="341">
        <f>SUM(D3:D28)</f>
        <v>0</v>
      </c>
      <c r="E29" s="341">
        <f>SUM(E3:E28)</f>
        <v>482879.15</v>
      </c>
      <c r="F29" s="341">
        <f>SUM(F3:F28)</f>
        <v>12512517.950000003</v>
      </c>
    </row>
    <row r="31" spans="1:6" x14ac:dyDescent="0.2">
      <c r="A31" s="508" t="s">
        <v>179</v>
      </c>
      <c r="B31" s="508"/>
      <c r="C31" s="15">
        <v>38696</v>
      </c>
    </row>
    <row r="32" spans="1:6" x14ac:dyDescent="0.2">
      <c r="A32" s="337"/>
      <c r="B32" s="337"/>
      <c r="C32" s="15"/>
    </row>
    <row r="33" spans="1:12" x14ac:dyDescent="0.2">
      <c r="A33" s="531" t="s">
        <v>180</v>
      </c>
      <c r="B33" s="532"/>
      <c r="C33" s="532"/>
      <c r="D33" s="532"/>
      <c r="E33" s="532"/>
      <c r="F33" s="532"/>
      <c r="G33" s="532"/>
      <c r="H33" s="532"/>
      <c r="I33" s="532"/>
      <c r="J33" s="533"/>
    </row>
    <row r="34" spans="1:12" x14ac:dyDescent="0.2">
      <c r="A34" s="2" t="s">
        <v>7</v>
      </c>
      <c r="B34" s="2" t="s">
        <v>8</v>
      </c>
      <c r="C34" s="2" t="s">
        <v>9</v>
      </c>
      <c r="D34" s="2" t="s">
        <v>10</v>
      </c>
      <c r="E34" s="2" t="s">
        <v>11</v>
      </c>
      <c r="F34" s="2" t="s">
        <v>12</v>
      </c>
      <c r="G34" s="2" t="s">
        <v>13</v>
      </c>
      <c r="H34" s="2"/>
      <c r="I34" s="2"/>
      <c r="J34" s="2" t="s">
        <v>14</v>
      </c>
    </row>
    <row r="35" spans="1:12" ht="51" x14ac:dyDescent="0.2">
      <c r="A35" s="6" t="s">
        <v>15</v>
      </c>
      <c r="B35" s="6" t="s">
        <v>16</v>
      </c>
      <c r="C35" s="6" t="s">
        <v>17</v>
      </c>
      <c r="D35" s="6" t="s">
        <v>18</v>
      </c>
      <c r="E35" s="6" t="s">
        <v>19</v>
      </c>
      <c r="F35" s="6" t="s">
        <v>20</v>
      </c>
      <c r="G35" s="6" t="s">
        <v>49</v>
      </c>
      <c r="H35" s="6" t="s">
        <v>22</v>
      </c>
      <c r="I35" s="6" t="s">
        <v>50</v>
      </c>
      <c r="J35" s="6" t="s">
        <v>21</v>
      </c>
    </row>
    <row r="36" spans="1:12" x14ac:dyDescent="0.2">
      <c r="A36" s="342" t="s">
        <v>181</v>
      </c>
      <c r="B36" s="69">
        <f>C31</f>
        <v>38696</v>
      </c>
      <c r="C36" s="69">
        <v>38717</v>
      </c>
      <c r="D36" s="343">
        <f>+C36-B36+1</f>
        <v>22</v>
      </c>
      <c r="E36" s="344">
        <v>6.23</v>
      </c>
      <c r="F36" s="345">
        <f>C29</f>
        <v>12029638.800000003</v>
      </c>
      <c r="G36" s="346">
        <f>+D36/365*E36/100*F36</f>
        <v>45172.117641863028</v>
      </c>
      <c r="H36" s="346"/>
      <c r="I36" s="347"/>
      <c r="J36" s="348">
        <f t="shared" ref="J36:J41" si="1">+F36+G36</f>
        <v>12074810.917641865</v>
      </c>
      <c r="L36" s="349"/>
    </row>
    <row r="37" spans="1:12" x14ac:dyDescent="0.2">
      <c r="A37" s="350" t="s">
        <v>182</v>
      </c>
      <c r="B37" s="71">
        <f>C36+1</f>
        <v>38718</v>
      </c>
      <c r="C37" s="71">
        <v>38807</v>
      </c>
      <c r="D37" s="49">
        <f t="shared" ref="D37:D58" si="2">+C37-B37+1</f>
        <v>90</v>
      </c>
      <c r="E37" s="351">
        <v>6.78</v>
      </c>
      <c r="F37" s="50">
        <f t="shared" ref="F37:F42" si="3">J36</f>
        <v>12074810.917641865</v>
      </c>
      <c r="G37" s="352">
        <f t="shared" ref="G37:G58" si="4">+D37/365*E37/100*F37</f>
        <v>201864.37320397436</v>
      </c>
      <c r="H37" s="352"/>
      <c r="I37" s="353"/>
      <c r="J37" s="354">
        <f t="shared" si="1"/>
        <v>12276675.290845839</v>
      </c>
    </row>
    <row r="38" spans="1:12" x14ac:dyDescent="0.2">
      <c r="A38" s="350" t="s">
        <v>183</v>
      </c>
      <c r="B38" s="71">
        <f t="shared" ref="B38:B58" si="5">C37+1</f>
        <v>38808</v>
      </c>
      <c r="C38" s="71">
        <v>38898</v>
      </c>
      <c r="D38" s="49">
        <f t="shared" si="2"/>
        <v>91</v>
      </c>
      <c r="E38" s="351">
        <v>7.3</v>
      </c>
      <c r="F38" s="50">
        <f t="shared" si="3"/>
        <v>12276675.290845839</v>
      </c>
      <c r="G38" s="352">
        <f t="shared" si="4"/>
        <v>223435.49029339428</v>
      </c>
      <c r="H38" s="352"/>
      <c r="I38" s="353"/>
      <c r="J38" s="354">
        <f t="shared" si="1"/>
        <v>12500110.781139234</v>
      </c>
    </row>
    <row r="39" spans="1:12" x14ac:dyDescent="0.2">
      <c r="A39" s="350" t="s">
        <v>184</v>
      </c>
      <c r="B39" s="71">
        <f t="shared" si="5"/>
        <v>38899</v>
      </c>
      <c r="C39" s="71">
        <v>38990</v>
      </c>
      <c r="D39" s="49">
        <f t="shared" si="2"/>
        <v>92</v>
      </c>
      <c r="E39" s="49">
        <v>7.74</v>
      </c>
      <c r="F39" s="50">
        <f t="shared" si="3"/>
        <v>12500110.781139234</v>
      </c>
      <c r="G39" s="352">
        <f>+D39/365*E39/100*F39</f>
        <v>243865.17493242814</v>
      </c>
      <c r="H39" s="46"/>
      <c r="I39" s="355"/>
      <c r="J39" s="354">
        <f t="shared" si="1"/>
        <v>12743975.956071662</v>
      </c>
    </row>
    <row r="40" spans="1:12" x14ac:dyDescent="0.2">
      <c r="A40" s="350" t="s">
        <v>185</v>
      </c>
      <c r="B40" s="71">
        <f>C39+1</f>
        <v>38991</v>
      </c>
      <c r="C40" s="71">
        <v>39082</v>
      </c>
      <c r="D40" s="49">
        <f>+C40-B40+1</f>
        <v>92</v>
      </c>
      <c r="E40" s="49">
        <v>8.17</v>
      </c>
      <c r="F40" s="50">
        <f t="shared" si="3"/>
        <v>12743975.956071662</v>
      </c>
      <c r="G40" s="352">
        <f>+D40/365*E40/100*F40</f>
        <v>262435.12568826589</v>
      </c>
      <c r="H40" s="352"/>
      <c r="I40" s="353"/>
      <c r="J40" s="354">
        <f t="shared" si="1"/>
        <v>13006411.081759928</v>
      </c>
    </row>
    <row r="41" spans="1:12" x14ac:dyDescent="0.2">
      <c r="A41" s="350" t="s">
        <v>186</v>
      </c>
      <c r="B41" s="71">
        <f>C40+1</f>
        <v>39083</v>
      </c>
      <c r="C41" s="71">
        <v>39172</v>
      </c>
      <c r="D41" s="49">
        <f>+C41-B41+1</f>
        <v>90</v>
      </c>
      <c r="E41" s="49">
        <v>8.25</v>
      </c>
      <c r="F41" s="50">
        <f t="shared" si="3"/>
        <v>13006411.081759928</v>
      </c>
      <c r="G41" s="352">
        <f>+D41/365*E41/100*F41</f>
        <v>264582.47200566425</v>
      </c>
      <c r="H41" s="352"/>
      <c r="I41" s="353"/>
      <c r="J41" s="354">
        <f t="shared" si="1"/>
        <v>13270993.553765591</v>
      </c>
    </row>
    <row r="42" spans="1:12" x14ac:dyDescent="0.2">
      <c r="A42" s="350" t="s">
        <v>187</v>
      </c>
      <c r="B42" s="71">
        <f>C41+1</f>
        <v>39173</v>
      </c>
      <c r="C42" s="71">
        <v>39263</v>
      </c>
      <c r="D42" s="49">
        <f>+C42-B42+1</f>
        <v>91</v>
      </c>
      <c r="E42" s="49">
        <v>8.25</v>
      </c>
      <c r="F42" s="50">
        <f t="shared" si="3"/>
        <v>13270993.553765591</v>
      </c>
      <c r="G42" s="352">
        <f>+D42/365*E42/100*F42</f>
        <v>272964.34001341148</v>
      </c>
      <c r="H42" s="352">
        <f>C29/20</f>
        <v>601481.94000000018</v>
      </c>
      <c r="I42" s="353">
        <f>G43/20</f>
        <v>75715.954688950063</v>
      </c>
      <c r="J42" s="354">
        <f>+F42+G42-H42-I42</f>
        <v>12866759.999090053</v>
      </c>
    </row>
    <row r="43" spans="1:12" x14ac:dyDescent="0.2">
      <c r="A43" s="350"/>
      <c r="B43" s="71"/>
      <c r="C43" s="71"/>
      <c r="D43" s="49"/>
      <c r="E43" s="529" t="s">
        <v>51</v>
      </c>
      <c r="F43" s="530"/>
      <c r="G43" s="356">
        <f>SUM(G36:G42)</f>
        <v>1514319.0937790014</v>
      </c>
      <c r="H43" s="352"/>
      <c r="I43" s="353"/>
      <c r="J43" s="357"/>
    </row>
    <row r="44" spans="1:12" x14ac:dyDescent="0.2">
      <c r="A44" s="350" t="s">
        <v>188</v>
      </c>
      <c r="B44" s="71">
        <v>39264</v>
      </c>
      <c r="C44" s="71">
        <v>39355</v>
      </c>
      <c r="D44" s="49">
        <f t="shared" si="2"/>
        <v>92</v>
      </c>
      <c r="E44" s="49">
        <v>8.25</v>
      </c>
      <c r="F44" s="50">
        <f>F$36+G$43-SUM(H$40:H43)-SUM(I$40:I43)</f>
        <v>12866759.999090055</v>
      </c>
      <c r="G44" s="352">
        <f>+D44/365*E44/100*F44</f>
        <v>267558.10518655757</v>
      </c>
      <c r="H44" s="352">
        <f>F$36/20</f>
        <v>601481.94000000018</v>
      </c>
      <c r="I44" s="358">
        <f>G$43/20</f>
        <v>75715.954688950063</v>
      </c>
      <c r="J44" s="47"/>
    </row>
    <row r="45" spans="1:12" x14ac:dyDescent="0.2">
      <c r="A45" s="359" t="s">
        <v>189</v>
      </c>
      <c r="B45" s="71">
        <f t="shared" si="5"/>
        <v>39356</v>
      </c>
      <c r="C45" s="71">
        <v>39447</v>
      </c>
      <c r="D45" s="49">
        <f t="shared" si="2"/>
        <v>92</v>
      </c>
      <c r="E45" s="49">
        <v>8.25</v>
      </c>
      <c r="F45" s="50">
        <f>F$36+G$43-SUM(H$40:H44)-SUM(I$40:I44)</f>
        <v>12189562.104401102</v>
      </c>
      <c r="G45" s="352">
        <f t="shared" si="4"/>
        <v>253476.09965042293</v>
      </c>
      <c r="H45" s="352">
        <f>F$36/20</f>
        <v>601481.94000000018</v>
      </c>
      <c r="I45" s="358">
        <f>G$43/20</f>
        <v>75715.954688950063</v>
      </c>
      <c r="J45" s="47"/>
    </row>
    <row r="46" spans="1:12" x14ac:dyDescent="0.2">
      <c r="A46" s="430" t="s">
        <v>190</v>
      </c>
      <c r="B46" s="431">
        <f t="shared" si="5"/>
        <v>39448</v>
      </c>
      <c r="C46" s="431">
        <v>39538</v>
      </c>
      <c r="D46" s="432">
        <f t="shared" si="2"/>
        <v>91</v>
      </c>
      <c r="E46" s="432">
        <v>7.76</v>
      </c>
      <c r="F46" s="433">
        <f>F$36+G$43-SUM(H$40:H45)-SUM(I$40:I45)</f>
        <v>11512364.209712153</v>
      </c>
      <c r="G46" s="434">
        <f t="shared" si="4"/>
        <v>222727.97562548859</v>
      </c>
      <c r="H46" s="434">
        <f t="shared" ref="H46:H58" si="6">F$36/20</f>
        <v>601481.94000000018</v>
      </c>
      <c r="I46" s="435">
        <f t="shared" ref="I46:I58" si="7">G$43/20</f>
        <v>75715.954688950063</v>
      </c>
      <c r="J46" s="169"/>
    </row>
    <row r="47" spans="1:12" x14ac:dyDescent="0.2">
      <c r="A47" s="430" t="s">
        <v>34</v>
      </c>
      <c r="B47" s="431">
        <f t="shared" si="5"/>
        <v>39539</v>
      </c>
      <c r="C47" s="431">
        <v>39629</v>
      </c>
      <c r="D47" s="432">
        <f t="shared" si="2"/>
        <v>91</v>
      </c>
      <c r="E47" s="432">
        <v>6.77</v>
      </c>
      <c r="F47" s="433">
        <f>F$36+G$43-SUM(H$40:H46)-SUM(I$40:I46)</f>
        <v>10835166.315023204</v>
      </c>
      <c r="G47" s="434">
        <f t="shared" si="4"/>
        <v>182882.76470400949</v>
      </c>
      <c r="H47" s="434">
        <f t="shared" si="6"/>
        <v>601481.94000000018</v>
      </c>
      <c r="I47" s="435">
        <f t="shared" si="7"/>
        <v>75715.954688950063</v>
      </c>
      <c r="J47" s="169"/>
    </row>
    <row r="48" spans="1:12" x14ac:dyDescent="0.2">
      <c r="A48" s="430" t="s">
        <v>35</v>
      </c>
      <c r="B48" s="431">
        <f t="shared" si="5"/>
        <v>39630</v>
      </c>
      <c r="C48" s="431">
        <v>39721</v>
      </c>
      <c r="D48" s="432">
        <f t="shared" si="2"/>
        <v>92</v>
      </c>
      <c r="E48" s="432">
        <v>5.3</v>
      </c>
      <c r="F48" s="433">
        <f>F$36+G$43-SUM(H$40:H47)-SUM(I$40:I47)</f>
        <v>10157968.420334253</v>
      </c>
      <c r="G48" s="434">
        <f t="shared" si="4"/>
        <v>135699.32607547898</v>
      </c>
      <c r="H48" s="434">
        <f t="shared" si="6"/>
        <v>601481.94000000018</v>
      </c>
      <c r="I48" s="435">
        <f t="shared" si="7"/>
        <v>75715.954688950063</v>
      </c>
      <c r="J48" s="169"/>
    </row>
    <row r="49" spans="1:10" x14ac:dyDescent="0.2">
      <c r="A49" s="430" t="s">
        <v>29</v>
      </c>
      <c r="B49" s="431">
        <f t="shared" si="5"/>
        <v>39722</v>
      </c>
      <c r="C49" s="431">
        <v>39813</v>
      </c>
      <c r="D49" s="432">
        <f t="shared" si="2"/>
        <v>92</v>
      </c>
      <c r="E49" s="432">
        <v>5</v>
      </c>
      <c r="F49" s="433">
        <f>F$36+G$43-SUM(H$40:H48)-SUM(I$40:I48)</f>
        <v>9480770.5256453007</v>
      </c>
      <c r="G49" s="434">
        <f t="shared" si="4"/>
        <v>119483.6833368997</v>
      </c>
      <c r="H49" s="434">
        <f t="shared" si="6"/>
        <v>601481.94000000018</v>
      </c>
      <c r="I49" s="435">
        <f t="shared" si="7"/>
        <v>75715.954688950063</v>
      </c>
      <c r="J49" s="169"/>
    </row>
    <row r="50" spans="1:10" x14ac:dyDescent="0.2">
      <c r="A50" s="359" t="s">
        <v>36</v>
      </c>
      <c r="B50" s="71">
        <f t="shared" si="5"/>
        <v>39814</v>
      </c>
      <c r="C50" s="71">
        <v>39903</v>
      </c>
      <c r="D50" s="49">
        <f t="shared" si="2"/>
        <v>90</v>
      </c>
      <c r="E50" s="49">
        <v>4.5199999999999996</v>
      </c>
      <c r="F50" s="50">
        <f>F$36+G$43-SUM(H$40:H49)-SUM(I$40:I49)</f>
        <v>8803572.6309563518</v>
      </c>
      <c r="G50" s="352">
        <f t="shared" si="4"/>
        <v>98117.62592528887</v>
      </c>
      <c r="H50" s="352">
        <f t="shared" si="6"/>
        <v>601481.94000000018</v>
      </c>
      <c r="I50" s="353">
        <f t="shared" si="7"/>
        <v>75715.954688950063</v>
      </c>
      <c r="J50" s="169"/>
    </row>
    <row r="51" spans="1:10" x14ac:dyDescent="0.2">
      <c r="A51" s="359" t="s">
        <v>37</v>
      </c>
      <c r="B51" s="71">
        <f t="shared" si="5"/>
        <v>39904</v>
      </c>
      <c r="C51" s="71">
        <v>39994</v>
      </c>
      <c r="D51" s="49">
        <f t="shared" si="2"/>
        <v>91</v>
      </c>
      <c r="E51" s="49">
        <v>3.37</v>
      </c>
      <c r="F51" s="50">
        <f>F$36+G$43-SUM(H$40:H50)-SUM(I$40:I50)</f>
        <v>8126374.7362674018</v>
      </c>
      <c r="G51" s="352">
        <f t="shared" si="4"/>
        <v>68277.132612907502</v>
      </c>
      <c r="H51" s="352">
        <f t="shared" si="6"/>
        <v>601481.94000000018</v>
      </c>
      <c r="I51" s="353">
        <f t="shared" si="7"/>
        <v>75715.954688950063</v>
      </c>
      <c r="J51" s="169"/>
    </row>
    <row r="52" spans="1:10" x14ac:dyDescent="0.2">
      <c r="A52" s="359" t="s">
        <v>39</v>
      </c>
      <c r="B52" s="71">
        <f t="shared" si="5"/>
        <v>39995</v>
      </c>
      <c r="C52" s="71">
        <v>40086</v>
      </c>
      <c r="D52" s="49">
        <f t="shared" si="2"/>
        <v>92</v>
      </c>
      <c r="E52" s="49">
        <v>3.25</v>
      </c>
      <c r="F52" s="50">
        <f>F$36+G$43-SUM(H$40:H51)-SUM(I$40:I51)</f>
        <v>7449176.8415784501</v>
      </c>
      <c r="G52" s="352">
        <f t="shared" si="4"/>
        <v>61022.023989916626</v>
      </c>
      <c r="H52" s="352">
        <f t="shared" si="6"/>
        <v>601481.94000000018</v>
      </c>
      <c r="I52" s="353">
        <f t="shared" si="7"/>
        <v>75715.954688950063</v>
      </c>
      <c r="J52" s="169"/>
    </row>
    <row r="53" spans="1:10" x14ac:dyDescent="0.2">
      <c r="A53" s="359" t="s">
        <v>30</v>
      </c>
      <c r="B53" s="71">
        <f t="shared" si="5"/>
        <v>40087</v>
      </c>
      <c r="C53" s="71">
        <v>40178</v>
      </c>
      <c r="D53" s="49">
        <f t="shared" si="2"/>
        <v>92</v>
      </c>
      <c r="E53" s="49">
        <v>3.25</v>
      </c>
      <c r="F53" s="50">
        <f>F$36+G$43-SUM(H$40:H52)-SUM(I$40:I52)</f>
        <v>6771978.9468895001</v>
      </c>
      <c r="G53" s="352">
        <f t="shared" si="4"/>
        <v>55474.567263560566</v>
      </c>
      <c r="H53" s="352">
        <f t="shared" si="6"/>
        <v>601481.94000000018</v>
      </c>
      <c r="I53" s="353">
        <f t="shared" si="7"/>
        <v>75715.954688950063</v>
      </c>
      <c r="J53" s="169"/>
    </row>
    <row r="54" spans="1:10" x14ac:dyDescent="0.2">
      <c r="A54" s="436" t="s">
        <v>40</v>
      </c>
      <c r="B54" s="437">
        <f t="shared" si="5"/>
        <v>40179</v>
      </c>
      <c r="C54" s="437">
        <v>40268</v>
      </c>
      <c r="D54" s="438">
        <f t="shared" si="2"/>
        <v>90</v>
      </c>
      <c r="E54" s="438">
        <v>3.25</v>
      </c>
      <c r="F54" s="439">
        <f>F$36+G$43-SUM(H$40:H53)-SUM(I$40:I53)</f>
        <v>6094781.0522005493</v>
      </c>
      <c r="G54" s="440">
        <f t="shared" si="4"/>
        <v>48841.738569004396</v>
      </c>
      <c r="H54" s="440">
        <f t="shared" si="6"/>
        <v>601481.94000000018</v>
      </c>
      <c r="I54" s="441">
        <f t="shared" si="7"/>
        <v>75715.954688950063</v>
      </c>
      <c r="J54" s="169"/>
    </row>
    <row r="55" spans="1:10" x14ac:dyDescent="0.2">
      <c r="A55" s="436" t="s">
        <v>41</v>
      </c>
      <c r="B55" s="437">
        <f t="shared" si="5"/>
        <v>40269</v>
      </c>
      <c r="C55" s="437">
        <v>40359</v>
      </c>
      <c r="D55" s="438">
        <f t="shared" si="2"/>
        <v>91</v>
      </c>
      <c r="E55" s="438">
        <v>3.25</v>
      </c>
      <c r="F55" s="439">
        <f>F$36+G$43-SUM(H$40:H54)-SUM(I$40:I54)</f>
        <v>5417583.1575115994</v>
      </c>
      <c r="G55" s="440">
        <f t="shared" si="4"/>
        <v>43897.266269426182</v>
      </c>
      <c r="H55" s="440">
        <f t="shared" si="6"/>
        <v>601481.94000000018</v>
      </c>
      <c r="I55" s="441">
        <f t="shared" si="7"/>
        <v>75715.954688950063</v>
      </c>
      <c r="J55" s="169"/>
    </row>
    <row r="56" spans="1:10" x14ac:dyDescent="0.2">
      <c r="A56" s="436" t="s">
        <v>42</v>
      </c>
      <c r="B56" s="437">
        <f t="shared" si="5"/>
        <v>40360</v>
      </c>
      <c r="C56" s="437">
        <v>40451</v>
      </c>
      <c r="D56" s="438">
        <f t="shared" si="2"/>
        <v>92</v>
      </c>
      <c r="E56" s="438">
        <v>3.25</v>
      </c>
      <c r="F56" s="439">
        <f>F$36+G$43-SUM(H$40:H55)-SUM(I$40:I55)</f>
        <v>4740385.2628226485</v>
      </c>
      <c r="G56" s="440">
        <f t="shared" si="4"/>
        <v>38832.197084492385</v>
      </c>
      <c r="H56" s="440">
        <f t="shared" si="6"/>
        <v>601481.94000000018</v>
      </c>
      <c r="I56" s="441">
        <f t="shared" si="7"/>
        <v>75715.954688950063</v>
      </c>
      <c r="J56" s="169"/>
    </row>
    <row r="57" spans="1:10" x14ac:dyDescent="0.2">
      <c r="A57" s="436" t="s">
        <v>31</v>
      </c>
      <c r="B57" s="437">
        <f t="shared" si="5"/>
        <v>40452</v>
      </c>
      <c r="C57" s="437">
        <v>40543</v>
      </c>
      <c r="D57" s="438">
        <f t="shared" si="2"/>
        <v>92</v>
      </c>
      <c r="E57" s="438">
        <v>3.25</v>
      </c>
      <c r="F57" s="439">
        <f>F$36+G$43-SUM(H$40:H56)-SUM(I$40:I56)</f>
        <v>4063187.3681336991</v>
      </c>
      <c r="G57" s="440">
        <f t="shared" si="4"/>
        <v>33284.740358136332</v>
      </c>
      <c r="H57" s="440">
        <f t="shared" si="6"/>
        <v>601481.94000000018</v>
      </c>
      <c r="I57" s="441">
        <f t="shared" si="7"/>
        <v>75715.954688950063</v>
      </c>
      <c r="J57" s="169"/>
    </row>
    <row r="58" spans="1:10" x14ac:dyDescent="0.2">
      <c r="A58" s="368" t="s">
        <v>43</v>
      </c>
      <c r="B58" s="369">
        <f t="shared" si="5"/>
        <v>40544</v>
      </c>
      <c r="C58" s="369">
        <v>40633</v>
      </c>
      <c r="D58" s="370">
        <f t="shared" si="2"/>
        <v>90</v>
      </c>
      <c r="E58" s="49">
        <v>3.25</v>
      </c>
      <c r="F58" s="371">
        <f>F$36+G$43-SUM(H$40:H57)-SUM(I$40:I57)</f>
        <v>3385989.4734447496</v>
      </c>
      <c r="G58" s="352">
        <f t="shared" si="4"/>
        <v>27134.299205002444</v>
      </c>
      <c r="H58" s="352">
        <f t="shared" si="6"/>
        <v>601481.94000000018</v>
      </c>
      <c r="I58" s="353">
        <f t="shared" si="7"/>
        <v>75715.954688950063</v>
      </c>
      <c r="J58" s="169"/>
    </row>
    <row r="59" spans="1:10" x14ac:dyDescent="0.2">
      <c r="A59" s="368" t="s">
        <v>44</v>
      </c>
      <c r="B59" s="369">
        <f>C58+1</f>
        <v>40634</v>
      </c>
      <c r="C59" s="369">
        <v>40724</v>
      </c>
      <c r="D59" s="370">
        <f>+C59-B59+1</f>
        <v>91</v>
      </c>
      <c r="E59" s="49">
        <v>3.25</v>
      </c>
      <c r="F59" s="371">
        <f>F$36+G$43-SUM(H$40:H58)-SUM(I$40:I58)</f>
        <v>2708791.5787558001</v>
      </c>
      <c r="G59" s="352">
        <f>+D59/365*E59/100*F59</f>
        <v>21948.633134713094</v>
      </c>
      <c r="H59" s="352">
        <f>F$36/20</f>
        <v>601481.94000000018</v>
      </c>
      <c r="I59" s="353">
        <f>G$43/20</f>
        <v>75715.954688950063</v>
      </c>
      <c r="J59" s="169"/>
    </row>
    <row r="60" spans="1:10" x14ac:dyDescent="0.2">
      <c r="A60" s="368" t="s">
        <v>45</v>
      </c>
      <c r="B60" s="369">
        <f>C59+1</f>
        <v>40725</v>
      </c>
      <c r="C60" s="369">
        <v>40816</v>
      </c>
      <c r="D60" s="370">
        <f>+C60-B60+1</f>
        <v>92</v>
      </c>
      <c r="E60" s="49">
        <v>3.25</v>
      </c>
      <c r="F60" s="371">
        <f>F$36+G$43-SUM(H$40:H59)-SUM(I$40:I59)</f>
        <v>2031593.6840668507</v>
      </c>
      <c r="G60" s="352">
        <f>+D60/365*E60/100*F60</f>
        <v>16642.370179068177</v>
      </c>
      <c r="H60" s="352">
        <f>F$36/20</f>
        <v>601481.94000000018</v>
      </c>
      <c r="I60" s="353">
        <f>G$43/20</f>
        <v>75715.954688950063</v>
      </c>
      <c r="J60" s="169"/>
    </row>
    <row r="61" spans="1:10" x14ac:dyDescent="0.2">
      <c r="A61" s="368" t="s">
        <v>32</v>
      </c>
      <c r="B61" s="369">
        <f>C60+1</f>
        <v>40817</v>
      </c>
      <c r="C61" s="369">
        <v>40908</v>
      </c>
      <c r="D61" s="370">
        <f>+C61-B61+1</f>
        <v>92</v>
      </c>
      <c r="E61" s="49">
        <v>3.25</v>
      </c>
      <c r="F61" s="371">
        <f>F$36+G$43-SUM(H$40:H60)-SUM(I$40:I60)</f>
        <v>1354395.7893779012</v>
      </c>
      <c r="G61" s="352">
        <f>+D61/365*E61/100*F61</f>
        <v>11094.913452712124</v>
      </c>
      <c r="H61" s="352">
        <f>F$36/20</f>
        <v>601481.94000000018</v>
      </c>
      <c r="I61" s="353">
        <f>G$43/20</f>
        <v>75715.954688950063</v>
      </c>
      <c r="J61" s="169"/>
    </row>
    <row r="62" spans="1:10" x14ac:dyDescent="0.2">
      <c r="A62" s="372" t="s">
        <v>38</v>
      </c>
      <c r="B62" s="373">
        <f>C61+1</f>
        <v>40909</v>
      </c>
      <c r="C62" s="373">
        <v>40999</v>
      </c>
      <c r="D62" s="374">
        <f>+C62-B62+1</f>
        <v>91</v>
      </c>
      <c r="E62" s="59">
        <v>3.25</v>
      </c>
      <c r="F62" s="375">
        <f>F$36+G$43-SUM(H$40:H61)-SUM(I$40:I61)</f>
        <v>677197.89468895178</v>
      </c>
      <c r="G62" s="365">
        <f>+D62/365*E62/100*F62</f>
        <v>5487.1582836782873</v>
      </c>
      <c r="H62" s="365">
        <f>F$36/20</f>
        <v>601481.94000000018</v>
      </c>
      <c r="I62" s="366">
        <f>G$43/20</f>
        <v>75715.954688950063</v>
      </c>
      <c r="J62" s="169"/>
    </row>
    <row r="63" spans="1:10" x14ac:dyDescent="0.2">
      <c r="A63" s="368"/>
      <c r="B63" s="369"/>
      <c r="C63" s="369"/>
      <c r="D63" s="370"/>
      <c r="E63" s="49"/>
      <c r="F63" s="371"/>
      <c r="G63" s="352"/>
      <c r="H63" s="356">
        <f>SUM(H42:H62)</f>
        <v>12029638.800000001</v>
      </c>
      <c r="I63" s="376">
        <f>SUM(I42:I62)</f>
        <v>1514319.0937790009</v>
      </c>
      <c r="J63" s="169"/>
    </row>
    <row r="64" spans="1:10" x14ac:dyDescent="0.2">
      <c r="G64" s="377"/>
      <c r="H64" s="97"/>
    </row>
    <row r="65" spans="1:11" x14ac:dyDescent="0.2">
      <c r="A65" s="534" t="s">
        <v>191</v>
      </c>
      <c r="B65" s="535"/>
      <c r="C65" s="535"/>
      <c r="D65" s="535"/>
      <c r="E65" s="535"/>
      <c r="F65" s="535"/>
      <c r="G65" s="535"/>
      <c r="H65" s="535"/>
      <c r="I65" s="535"/>
      <c r="J65" s="536"/>
      <c r="K65" s="378"/>
    </row>
    <row r="66" spans="1:11" x14ac:dyDescent="0.2">
      <c r="A66" s="2" t="s">
        <v>7</v>
      </c>
      <c r="B66" s="2" t="s">
        <v>8</v>
      </c>
      <c r="C66" s="2" t="s">
        <v>9</v>
      </c>
      <c r="D66" s="2" t="s">
        <v>10</v>
      </c>
      <c r="E66" s="2" t="s">
        <v>11</v>
      </c>
      <c r="F66" s="2" t="s">
        <v>12</v>
      </c>
      <c r="G66" s="2" t="s">
        <v>13</v>
      </c>
      <c r="H66" s="2"/>
      <c r="I66" s="2"/>
      <c r="J66" s="2" t="s">
        <v>14</v>
      </c>
      <c r="K66" s="379"/>
    </row>
    <row r="67" spans="1:11" ht="51" x14ac:dyDescent="0.2">
      <c r="A67" s="6" t="s">
        <v>15</v>
      </c>
      <c r="B67" s="6" t="s">
        <v>16</v>
      </c>
      <c r="C67" s="6" t="s">
        <v>17</v>
      </c>
      <c r="D67" s="6" t="s">
        <v>18</v>
      </c>
      <c r="E67" s="6" t="s">
        <v>19</v>
      </c>
      <c r="F67" s="6" t="s">
        <v>20</v>
      </c>
      <c r="G67" s="6" t="s">
        <v>49</v>
      </c>
      <c r="H67" s="6" t="s">
        <v>22</v>
      </c>
      <c r="I67" s="6" t="s">
        <v>50</v>
      </c>
      <c r="J67" s="6" t="s">
        <v>21</v>
      </c>
      <c r="K67" s="380"/>
    </row>
    <row r="68" spans="1:11" x14ac:dyDescent="0.2">
      <c r="A68" s="381" t="s">
        <v>192</v>
      </c>
      <c r="B68" s="382">
        <v>37026</v>
      </c>
      <c r="C68" s="382">
        <v>37072</v>
      </c>
      <c r="D68" s="343">
        <f t="shared" ref="D68:D88" si="8">+C68-B68+1</f>
        <v>47</v>
      </c>
      <c r="E68" s="383">
        <v>9.02</v>
      </c>
      <c r="F68" s="384">
        <f>E6</f>
        <v>482879.15</v>
      </c>
      <c r="G68" s="385">
        <f t="shared" ref="G68:G75" si="9">+D68/365*E68/100*F68</f>
        <v>5608.5421055068491</v>
      </c>
      <c r="H68" s="385"/>
      <c r="I68" s="386"/>
      <c r="J68" s="348">
        <f>+F68+G68</f>
        <v>488487.6921055069</v>
      </c>
    </row>
    <row r="69" spans="1:11" x14ac:dyDescent="0.2">
      <c r="A69" s="350" t="s">
        <v>193</v>
      </c>
      <c r="B69" s="387">
        <f t="shared" ref="B69:B89" si="10">C68+1</f>
        <v>37073</v>
      </c>
      <c r="C69" s="387">
        <v>37164</v>
      </c>
      <c r="D69" s="49">
        <f t="shared" si="8"/>
        <v>92</v>
      </c>
      <c r="E69" s="388">
        <v>7.79</v>
      </c>
      <c r="F69" s="389">
        <f>J68</f>
        <v>488487.6921055069</v>
      </c>
      <c r="G69" s="390">
        <f t="shared" si="9"/>
        <v>9591.4892925527311</v>
      </c>
      <c r="H69" s="390"/>
      <c r="I69" s="391"/>
      <c r="J69" s="354">
        <f t="shared" ref="J69:J90" si="11">+F69+G69</f>
        <v>498079.18139805965</v>
      </c>
    </row>
    <row r="70" spans="1:11" x14ac:dyDescent="0.2">
      <c r="A70" s="350" t="s">
        <v>194</v>
      </c>
      <c r="B70" s="387">
        <f t="shared" si="10"/>
        <v>37165</v>
      </c>
      <c r="C70" s="387">
        <v>37256</v>
      </c>
      <c r="D70" s="49">
        <f t="shared" si="8"/>
        <v>92</v>
      </c>
      <c r="E70" s="388">
        <v>6.8</v>
      </c>
      <c r="F70" s="389">
        <f t="shared" ref="F70:F89" si="12">J69</f>
        <v>498079.18139805965</v>
      </c>
      <c r="G70" s="390">
        <f t="shared" si="9"/>
        <v>8536.9407091130452</v>
      </c>
      <c r="H70" s="390"/>
      <c r="I70" s="391"/>
      <c r="J70" s="354">
        <f t="shared" si="11"/>
        <v>506616.12210717268</v>
      </c>
    </row>
    <row r="71" spans="1:11" x14ac:dyDescent="0.2">
      <c r="A71" s="350" t="s">
        <v>195</v>
      </c>
      <c r="B71" s="387">
        <f t="shared" si="10"/>
        <v>37257</v>
      </c>
      <c r="C71" s="387">
        <v>37346</v>
      </c>
      <c r="D71" s="49">
        <f t="shared" si="8"/>
        <v>90</v>
      </c>
      <c r="E71" s="388">
        <v>5.64</v>
      </c>
      <c r="F71" s="389">
        <f t="shared" si="12"/>
        <v>506616.12210717268</v>
      </c>
      <c r="G71" s="390">
        <f t="shared" si="9"/>
        <v>7045.4340707287902</v>
      </c>
      <c r="H71" s="390"/>
      <c r="I71" s="391"/>
      <c r="J71" s="354">
        <f t="shared" si="11"/>
        <v>513661.55617790145</v>
      </c>
    </row>
    <row r="72" spans="1:11" x14ac:dyDescent="0.2">
      <c r="A72" s="350" t="s">
        <v>196</v>
      </c>
      <c r="B72" s="387">
        <f t="shared" si="10"/>
        <v>37347</v>
      </c>
      <c r="C72" s="387">
        <v>37437</v>
      </c>
      <c r="D72" s="49">
        <f t="shared" si="8"/>
        <v>91</v>
      </c>
      <c r="E72" s="388">
        <v>4.78</v>
      </c>
      <c r="F72" s="389">
        <f t="shared" si="12"/>
        <v>513661.55617790145</v>
      </c>
      <c r="G72" s="390">
        <f t="shared" si="9"/>
        <v>6121.4384577058509</v>
      </c>
      <c r="H72" s="390"/>
      <c r="I72" s="391"/>
      <c r="J72" s="354">
        <f t="shared" si="11"/>
        <v>519782.99463560729</v>
      </c>
    </row>
    <row r="73" spans="1:11" x14ac:dyDescent="0.2">
      <c r="A73" s="350" t="s">
        <v>197</v>
      </c>
      <c r="B73" s="387">
        <f t="shared" si="10"/>
        <v>37438</v>
      </c>
      <c r="C73" s="387">
        <v>37529</v>
      </c>
      <c r="D73" s="49">
        <f t="shared" si="8"/>
        <v>92</v>
      </c>
      <c r="E73" s="388">
        <v>4.75</v>
      </c>
      <c r="F73" s="389">
        <f t="shared" si="12"/>
        <v>519782.99463560729</v>
      </c>
      <c r="G73" s="390">
        <f t="shared" si="9"/>
        <v>6223.1553056372713</v>
      </c>
      <c r="H73" s="390"/>
      <c r="I73" s="391"/>
      <c r="J73" s="354">
        <f t="shared" si="11"/>
        <v>526006.14994124451</v>
      </c>
    </row>
    <row r="74" spans="1:11" x14ac:dyDescent="0.2">
      <c r="A74" s="350" t="s">
        <v>198</v>
      </c>
      <c r="B74" s="387">
        <f t="shared" si="10"/>
        <v>37530</v>
      </c>
      <c r="C74" s="387">
        <v>37621</v>
      </c>
      <c r="D74" s="49">
        <f t="shared" si="8"/>
        <v>92</v>
      </c>
      <c r="E74" s="388">
        <v>4.75</v>
      </c>
      <c r="F74" s="389">
        <f t="shared" si="12"/>
        <v>526006.14994124451</v>
      </c>
      <c r="G74" s="390">
        <f t="shared" si="9"/>
        <v>6297.6626718992839</v>
      </c>
      <c r="H74" s="390"/>
      <c r="I74" s="391"/>
      <c r="J74" s="354">
        <f t="shared" si="11"/>
        <v>532303.81261314382</v>
      </c>
    </row>
    <row r="75" spans="1:11" x14ac:dyDescent="0.2">
      <c r="A75" s="350" t="s">
        <v>199</v>
      </c>
      <c r="B75" s="387">
        <f t="shared" si="10"/>
        <v>37622</v>
      </c>
      <c r="C75" s="387">
        <v>37711</v>
      </c>
      <c r="D75" s="49">
        <f t="shared" si="8"/>
        <v>90</v>
      </c>
      <c r="E75" s="388">
        <v>4.62</v>
      </c>
      <c r="F75" s="389">
        <f t="shared" si="12"/>
        <v>532303.81261314382</v>
      </c>
      <c r="G75" s="390">
        <f t="shared" si="9"/>
        <v>6063.8883639601418</v>
      </c>
      <c r="H75" s="390"/>
      <c r="I75" s="391"/>
      <c r="J75" s="354">
        <f t="shared" si="11"/>
        <v>538367.70097710402</v>
      </c>
    </row>
    <row r="76" spans="1:11" x14ac:dyDescent="0.2">
      <c r="A76" s="350" t="s">
        <v>200</v>
      </c>
      <c r="B76" s="387">
        <f t="shared" si="10"/>
        <v>37712</v>
      </c>
      <c r="C76" s="71">
        <v>37802</v>
      </c>
      <c r="D76" s="49">
        <f t="shared" si="8"/>
        <v>91</v>
      </c>
      <c r="E76" s="351">
        <v>4.25</v>
      </c>
      <c r="F76" s="389">
        <f t="shared" si="12"/>
        <v>538367.70097710402</v>
      </c>
      <c r="G76" s="390">
        <f>+D76/365*E76/100*F76</f>
        <v>5704.485160353287</v>
      </c>
      <c r="H76" s="390"/>
      <c r="I76" s="391"/>
      <c r="J76" s="354">
        <f t="shared" si="11"/>
        <v>544072.18613745726</v>
      </c>
    </row>
    <row r="77" spans="1:11" x14ac:dyDescent="0.2">
      <c r="A77" s="350" t="s">
        <v>201</v>
      </c>
      <c r="B77" s="387">
        <f t="shared" si="10"/>
        <v>37803</v>
      </c>
      <c r="C77" s="71">
        <v>37894</v>
      </c>
      <c r="D77" s="49">
        <f t="shared" si="8"/>
        <v>92</v>
      </c>
      <c r="E77" s="351">
        <v>4.25</v>
      </c>
      <c r="F77" s="389">
        <f t="shared" si="12"/>
        <v>544072.18613745726</v>
      </c>
      <c r="G77" s="390">
        <f>+D77/365*E77/100*F77</f>
        <v>5828.28013095194</v>
      </c>
      <c r="H77" s="390"/>
      <c r="I77" s="391"/>
      <c r="J77" s="354">
        <f t="shared" si="11"/>
        <v>549900.46626840916</v>
      </c>
    </row>
    <row r="78" spans="1:11" x14ac:dyDescent="0.2">
      <c r="A78" s="350" t="s">
        <v>202</v>
      </c>
      <c r="B78" s="387">
        <f t="shared" si="10"/>
        <v>37895</v>
      </c>
      <c r="C78" s="71">
        <v>37986</v>
      </c>
      <c r="D78" s="49">
        <f t="shared" si="8"/>
        <v>92</v>
      </c>
      <c r="E78" s="351">
        <v>4.07</v>
      </c>
      <c r="F78" s="389">
        <f t="shared" si="12"/>
        <v>549900.46626840916</v>
      </c>
      <c r="G78" s="390">
        <f>+D78/365*E78/100*F78</f>
        <v>5641.2254956039214</v>
      </c>
      <c r="H78" s="390"/>
      <c r="I78" s="391"/>
      <c r="J78" s="354">
        <f>+F78+G78</f>
        <v>555541.69176401303</v>
      </c>
    </row>
    <row r="79" spans="1:11" x14ac:dyDescent="0.2">
      <c r="A79" s="350" t="s">
        <v>203</v>
      </c>
      <c r="B79" s="387">
        <f t="shared" si="10"/>
        <v>37987</v>
      </c>
      <c r="C79" s="71">
        <v>38077</v>
      </c>
      <c r="D79" s="49">
        <f t="shared" si="8"/>
        <v>91</v>
      </c>
      <c r="E79" s="351">
        <v>4</v>
      </c>
      <c r="F79" s="389">
        <f t="shared" si="12"/>
        <v>555541.69176401303</v>
      </c>
      <c r="G79" s="390">
        <f>+D79/366*E79/100*F79</f>
        <v>5525.0594481448288</v>
      </c>
      <c r="H79" s="390"/>
      <c r="I79" s="391"/>
      <c r="J79" s="354">
        <f>+F79+G79</f>
        <v>561066.75121215789</v>
      </c>
    </row>
    <row r="80" spans="1:11" x14ac:dyDescent="0.2">
      <c r="A80" s="350" t="s">
        <v>204</v>
      </c>
      <c r="B80" s="387">
        <f t="shared" si="10"/>
        <v>38078</v>
      </c>
      <c r="C80" s="71">
        <v>38168</v>
      </c>
      <c r="D80" s="49">
        <f>+C80-B80+1</f>
        <v>91</v>
      </c>
      <c r="E80" s="351">
        <v>4</v>
      </c>
      <c r="F80" s="389">
        <f t="shared" si="12"/>
        <v>561066.75121215789</v>
      </c>
      <c r="G80" s="390">
        <f>+D80/366*E80/100*F80</f>
        <v>5580.0081268094391</v>
      </c>
      <c r="H80" s="390"/>
      <c r="I80" s="391"/>
      <c r="J80" s="354">
        <f>+F80+G80</f>
        <v>566646.75933896739</v>
      </c>
    </row>
    <row r="81" spans="1:12" x14ac:dyDescent="0.2">
      <c r="A81" s="350" t="s">
        <v>205</v>
      </c>
      <c r="B81" s="387">
        <f t="shared" si="10"/>
        <v>38169</v>
      </c>
      <c r="C81" s="71">
        <v>38260</v>
      </c>
      <c r="D81" s="49">
        <f t="shared" si="8"/>
        <v>92</v>
      </c>
      <c r="E81" s="351">
        <v>4</v>
      </c>
      <c r="F81" s="389">
        <f t="shared" si="12"/>
        <v>566646.75933896739</v>
      </c>
      <c r="G81" s="390">
        <f>+D81/366*E81/100*F81</f>
        <v>5697.4318971786888</v>
      </c>
      <c r="H81" s="390"/>
      <c r="I81" s="391"/>
      <c r="J81" s="354">
        <f>+F81+G81</f>
        <v>572344.19123614603</v>
      </c>
    </row>
    <row r="82" spans="1:12" x14ac:dyDescent="0.2">
      <c r="A82" s="350" t="s">
        <v>206</v>
      </c>
      <c r="B82" s="387">
        <f t="shared" si="10"/>
        <v>38261</v>
      </c>
      <c r="C82" s="71">
        <v>38352</v>
      </c>
      <c r="D82" s="49">
        <f t="shared" si="8"/>
        <v>92</v>
      </c>
      <c r="E82" s="351">
        <v>4.22</v>
      </c>
      <c r="F82" s="389">
        <f t="shared" si="12"/>
        <v>572344.19123614603</v>
      </c>
      <c r="G82" s="390">
        <f>+D82/366*E82/100*F82</f>
        <v>6071.2270165442987</v>
      </c>
      <c r="H82" s="390"/>
      <c r="I82" s="391"/>
      <c r="J82" s="354">
        <f t="shared" si="11"/>
        <v>578415.41825269035</v>
      </c>
    </row>
    <row r="83" spans="1:12" x14ac:dyDescent="0.2">
      <c r="A83" s="350" t="s">
        <v>207</v>
      </c>
      <c r="B83" s="387">
        <f t="shared" si="10"/>
        <v>38353</v>
      </c>
      <c r="C83" s="71">
        <v>38442</v>
      </c>
      <c r="D83" s="49">
        <f t="shared" si="8"/>
        <v>90</v>
      </c>
      <c r="E83" s="351">
        <v>4.75</v>
      </c>
      <c r="F83" s="389">
        <f t="shared" si="12"/>
        <v>578415.41825269035</v>
      </c>
      <c r="G83" s="390">
        <f t="shared" ref="G83:G89" si="13">+D83/365*E83/100*F83</f>
        <v>6774.5915425486337</v>
      </c>
      <c r="H83" s="390"/>
      <c r="I83" s="391"/>
      <c r="J83" s="354">
        <f t="shared" si="11"/>
        <v>585190.00979523896</v>
      </c>
    </row>
    <row r="84" spans="1:12" x14ac:dyDescent="0.2">
      <c r="A84" s="350" t="s">
        <v>208</v>
      </c>
      <c r="B84" s="387">
        <f t="shared" si="10"/>
        <v>38443</v>
      </c>
      <c r="C84" s="71">
        <v>38533</v>
      </c>
      <c r="D84" s="49">
        <f t="shared" si="8"/>
        <v>91</v>
      </c>
      <c r="E84" s="351">
        <v>5.3</v>
      </c>
      <c r="F84" s="389">
        <f t="shared" si="12"/>
        <v>585190.00979523896</v>
      </c>
      <c r="G84" s="390">
        <f t="shared" si="13"/>
        <v>7732.5244308011979</v>
      </c>
      <c r="H84" s="390"/>
      <c r="I84" s="391"/>
      <c r="J84" s="354">
        <f t="shared" si="11"/>
        <v>592922.53422604012</v>
      </c>
    </row>
    <row r="85" spans="1:12" x14ac:dyDescent="0.2">
      <c r="A85" s="350" t="s">
        <v>209</v>
      </c>
      <c r="B85" s="387">
        <f t="shared" si="10"/>
        <v>38534</v>
      </c>
      <c r="C85" s="71">
        <v>38625</v>
      </c>
      <c r="D85" s="49">
        <f t="shared" si="8"/>
        <v>92</v>
      </c>
      <c r="E85" s="351">
        <v>5.77</v>
      </c>
      <c r="F85" s="389">
        <f t="shared" si="12"/>
        <v>592922.53422604012</v>
      </c>
      <c r="G85" s="390">
        <f t="shared" si="13"/>
        <v>8623.2054265356473</v>
      </c>
      <c r="H85" s="390"/>
      <c r="I85" s="391"/>
      <c r="J85" s="354">
        <f t="shared" si="11"/>
        <v>601545.73965257581</v>
      </c>
    </row>
    <row r="86" spans="1:12" x14ac:dyDescent="0.2">
      <c r="A86" s="350" t="s">
        <v>181</v>
      </c>
      <c r="B86" s="387">
        <f t="shared" si="10"/>
        <v>38626</v>
      </c>
      <c r="C86" s="71">
        <v>38717</v>
      </c>
      <c r="D86" s="49">
        <f t="shared" si="8"/>
        <v>92</v>
      </c>
      <c r="E86" s="351">
        <v>6.23</v>
      </c>
      <c r="F86" s="389">
        <f t="shared" si="12"/>
        <v>601545.73965257581</v>
      </c>
      <c r="G86" s="390">
        <f t="shared" si="13"/>
        <v>9446.080990116996</v>
      </c>
      <c r="H86" s="390"/>
      <c r="I86" s="391"/>
      <c r="J86" s="354">
        <f t="shared" si="11"/>
        <v>610991.82064269285</v>
      </c>
    </row>
    <row r="87" spans="1:12" x14ac:dyDescent="0.2">
      <c r="A87" s="350" t="s">
        <v>182</v>
      </c>
      <c r="B87" s="387">
        <f t="shared" si="10"/>
        <v>38718</v>
      </c>
      <c r="C87" s="71">
        <v>38807</v>
      </c>
      <c r="D87" s="49">
        <f>+C87-B87+1</f>
        <v>90</v>
      </c>
      <c r="E87" s="351">
        <v>6.78</v>
      </c>
      <c r="F87" s="389">
        <f t="shared" si="12"/>
        <v>610991.82064269285</v>
      </c>
      <c r="G87" s="390">
        <f t="shared" si="13"/>
        <v>10214.44408099099</v>
      </c>
      <c r="H87" s="390"/>
      <c r="I87" s="391"/>
      <c r="J87" s="354">
        <f t="shared" si="11"/>
        <v>621206.26472368382</v>
      </c>
    </row>
    <row r="88" spans="1:12" x14ac:dyDescent="0.2">
      <c r="A88" s="350" t="s">
        <v>183</v>
      </c>
      <c r="B88" s="387">
        <f t="shared" si="10"/>
        <v>38808</v>
      </c>
      <c r="C88" s="71">
        <v>38898</v>
      </c>
      <c r="D88" s="49">
        <f t="shared" si="8"/>
        <v>91</v>
      </c>
      <c r="E88" s="351">
        <v>7.3</v>
      </c>
      <c r="F88" s="389">
        <f t="shared" si="12"/>
        <v>621206.26472368382</v>
      </c>
      <c r="G88" s="390">
        <f t="shared" si="13"/>
        <v>11305.954017971046</v>
      </c>
      <c r="H88" s="390"/>
      <c r="I88" s="391"/>
      <c r="J88" s="354">
        <f t="shared" si="11"/>
        <v>632512.21874165488</v>
      </c>
    </row>
    <row r="89" spans="1:12" x14ac:dyDescent="0.2">
      <c r="A89" s="350" t="s">
        <v>184</v>
      </c>
      <c r="B89" s="387">
        <f t="shared" si="10"/>
        <v>38899</v>
      </c>
      <c r="C89" s="71">
        <v>38990</v>
      </c>
      <c r="D89" s="49">
        <f>+C89-B89+1</f>
        <v>92</v>
      </c>
      <c r="E89" s="351">
        <v>7.74</v>
      </c>
      <c r="F89" s="389">
        <f t="shared" si="12"/>
        <v>632512.21874165488</v>
      </c>
      <c r="G89" s="390">
        <f t="shared" si="13"/>
        <v>12339.706869083773</v>
      </c>
      <c r="H89" s="46"/>
      <c r="I89" s="355"/>
      <c r="J89" s="354">
        <f t="shared" si="11"/>
        <v>644851.92561073869</v>
      </c>
    </row>
    <row r="90" spans="1:12" x14ac:dyDescent="0.2">
      <c r="A90" s="350" t="s">
        <v>185</v>
      </c>
      <c r="B90" s="387">
        <f>C89+1</f>
        <v>38991</v>
      </c>
      <c r="C90" s="71">
        <v>39082</v>
      </c>
      <c r="D90" s="49">
        <f>+C90-B90+1</f>
        <v>92</v>
      </c>
      <c r="E90" s="351">
        <v>8.17</v>
      </c>
      <c r="F90" s="389">
        <f>J89</f>
        <v>644851.92561073869</v>
      </c>
      <c r="G90" s="390">
        <f>+D90/365*E90/100*F90</f>
        <v>13279.356201809744</v>
      </c>
      <c r="H90" s="352"/>
      <c r="I90" s="353"/>
      <c r="J90" s="354">
        <f t="shared" si="11"/>
        <v>658131.2818125484</v>
      </c>
    </row>
    <row r="91" spans="1:12" x14ac:dyDescent="0.2">
      <c r="A91" s="350" t="s">
        <v>186</v>
      </c>
      <c r="B91" s="387">
        <f>C90+1</f>
        <v>39083</v>
      </c>
      <c r="C91" s="71">
        <v>39172</v>
      </c>
      <c r="D91" s="49">
        <f>+C91-B91+1</f>
        <v>90</v>
      </c>
      <c r="E91" s="351">
        <v>8.25</v>
      </c>
      <c r="F91" s="389">
        <f>J90</f>
        <v>658131.2818125484</v>
      </c>
      <c r="G91" s="390">
        <f>+D91/365*E91/100*F91</f>
        <v>13388.013061529238</v>
      </c>
      <c r="H91" s="352"/>
      <c r="I91" s="353"/>
      <c r="J91" s="354">
        <f>+F91+G91</f>
        <v>671519.29487407766</v>
      </c>
    </row>
    <row r="92" spans="1:12" x14ac:dyDescent="0.2">
      <c r="A92" s="350" t="s">
        <v>187</v>
      </c>
      <c r="B92" s="71">
        <f>C91+1</f>
        <v>39173</v>
      </c>
      <c r="C92" s="71">
        <v>39263</v>
      </c>
      <c r="D92" s="49">
        <f>+C92-B92+1</f>
        <v>91</v>
      </c>
      <c r="E92" s="351">
        <v>8.25</v>
      </c>
      <c r="F92" s="389">
        <f>J91</f>
        <v>671519.29487407766</v>
      </c>
      <c r="G92" s="390">
        <f>+D92/365*E92/100*F92</f>
        <v>13812.140017170243</v>
      </c>
      <c r="H92" s="352">
        <f>E6/20</f>
        <v>24143.9575</v>
      </c>
      <c r="I92" s="353">
        <f>G93/20</f>
        <v>10122.614244562395</v>
      </c>
      <c r="J92" s="354">
        <f>F92+G92-H92-I92</f>
        <v>651064.86314668553</v>
      </c>
    </row>
    <row r="93" spans="1:12" ht="15" customHeight="1" x14ac:dyDescent="0.2">
      <c r="A93" s="392"/>
      <c r="B93" s="393"/>
      <c r="C93" s="393"/>
      <c r="D93" s="394"/>
      <c r="E93" s="529" t="s">
        <v>51</v>
      </c>
      <c r="F93" s="530"/>
      <c r="G93" s="356">
        <f>SUM(G68:G92)</f>
        <v>202452.28489124792</v>
      </c>
      <c r="H93" s="35"/>
      <c r="I93" s="395"/>
      <c r="J93" s="357"/>
    </row>
    <row r="94" spans="1:12" x14ac:dyDescent="0.2">
      <c r="A94" s="350" t="s">
        <v>188</v>
      </c>
      <c r="B94" s="71">
        <f>C92+1</f>
        <v>39264</v>
      </c>
      <c r="C94" s="71">
        <v>39355</v>
      </c>
      <c r="D94" s="49">
        <f>+C94-B94+1</f>
        <v>92</v>
      </c>
      <c r="E94" s="49">
        <v>8.25</v>
      </c>
      <c r="F94" s="50">
        <f>F$68+G$93-SUM(H$90:H93)-SUM(I$90:I93)</f>
        <v>651064.86314668553</v>
      </c>
      <c r="G94" s="352">
        <f>+D94/365*E94/100*F94</f>
        <v>13538.581674748886</v>
      </c>
      <c r="H94" s="352">
        <f t="shared" ref="H94:H108" si="14">F$68/20</f>
        <v>24143.9575</v>
      </c>
      <c r="I94" s="358">
        <f t="shared" ref="I94:I108" si="15">G$93/20</f>
        <v>10122.614244562395</v>
      </c>
      <c r="J94" s="47"/>
    </row>
    <row r="95" spans="1:12" x14ac:dyDescent="0.2">
      <c r="A95" s="359" t="s">
        <v>189</v>
      </c>
      <c r="B95" s="71">
        <f>C94+1</f>
        <v>39356</v>
      </c>
      <c r="C95" s="71">
        <v>39447</v>
      </c>
      <c r="D95" s="49">
        <f>+C95-B95+1</f>
        <v>92</v>
      </c>
      <c r="E95" s="49">
        <v>8.25</v>
      </c>
      <c r="F95" s="50">
        <f>F$68+G$93-SUM(H$90:H94)-SUM(I$90:I94)</f>
        <v>616798.29140212305</v>
      </c>
      <c r="G95" s="352">
        <f>+D95/365*E95/100*F95</f>
        <v>12826.024744498944</v>
      </c>
      <c r="H95" s="352">
        <f t="shared" si="14"/>
        <v>24143.9575</v>
      </c>
      <c r="I95" s="358">
        <f t="shared" si="15"/>
        <v>10122.614244562395</v>
      </c>
      <c r="J95" s="47"/>
    </row>
    <row r="96" spans="1:12" s="42" customFormat="1" x14ac:dyDescent="0.2">
      <c r="A96" s="360" t="s">
        <v>190</v>
      </c>
      <c r="B96" s="43">
        <f t="shared" ref="B96:B108" si="16">C95+1</f>
        <v>39448</v>
      </c>
      <c r="C96" s="43">
        <v>39538</v>
      </c>
      <c r="D96" s="44">
        <f t="shared" ref="D96:D108" si="17">+C96-B96+1</f>
        <v>91</v>
      </c>
      <c r="E96" s="44">
        <v>7.76</v>
      </c>
      <c r="F96" s="76">
        <f>F$68+G$93-SUM(H$90:H95)-SUM(I$90:I95)</f>
        <v>582531.71965756069</v>
      </c>
      <c r="G96" s="361">
        <f>+D96/366*E96/100*F96</f>
        <v>11239.360632606094</v>
      </c>
      <c r="H96" s="361">
        <f t="shared" si="14"/>
        <v>24143.9575</v>
      </c>
      <c r="I96" s="362">
        <f t="shared" si="15"/>
        <v>10122.614244562395</v>
      </c>
      <c r="J96" s="363"/>
      <c r="K96" s="21"/>
      <c r="L96" s="21"/>
    </row>
    <row r="97" spans="1:12" s="42" customFormat="1" x14ac:dyDescent="0.2">
      <c r="A97" s="360" t="s">
        <v>34</v>
      </c>
      <c r="B97" s="43">
        <f t="shared" si="16"/>
        <v>39539</v>
      </c>
      <c r="C97" s="43">
        <v>39629</v>
      </c>
      <c r="D97" s="44">
        <f t="shared" si="17"/>
        <v>91</v>
      </c>
      <c r="E97" s="44">
        <v>6.77</v>
      </c>
      <c r="F97" s="76">
        <f>F$68+G$93-SUM(H$90:H96)-SUM(I$90:I96)</f>
        <v>548265.14791299833</v>
      </c>
      <c r="G97" s="361">
        <f>+D97/366*E97/100*F97</f>
        <v>9228.6805922065796</v>
      </c>
      <c r="H97" s="361">
        <f t="shared" si="14"/>
        <v>24143.9575</v>
      </c>
      <c r="I97" s="362">
        <f t="shared" si="15"/>
        <v>10122.614244562395</v>
      </c>
      <c r="J97" s="363"/>
      <c r="K97" s="21"/>
      <c r="L97" s="21"/>
    </row>
    <row r="98" spans="1:12" s="42" customFormat="1" x14ac:dyDescent="0.2">
      <c r="A98" s="360" t="s">
        <v>35</v>
      </c>
      <c r="B98" s="43">
        <f t="shared" si="16"/>
        <v>39630</v>
      </c>
      <c r="C98" s="43">
        <v>39721</v>
      </c>
      <c r="D98" s="44">
        <f t="shared" si="17"/>
        <v>92</v>
      </c>
      <c r="E98" s="44">
        <v>5.3</v>
      </c>
      <c r="F98" s="76">
        <f>F$68+G$93-SUM(H$90:H97)-SUM(I$90:I97)</f>
        <v>513998.57616843592</v>
      </c>
      <c r="G98" s="361">
        <f>+D98/366*E98/100*F98</f>
        <v>6847.6968781346823</v>
      </c>
      <c r="H98" s="361">
        <f t="shared" si="14"/>
        <v>24143.9575</v>
      </c>
      <c r="I98" s="362">
        <f t="shared" si="15"/>
        <v>10122.614244562395</v>
      </c>
      <c r="J98" s="363"/>
      <c r="K98" s="21"/>
      <c r="L98" s="21"/>
    </row>
    <row r="99" spans="1:12" s="42" customFormat="1" x14ac:dyDescent="0.2">
      <c r="A99" s="360" t="s">
        <v>29</v>
      </c>
      <c r="B99" s="43">
        <f t="shared" si="16"/>
        <v>39722</v>
      </c>
      <c r="C99" s="43">
        <v>39813</v>
      </c>
      <c r="D99" s="44">
        <f t="shared" si="17"/>
        <v>92</v>
      </c>
      <c r="E99" s="44">
        <v>5</v>
      </c>
      <c r="F99" s="76">
        <f>F$68+G$93-SUM(H$90:H98)-SUM(I$90:I98)</f>
        <v>479732.0044238735</v>
      </c>
      <c r="G99" s="361">
        <f>+D99/366*E99/100*F99</f>
        <v>6029.4186348355688</v>
      </c>
      <c r="H99" s="361">
        <f t="shared" si="14"/>
        <v>24143.9575</v>
      </c>
      <c r="I99" s="362">
        <f t="shared" si="15"/>
        <v>10122.614244562395</v>
      </c>
      <c r="J99" s="363"/>
      <c r="K99" s="21"/>
      <c r="L99" s="21"/>
    </row>
    <row r="100" spans="1:12" x14ac:dyDescent="0.2">
      <c r="A100" s="359" t="s">
        <v>36</v>
      </c>
      <c r="B100" s="71">
        <f t="shared" si="16"/>
        <v>39814</v>
      </c>
      <c r="C100" s="71">
        <v>39903</v>
      </c>
      <c r="D100" s="49">
        <f t="shared" si="17"/>
        <v>90</v>
      </c>
      <c r="E100" s="49">
        <v>4.5199999999999996</v>
      </c>
      <c r="F100" s="50">
        <f>F$68+G$93-SUM(H$90:H99)-SUM(I$90:I99)</f>
        <v>445465.43267931108</v>
      </c>
      <c r="G100" s="352">
        <f t="shared" ref="G100:G108" si="18">+D100/365*E100/100*F100</f>
        <v>4964.8037812039383</v>
      </c>
      <c r="H100" s="352">
        <f t="shared" si="14"/>
        <v>24143.9575</v>
      </c>
      <c r="I100" s="353">
        <f t="shared" si="15"/>
        <v>10122.614244562395</v>
      </c>
      <c r="J100" s="169"/>
    </row>
    <row r="101" spans="1:12" x14ac:dyDescent="0.2">
      <c r="A101" s="359" t="s">
        <v>37</v>
      </c>
      <c r="B101" s="71">
        <f t="shared" si="16"/>
        <v>39904</v>
      </c>
      <c r="C101" s="71">
        <v>39994</v>
      </c>
      <c r="D101" s="49">
        <f t="shared" si="17"/>
        <v>91</v>
      </c>
      <c r="E101" s="49">
        <v>3.37</v>
      </c>
      <c r="F101" s="50">
        <f>F$68+G$93-SUM(H$90:H100)-SUM(I$90:I100)</f>
        <v>411198.86093474872</v>
      </c>
      <c r="G101" s="352">
        <f t="shared" si="18"/>
        <v>3454.8590324071065</v>
      </c>
      <c r="H101" s="352">
        <f t="shared" si="14"/>
        <v>24143.9575</v>
      </c>
      <c r="I101" s="353">
        <f t="shared" si="15"/>
        <v>10122.614244562395</v>
      </c>
      <c r="J101" s="169"/>
    </row>
    <row r="102" spans="1:12" x14ac:dyDescent="0.2">
      <c r="A102" s="359" t="s">
        <v>39</v>
      </c>
      <c r="B102" s="71">
        <f t="shared" si="16"/>
        <v>39995</v>
      </c>
      <c r="C102" s="71">
        <v>40086</v>
      </c>
      <c r="D102" s="49">
        <f t="shared" si="17"/>
        <v>92</v>
      </c>
      <c r="E102" s="49">
        <v>3.25</v>
      </c>
      <c r="F102" s="50">
        <f>F$68+G$93-SUM(H$90:H101)-SUM(I$90:I101)</f>
        <v>376932.28919018636</v>
      </c>
      <c r="G102" s="352">
        <f t="shared" si="18"/>
        <v>3087.7466977497461</v>
      </c>
      <c r="H102" s="352">
        <f t="shared" si="14"/>
        <v>24143.9575</v>
      </c>
      <c r="I102" s="353">
        <f t="shared" si="15"/>
        <v>10122.614244562395</v>
      </c>
      <c r="J102" s="169"/>
    </row>
    <row r="103" spans="1:12" x14ac:dyDescent="0.2">
      <c r="A103" s="359" t="s">
        <v>30</v>
      </c>
      <c r="B103" s="71">
        <f t="shared" si="16"/>
        <v>40087</v>
      </c>
      <c r="C103" s="71">
        <v>40178</v>
      </c>
      <c r="D103" s="49">
        <f t="shared" si="17"/>
        <v>92</v>
      </c>
      <c r="E103" s="49">
        <v>3.25</v>
      </c>
      <c r="F103" s="50">
        <f>F$68+G$93-SUM(H$90:H102)-SUM(I$90:I102)</f>
        <v>342665.71744562394</v>
      </c>
      <c r="G103" s="352">
        <f t="shared" si="18"/>
        <v>2807.0424524997688</v>
      </c>
      <c r="H103" s="352">
        <f t="shared" si="14"/>
        <v>24143.9575</v>
      </c>
      <c r="I103" s="353">
        <f t="shared" si="15"/>
        <v>10122.614244562395</v>
      </c>
      <c r="J103" s="169"/>
    </row>
    <row r="104" spans="1:12" s="61" customFormat="1" x14ac:dyDescent="0.2">
      <c r="A104" s="364" t="s">
        <v>40</v>
      </c>
      <c r="B104" s="64">
        <f t="shared" si="16"/>
        <v>40179</v>
      </c>
      <c r="C104" s="64">
        <v>40268</v>
      </c>
      <c r="D104" s="59">
        <f t="shared" si="17"/>
        <v>90</v>
      </c>
      <c r="E104" s="59">
        <v>3.25</v>
      </c>
      <c r="F104" s="60">
        <f>F$68+G$93-SUM(H$90:H103)-SUM(I$90:I103)</f>
        <v>308399.14570106153</v>
      </c>
      <c r="G104" s="365">
        <f t="shared" si="18"/>
        <v>2471.4178114400133</v>
      </c>
      <c r="H104" s="365">
        <f t="shared" si="14"/>
        <v>24143.9575</v>
      </c>
      <c r="I104" s="366">
        <f t="shared" si="15"/>
        <v>10122.614244562395</v>
      </c>
      <c r="J104" s="367"/>
      <c r="K104" s="21"/>
      <c r="L104" s="21"/>
    </row>
    <row r="105" spans="1:12" s="61" customFormat="1" x14ac:dyDescent="0.2">
      <c r="A105" s="364" t="s">
        <v>41</v>
      </c>
      <c r="B105" s="64">
        <f t="shared" si="16"/>
        <v>40269</v>
      </c>
      <c r="C105" s="64">
        <v>40359</v>
      </c>
      <c r="D105" s="59">
        <f t="shared" si="17"/>
        <v>91</v>
      </c>
      <c r="E105" s="59">
        <v>3.25</v>
      </c>
      <c r="F105" s="60">
        <f>F$68+G$93-SUM(H$90:H104)-SUM(I$90:I104)</f>
        <v>274132.57395649911</v>
      </c>
      <c r="G105" s="365">
        <f t="shared" si="18"/>
        <v>2221.2248971954687</v>
      </c>
      <c r="H105" s="365">
        <f t="shared" si="14"/>
        <v>24143.9575</v>
      </c>
      <c r="I105" s="366">
        <f t="shared" si="15"/>
        <v>10122.614244562395</v>
      </c>
      <c r="J105" s="367"/>
      <c r="K105" s="21"/>
      <c r="L105" s="21"/>
    </row>
    <row r="106" spans="1:12" s="61" customFormat="1" x14ac:dyDescent="0.2">
      <c r="A106" s="364" t="s">
        <v>42</v>
      </c>
      <c r="B106" s="64">
        <f t="shared" si="16"/>
        <v>40360</v>
      </c>
      <c r="C106" s="64">
        <v>40451</v>
      </c>
      <c r="D106" s="59">
        <f t="shared" si="17"/>
        <v>92</v>
      </c>
      <c r="E106" s="59">
        <v>3.25</v>
      </c>
      <c r="F106" s="60">
        <f>F$68+G$93-SUM(H$90:H105)-SUM(I$90:I105)</f>
        <v>239866.00221193672</v>
      </c>
      <c r="G106" s="365">
        <f t="shared" si="18"/>
        <v>1964.929716749838</v>
      </c>
      <c r="H106" s="365">
        <f t="shared" si="14"/>
        <v>24143.9575</v>
      </c>
      <c r="I106" s="366">
        <f t="shared" si="15"/>
        <v>10122.614244562395</v>
      </c>
      <c r="J106" s="367"/>
      <c r="K106" s="21"/>
      <c r="L106" s="21"/>
    </row>
    <row r="107" spans="1:12" s="61" customFormat="1" x14ac:dyDescent="0.2">
      <c r="A107" s="364" t="s">
        <v>31</v>
      </c>
      <c r="B107" s="64">
        <f t="shared" si="16"/>
        <v>40452</v>
      </c>
      <c r="C107" s="64">
        <v>40543</v>
      </c>
      <c r="D107" s="59">
        <f t="shared" si="17"/>
        <v>92</v>
      </c>
      <c r="E107" s="59">
        <v>3.25</v>
      </c>
      <c r="F107" s="60">
        <f>F$68+G$93-SUM(H$90:H106)-SUM(I$90:I106)</f>
        <v>205599.4304673743</v>
      </c>
      <c r="G107" s="365">
        <f t="shared" si="18"/>
        <v>1684.225471499861</v>
      </c>
      <c r="H107" s="365">
        <f t="shared" si="14"/>
        <v>24143.9575</v>
      </c>
      <c r="I107" s="366">
        <f t="shared" si="15"/>
        <v>10122.614244562395</v>
      </c>
      <c r="J107" s="367"/>
      <c r="K107" s="21"/>
      <c r="L107" s="21"/>
    </row>
    <row r="108" spans="1:12" x14ac:dyDescent="0.2">
      <c r="A108" s="368" t="s">
        <v>43</v>
      </c>
      <c r="B108" s="369">
        <f t="shared" si="16"/>
        <v>40544</v>
      </c>
      <c r="C108" s="369">
        <v>40633</v>
      </c>
      <c r="D108" s="370">
        <f t="shared" si="17"/>
        <v>90</v>
      </c>
      <c r="E108" s="49">
        <v>3.25</v>
      </c>
      <c r="F108" s="371">
        <f>F$68+G$93-SUM(H$90:H107)-SUM(I$90:I107)</f>
        <v>171332.85872281188</v>
      </c>
      <c r="G108" s="396">
        <f t="shared" si="18"/>
        <v>1373.0098952444514</v>
      </c>
      <c r="H108" s="352">
        <f t="shared" si="14"/>
        <v>24143.9575</v>
      </c>
      <c r="I108" s="353">
        <f t="shared" si="15"/>
        <v>10122.614244562395</v>
      </c>
      <c r="J108" s="169"/>
    </row>
    <row r="109" spans="1:12" x14ac:dyDescent="0.2">
      <c r="A109" s="359" t="s">
        <v>44</v>
      </c>
      <c r="B109" s="71">
        <f>C108+1</f>
        <v>40634</v>
      </c>
      <c r="C109" s="71">
        <v>40724</v>
      </c>
      <c r="D109" s="49">
        <f>+C109-B109+1</f>
        <v>91</v>
      </c>
      <c r="E109" s="49">
        <v>3.25</v>
      </c>
      <c r="F109" s="50">
        <f>F$68+G$93-SUM(H$90:H108)-SUM(I$90:I108)</f>
        <v>137066.28697824947</v>
      </c>
      <c r="G109" s="352">
        <f>+D109/365*E109/100*F109</f>
        <v>1110.6124485977336</v>
      </c>
      <c r="H109" s="352">
        <f>F$68/20</f>
        <v>24143.9575</v>
      </c>
      <c r="I109" s="353">
        <f>G$93/20</f>
        <v>10122.614244562395</v>
      </c>
      <c r="J109" s="169"/>
    </row>
    <row r="110" spans="1:12" x14ac:dyDescent="0.2">
      <c r="A110" s="359" t="s">
        <v>45</v>
      </c>
      <c r="B110" s="71">
        <f>C109+1</f>
        <v>40725</v>
      </c>
      <c r="C110" s="71">
        <v>40816</v>
      </c>
      <c r="D110" s="49">
        <f>+C110-B110+1</f>
        <v>92</v>
      </c>
      <c r="E110" s="49">
        <v>3.25</v>
      </c>
      <c r="F110" s="50">
        <f>F$68+G$93-SUM(H$90:H109)-SUM(I$90:I109)</f>
        <v>102799.71523368705</v>
      </c>
      <c r="G110" s="352">
        <f>+D110/365*E110/100*F110</f>
        <v>842.11273574992958</v>
      </c>
      <c r="H110" s="352">
        <f>F$68/20</f>
        <v>24143.9575</v>
      </c>
      <c r="I110" s="353">
        <f>G$93/20</f>
        <v>10122.614244562395</v>
      </c>
      <c r="J110" s="169"/>
    </row>
    <row r="111" spans="1:12" x14ac:dyDescent="0.2">
      <c r="A111" s="359" t="s">
        <v>32</v>
      </c>
      <c r="B111" s="71">
        <f>C110+1</f>
        <v>40817</v>
      </c>
      <c r="C111" s="71">
        <v>40908</v>
      </c>
      <c r="D111" s="49">
        <f>+C111-B111+1</f>
        <v>92</v>
      </c>
      <c r="E111" s="49">
        <v>3.25</v>
      </c>
      <c r="F111" s="50">
        <f>F$68+G$93-SUM(H$90:H110)-SUM(I$90:I110)</f>
        <v>68533.143489124632</v>
      </c>
      <c r="G111" s="352">
        <f>+D111/365*E111/100*F111</f>
        <v>561.40849049995256</v>
      </c>
      <c r="H111" s="352">
        <f>F$68/20</f>
        <v>24143.9575</v>
      </c>
      <c r="I111" s="353">
        <f>G$93/20</f>
        <v>10122.614244562395</v>
      </c>
      <c r="J111" s="169"/>
    </row>
    <row r="112" spans="1:12" x14ac:dyDescent="0.2">
      <c r="A112" s="364" t="s">
        <v>38</v>
      </c>
      <c r="B112" s="64">
        <f>C111+1</f>
        <v>40909</v>
      </c>
      <c r="C112" s="64">
        <v>40999</v>
      </c>
      <c r="D112" s="59">
        <f>+C112-B112+1</f>
        <v>91</v>
      </c>
      <c r="E112" s="59">
        <v>3.25</v>
      </c>
      <c r="F112" s="60">
        <f>F$68+G$93-SUM(H$90:H111)-SUM(I$90:I111)</f>
        <v>34266.571744562214</v>
      </c>
      <c r="G112" s="365">
        <f>+D112/365*E112/100*F112</f>
        <v>277.65311214943216</v>
      </c>
      <c r="H112" s="365">
        <f>F$68/20</f>
        <v>24143.9575</v>
      </c>
      <c r="I112" s="366">
        <f>G$93/20</f>
        <v>10122.614244562395</v>
      </c>
      <c r="J112" s="367"/>
    </row>
    <row r="113" spans="1:10" x14ac:dyDescent="0.2">
      <c r="G113" s="97"/>
      <c r="H113" s="97"/>
      <c r="I113" s="97"/>
    </row>
    <row r="114" spans="1:10" x14ac:dyDescent="0.2">
      <c r="A114" s="534" t="s">
        <v>210</v>
      </c>
      <c r="B114" s="535"/>
      <c r="C114" s="535"/>
      <c r="D114" s="535"/>
      <c r="E114" s="535"/>
      <c r="F114" s="535"/>
      <c r="G114" s="535"/>
      <c r="H114" s="535"/>
      <c r="I114" s="535"/>
      <c r="J114" s="536"/>
    </row>
    <row r="115" spans="1:10" x14ac:dyDescent="0.2">
      <c r="A115" s="2" t="s">
        <v>7</v>
      </c>
      <c r="B115" s="2" t="s">
        <v>8</v>
      </c>
      <c r="C115" s="2" t="s">
        <v>9</v>
      </c>
      <c r="D115" s="2" t="s">
        <v>10</v>
      </c>
      <c r="E115" s="2" t="s">
        <v>11</v>
      </c>
      <c r="F115" s="2" t="s">
        <v>12</v>
      </c>
      <c r="G115" s="2" t="s">
        <v>13</v>
      </c>
      <c r="H115" s="2"/>
      <c r="I115" s="2"/>
      <c r="J115" s="2" t="s">
        <v>14</v>
      </c>
    </row>
    <row r="116" spans="1:10" ht="51" x14ac:dyDescent="0.2">
      <c r="A116" s="6" t="s">
        <v>15</v>
      </c>
      <c r="B116" s="6" t="s">
        <v>16</v>
      </c>
      <c r="C116" s="6" t="s">
        <v>17</v>
      </c>
      <c r="D116" s="6" t="s">
        <v>18</v>
      </c>
      <c r="E116" s="6" t="s">
        <v>19</v>
      </c>
      <c r="F116" s="6" t="s">
        <v>20</v>
      </c>
      <c r="G116" s="6" t="s">
        <v>49</v>
      </c>
      <c r="H116" s="6" t="s">
        <v>22</v>
      </c>
      <c r="I116" s="6" t="s">
        <v>50</v>
      </c>
      <c r="J116" s="6" t="s">
        <v>21</v>
      </c>
    </row>
    <row r="117" spans="1:10" x14ac:dyDescent="0.2">
      <c r="A117" s="381" t="s">
        <v>192</v>
      </c>
      <c r="B117" s="382">
        <f>B4</f>
        <v>36945</v>
      </c>
      <c r="C117" s="382">
        <v>37072</v>
      </c>
      <c r="D117" s="343">
        <f t="shared" ref="D117:D128" si="19">+C117-B117+1</f>
        <v>128</v>
      </c>
      <c r="E117" s="383">
        <v>9.02</v>
      </c>
      <c r="F117" s="384">
        <f>E4</f>
        <v>0</v>
      </c>
      <c r="G117" s="385">
        <f t="shared" ref="G117:G124" si="20">+D117/365*E117/100*F117</f>
        <v>0</v>
      </c>
      <c r="H117" s="385"/>
      <c r="I117" s="386"/>
      <c r="J117" s="348">
        <f>+F117+G117</f>
        <v>0</v>
      </c>
    </row>
    <row r="118" spans="1:10" x14ac:dyDescent="0.2">
      <c r="A118" s="350" t="s">
        <v>193</v>
      </c>
      <c r="B118" s="387">
        <f t="shared" ref="B118:B138" si="21">C117+1</f>
        <v>37073</v>
      </c>
      <c r="C118" s="387">
        <v>37164</v>
      </c>
      <c r="D118" s="49">
        <f t="shared" si="19"/>
        <v>92</v>
      </c>
      <c r="E118" s="388">
        <v>7.79</v>
      </c>
      <c r="F118" s="389">
        <f>J117</f>
        <v>0</v>
      </c>
      <c r="G118" s="390">
        <f t="shared" si="20"/>
        <v>0</v>
      </c>
      <c r="H118" s="390"/>
      <c r="I118" s="391"/>
      <c r="J118" s="354">
        <f t="shared" ref="J118:J140" si="22">+F118+G118</f>
        <v>0</v>
      </c>
    </row>
    <row r="119" spans="1:10" x14ac:dyDescent="0.2">
      <c r="A119" s="350" t="s">
        <v>194</v>
      </c>
      <c r="B119" s="387">
        <f t="shared" si="21"/>
        <v>37165</v>
      </c>
      <c r="C119" s="387">
        <v>37256</v>
      </c>
      <c r="D119" s="49">
        <f t="shared" si="19"/>
        <v>92</v>
      </c>
      <c r="E119" s="388">
        <v>6.8</v>
      </c>
      <c r="F119" s="389">
        <f t="shared" ref="F119:F138" si="23">J118</f>
        <v>0</v>
      </c>
      <c r="G119" s="390">
        <f t="shared" si="20"/>
        <v>0</v>
      </c>
      <c r="H119" s="390"/>
      <c r="I119" s="391"/>
      <c r="J119" s="354">
        <f t="shared" si="22"/>
        <v>0</v>
      </c>
    </row>
    <row r="120" spans="1:10" x14ac:dyDescent="0.2">
      <c r="A120" s="350" t="s">
        <v>195</v>
      </c>
      <c r="B120" s="387">
        <f t="shared" si="21"/>
        <v>37257</v>
      </c>
      <c r="C120" s="387">
        <v>37346</v>
      </c>
      <c r="D120" s="49">
        <f t="shared" si="19"/>
        <v>90</v>
      </c>
      <c r="E120" s="388">
        <v>5.64</v>
      </c>
      <c r="F120" s="389">
        <f t="shared" si="23"/>
        <v>0</v>
      </c>
      <c r="G120" s="390">
        <f t="shared" si="20"/>
        <v>0</v>
      </c>
      <c r="H120" s="390"/>
      <c r="I120" s="391"/>
      <c r="J120" s="354">
        <f t="shared" si="22"/>
        <v>0</v>
      </c>
    </row>
    <row r="121" spans="1:10" x14ac:dyDescent="0.2">
      <c r="A121" s="350" t="s">
        <v>196</v>
      </c>
      <c r="B121" s="387">
        <f t="shared" si="21"/>
        <v>37347</v>
      </c>
      <c r="C121" s="387">
        <v>37437</v>
      </c>
      <c r="D121" s="49">
        <f t="shared" si="19"/>
        <v>91</v>
      </c>
      <c r="E121" s="388">
        <v>4.78</v>
      </c>
      <c r="F121" s="389">
        <f t="shared" si="23"/>
        <v>0</v>
      </c>
      <c r="G121" s="390">
        <f t="shared" si="20"/>
        <v>0</v>
      </c>
      <c r="H121" s="390"/>
      <c r="I121" s="391"/>
      <c r="J121" s="354">
        <f t="shared" si="22"/>
        <v>0</v>
      </c>
    </row>
    <row r="122" spans="1:10" x14ac:dyDescent="0.2">
      <c r="A122" s="350" t="s">
        <v>197</v>
      </c>
      <c r="B122" s="387">
        <f t="shared" si="21"/>
        <v>37438</v>
      </c>
      <c r="C122" s="387">
        <v>37529</v>
      </c>
      <c r="D122" s="49">
        <f t="shared" si="19"/>
        <v>92</v>
      </c>
      <c r="E122" s="388">
        <v>4.75</v>
      </c>
      <c r="F122" s="389">
        <f t="shared" si="23"/>
        <v>0</v>
      </c>
      <c r="G122" s="390">
        <f t="shared" si="20"/>
        <v>0</v>
      </c>
      <c r="H122" s="390"/>
      <c r="I122" s="391"/>
      <c r="J122" s="354">
        <f t="shared" si="22"/>
        <v>0</v>
      </c>
    </row>
    <row r="123" spans="1:10" x14ac:dyDescent="0.2">
      <c r="A123" s="350" t="s">
        <v>198</v>
      </c>
      <c r="B123" s="387">
        <f t="shared" si="21"/>
        <v>37530</v>
      </c>
      <c r="C123" s="387">
        <v>37621</v>
      </c>
      <c r="D123" s="49">
        <f t="shared" si="19"/>
        <v>92</v>
      </c>
      <c r="E123" s="388">
        <v>4.75</v>
      </c>
      <c r="F123" s="389">
        <f t="shared" si="23"/>
        <v>0</v>
      </c>
      <c r="G123" s="390">
        <f t="shared" si="20"/>
        <v>0</v>
      </c>
      <c r="H123" s="390"/>
      <c r="I123" s="391"/>
      <c r="J123" s="354">
        <f t="shared" si="22"/>
        <v>0</v>
      </c>
    </row>
    <row r="124" spans="1:10" x14ac:dyDescent="0.2">
      <c r="A124" s="350" t="s">
        <v>199</v>
      </c>
      <c r="B124" s="387">
        <f t="shared" si="21"/>
        <v>37622</v>
      </c>
      <c r="C124" s="387">
        <v>37711</v>
      </c>
      <c r="D124" s="49">
        <f t="shared" si="19"/>
        <v>90</v>
      </c>
      <c r="E124" s="388">
        <v>4.62</v>
      </c>
      <c r="F124" s="389">
        <f t="shared" si="23"/>
        <v>0</v>
      </c>
      <c r="G124" s="390">
        <f t="shared" si="20"/>
        <v>0</v>
      </c>
      <c r="H124" s="390"/>
      <c r="I124" s="391"/>
      <c r="J124" s="354">
        <f t="shared" si="22"/>
        <v>0</v>
      </c>
    </row>
    <row r="125" spans="1:10" x14ac:dyDescent="0.2">
      <c r="A125" s="350" t="s">
        <v>200</v>
      </c>
      <c r="B125" s="387">
        <f t="shared" si="21"/>
        <v>37712</v>
      </c>
      <c r="C125" s="71">
        <v>37802</v>
      </c>
      <c r="D125" s="49">
        <f t="shared" si="19"/>
        <v>91</v>
      </c>
      <c r="E125" s="351">
        <v>4.25</v>
      </c>
      <c r="F125" s="389">
        <f t="shared" si="23"/>
        <v>0</v>
      </c>
      <c r="G125" s="390">
        <f>+D125/365*E125/100*F125</f>
        <v>0</v>
      </c>
      <c r="H125" s="390"/>
      <c r="I125" s="391"/>
      <c r="J125" s="354">
        <f t="shared" si="22"/>
        <v>0</v>
      </c>
    </row>
    <row r="126" spans="1:10" x14ac:dyDescent="0.2">
      <c r="A126" s="350" t="s">
        <v>201</v>
      </c>
      <c r="B126" s="387">
        <f t="shared" si="21"/>
        <v>37803</v>
      </c>
      <c r="C126" s="71">
        <v>37894</v>
      </c>
      <c r="D126" s="49">
        <f t="shared" si="19"/>
        <v>92</v>
      </c>
      <c r="E126" s="351">
        <v>4.25</v>
      </c>
      <c r="F126" s="389">
        <f t="shared" si="23"/>
        <v>0</v>
      </c>
      <c r="G126" s="390">
        <f>+D126/365*E126/100*F126</f>
        <v>0</v>
      </c>
      <c r="H126" s="390"/>
      <c r="I126" s="391"/>
      <c r="J126" s="354">
        <f t="shared" si="22"/>
        <v>0</v>
      </c>
    </row>
    <row r="127" spans="1:10" x14ac:dyDescent="0.2">
      <c r="A127" s="350" t="s">
        <v>202</v>
      </c>
      <c r="B127" s="387">
        <f t="shared" si="21"/>
        <v>37895</v>
      </c>
      <c r="C127" s="71">
        <v>37986</v>
      </c>
      <c r="D127" s="49">
        <f t="shared" si="19"/>
        <v>92</v>
      </c>
      <c r="E127" s="351">
        <v>4.07</v>
      </c>
      <c r="F127" s="389">
        <f t="shared" si="23"/>
        <v>0</v>
      </c>
      <c r="G127" s="390">
        <f>+D127/365*E127/100*F127</f>
        <v>0</v>
      </c>
      <c r="H127" s="390"/>
      <c r="I127" s="391"/>
      <c r="J127" s="354">
        <f t="shared" si="22"/>
        <v>0</v>
      </c>
    </row>
    <row r="128" spans="1:10" x14ac:dyDescent="0.2">
      <c r="A128" s="350" t="s">
        <v>203</v>
      </c>
      <c r="B128" s="387">
        <f t="shared" si="21"/>
        <v>37987</v>
      </c>
      <c r="C128" s="71">
        <v>38077</v>
      </c>
      <c r="D128" s="49">
        <f t="shared" si="19"/>
        <v>91</v>
      </c>
      <c r="E128" s="351">
        <v>4</v>
      </c>
      <c r="F128" s="389">
        <f t="shared" si="23"/>
        <v>0</v>
      </c>
      <c r="G128" s="390">
        <f>+D128/366*E128/100*F128</f>
        <v>0</v>
      </c>
      <c r="H128" s="390"/>
      <c r="I128" s="391"/>
      <c r="J128" s="354">
        <f t="shared" si="22"/>
        <v>0</v>
      </c>
    </row>
    <row r="129" spans="1:10" x14ac:dyDescent="0.2">
      <c r="A129" s="350" t="s">
        <v>204</v>
      </c>
      <c r="B129" s="387">
        <f t="shared" si="21"/>
        <v>38078</v>
      </c>
      <c r="C129" s="71">
        <v>38168</v>
      </c>
      <c r="D129" s="49">
        <f>+C129-B129+1</f>
        <v>91</v>
      </c>
      <c r="E129" s="351">
        <v>4</v>
      </c>
      <c r="F129" s="389">
        <f t="shared" si="23"/>
        <v>0</v>
      </c>
      <c r="G129" s="390">
        <f>+D129/366*E129/100*F129</f>
        <v>0</v>
      </c>
      <c r="H129" s="390"/>
      <c r="I129" s="391"/>
      <c r="J129" s="354">
        <f t="shared" si="22"/>
        <v>0</v>
      </c>
    </row>
    <row r="130" spans="1:10" x14ac:dyDescent="0.2">
      <c r="A130" s="350" t="s">
        <v>205</v>
      </c>
      <c r="B130" s="387">
        <f t="shared" si="21"/>
        <v>38169</v>
      </c>
      <c r="C130" s="71">
        <v>38260</v>
      </c>
      <c r="D130" s="49">
        <f t="shared" ref="D130:D135" si="24">+C130-B130+1</f>
        <v>92</v>
      </c>
      <c r="E130" s="351">
        <v>4</v>
      </c>
      <c r="F130" s="389">
        <f t="shared" si="23"/>
        <v>0</v>
      </c>
      <c r="G130" s="390">
        <f>+D130/366*E130/100*F130</f>
        <v>0</v>
      </c>
      <c r="H130" s="390"/>
      <c r="I130" s="391"/>
      <c r="J130" s="354">
        <f t="shared" si="22"/>
        <v>0</v>
      </c>
    </row>
    <row r="131" spans="1:10" x14ac:dyDescent="0.2">
      <c r="A131" s="350" t="s">
        <v>206</v>
      </c>
      <c r="B131" s="387">
        <f t="shared" si="21"/>
        <v>38261</v>
      </c>
      <c r="C131" s="71">
        <v>38352</v>
      </c>
      <c r="D131" s="49">
        <f t="shared" si="24"/>
        <v>92</v>
      </c>
      <c r="E131" s="351">
        <v>4.22</v>
      </c>
      <c r="F131" s="389">
        <f t="shared" si="23"/>
        <v>0</v>
      </c>
      <c r="G131" s="390">
        <f>+D131/366*E131/100*F131</f>
        <v>0</v>
      </c>
      <c r="H131" s="390"/>
      <c r="I131" s="391"/>
      <c r="J131" s="354">
        <f t="shared" si="22"/>
        <v>0</v>
      </c>
    </row>
    <row r="132" spans="1:10" x14ac:dyDescent="0.2">
      <c r="A132" s="350" t="s">
        <v>207</v>
      </c>
      <c r="B132" s="387">
        <f t="shared" si="21"/>
        <v>38353</v>
      </c>
      <c r="C132" s="71">
        <v>38442</v>
      </c>
      <c r="D132" s="49">
        <f t="shared" si="24"/>
        <v>90</v>
      </c>
      <c r="E132" s="351">
        <v>4.75</v>
      </c>
      <c r="F132" s="389">
        <f t="shared" si="23"/>
        <v>0</v>
      </c>
      <c r="G132" s="390">
        <f t="shared" ref="G132:G138" si="25">+D132/365*E132/100*F132</f>
        <v>0</v>
      </c>
      <c r="H132" s="390"/>
      <c r="I132" s="391"/>
      <c r="J132" s="354">
        <f t="shared" si="22"/>
        <v>0</v>
      </c>
    </row>
    <row r="133" spans="1:10" x14ac:dyDescent="0.2">
      <c r="A133" s="350" t="s">
        <v>208</v>
      </c>
      <c r="B133" s="387">
        <f t="shared" si="21"/>
        <v>38443</v>
      </c>
      <c r="C133" s="71">
        <v>38533</v>
      </c>
      <c r="D133" s="49">
        <f t="shared" si="24"/>
        <v>91</v>
      </c>
      <c r="E133" s="351">
        <v>5.3</v>
      </c>
      <c r="F133" s="389">
        <f t="shared" si="23"/>
        <v>0</v>
      </c>
      <c r="G133" s="390">
        <f t="shared" si="25"/>
        <v>0</v>
      </c>
      <c r="H133" s="390"/>
      <c r="I133" s="391"/>
      <c r="J133" s="354">
        <f t="shared" si="22"/>
        <v>0</v>
      </c>
    </row>
    <row r="134" spans="1:10" x14ac:dyDescent="0.2">
      <c r="A134" s="350" t="s">
        <v>209</v>
      </c>
      <c r="B134" s="387">
        <f t="shared" si="21"/>
        <v>38534</v>
      </c>
      <c r="C134" s="71">
        <v>38625</v>
      </c>
      <c r="D134" s="49">
        <f t="shared" si="24"/>
        <v>92</v>
      </c>
      <c r="E134" s="351">
        <v>5.77</v>
      </c>
      <c r="F134" s="389">
        <f t="shared" si="23"/>
        <v>0</v>
      </c>
      <c r="G134" s="390">
        <f t="shared" si="25"/>
        <v>0</v>
      </c>
      <c r="H134" s="390"/>
      <c r="I134" s="391"/>
      <c r="J134" s="354">
        <f t="shared" si="22"/>
        <v>0</v>
      </c>
    </row>
    <row r="135" spans="1:10" x14ac:dyDescent="0.2">
      <c r="A135" s="350" t="s">
        <v>181</v>
      </c>
      <c r="B135" s="387">
        <f t="shared" si="21"/>
        <v>38626</v>
      </c>
      <c r="C135" s="71">
        <v>38717</v>
      </c>
      <c r="D135" s="49">
        <f t="shared" si="24"/>
        <v>92</v>
      </c>
      <c r="E135" s="351">
        <v>6.23</v>
      </c>
      <c r="F135" s="389">
        <f t="shared" si="23"/>
        <v>0</v>
      </c>
      <c r="G135" s="390">
        <f t="shared" si="25"/>
        <v>0</v>
      </c>
      <c r="H135" s="390"/>
      <c r="I135" s="391"/>
      <c r="J135" s="354">
        <f t="shared" si="22"/>
        <v>0</v>
      </c>
    </row>
    <row r="136" spans="1:10" x14ac:dyDescent="0.2">
      <c r="A136" s="350" t="s">
        <v>182</v>
      </c>
      <c r="B136" s="387">
        <f t="shared" si="21"/>
        <v>38718</v>
      </c>
      <c r="C136" s="71">
        <v>38807</v>
      </c>
      <c r="D136" s="49">
        <f>+C136-B136+1</f>
        <v>90</v>
      </c>
      <c r="E136" s="351">
        <v>6.78</v>
      </c>
      <c r="F136" s="389">
        <f t="shared" si="23"/>
        <v>0</v>
      </c>
      <c r="G136" s="390">
        <f t="shared" si="25"/>
        <v>0</v>
      </c>
      <c r="H136" s="390"/>
      <c r="I136" s="391"/>
      <c r="J136" s="354">
        <f t="shared" si="22"/>
        <v>0</v>
      </c>
    </row>
    <row r="137" spans="1:10" x14ac:dyDescent="0.2">
      <c r="A137" s="350" t="s">
        <v>183</v>
      </c>
      <c r="B137" s="387">
        <f t="shared" si="21"/>
        <v>38808</v>
      </c>
      <c r="C137" s="71">
        <v>38898</v>
      </c>
      <c r="D137" s="49">
        <f>+C137-B137+1</f>
        <v>91</v>
      </c>
      <c r="E137" s="351">
        <v>7.3</v>
      </c>
      <c r="F137" s="389">
        <f t="shared" si="23"/>
        <v>0</v>
      </c>
      <c r="G137" s="390">
        <f t="shared" si="25"/>
        <v>0</v>
      </c>
      <c r="H137" s="390"/>
      <c r="I137" s="391"/>
      <c r="J137" s="354">
        <f t="shared" si="22"/>
        <v>0</v>
      </c>
    </row>
    <row r="138" spans="1:10" x14ac:dyDescent="0.2">
      <c r="A138" s="350" t="s">
        <v>184</v>
      </c>
      <c r="B138" s="387">
        <f t="shared" si="21"/>
        <v>38899</v>
      </c>
      <c r="C138" s="71">
        <v>38990</v>
      </c>
      <c r="D138" s="49">
        <f>+C138-B138+1</f>
        <v>92</v>
      </c>
      <c r="E138" s="351">
        <v>7.74</v>
      </c>
      <c r="F138" s="389">
        <f t="shared" si="23"/>
        <v>0</v>
      </c>
      <c r="G138" s="390">
        <f t="shared" si="25"/>
        <v>0</v>
      </c>
      <c r="H138" s="46"/>
      <c r="I138" s="355"/>
      <c r="J138" s="354">
        <f t="shared" si="22"/>
        <v>0</v>
      </c>
    </row>
    <row r="139" spans="1:10" x14ac:dyDescent="0.2">
      <c r="A139" s="350" t="s">
        <v>185</v>
      </c>
      <c r="B139" s="387">
        <f>C138+1</f>
        <v>38991</v>
      </c>
      <c r="C139" s="71">
        <v>39082</v>
      </c>
      <c r="D139" s="49">
        <f>+C139-B139+1</f>
        <v>92</v>
      </c>
      <c r="E139" s="351">
        <v>8.17</v>
      </c>
      <c r="F139" s="389">
        <f>J138</f>
        <v>0</v>
      </c>
      <c r="G139" s="390">
        <f>+D139/365*E139/100*F139</f>
        <v>0</v>
      </c>
      <c r="H139" s="352"/>
      <c r="I139" s="353"/>
      <c r="J139" s="354">
        <f t="shared" si="22"/>
        <v>0</v>
      </c>
    </row>
    <row r="140" spans="1:10" x14ac:dyDescent="0.2">
      <c r="A140" s="350" t="s">
        <v>186</v>
      </c>
      <c r="B140" s="387">
        <f>C139+1</f>
        <v>39083</v>
      </c>
      <c r="C140" s="71">
        <v>39172</v>
      </c>
      <c r="D140" s="49">
        <f>+C140-B140+1</f>
        <v>90</v>
      </c>
      <c r="E140" s="351">
        <v>8.25</v>
      </c>
      <c r="F140" s="389">
        <f>J139</f>
        <v>0</v>
      </c>
      <c r="G140" s="390">
        <f>+D140/365*E140/100*F140</f>
        <v>0</v>
      </c>
      <c r="H140" s="352">
        <f>F$117/20*5</f>
        <v>0</v>
      </c>
      <c r="I140" s="353">
        <f>G$141/20*5</f>
        <v>0</v>
      </c>
      <c r="J140" s="354">
        <f t="shared" si="22"/>
        <v>0</v>
      </c>
    </row>
    <row r="141" spans="1:10" x14ac:dyDescent="0.2">
      <c r="A141" s="392"/>
      <c r="B141" s="393"/>
      <c r="C141" s="393"/>
      <c r="D141" s="394"/>
      <c r="E141" s="529" t="s">
        <v>51</v>
      </c>
      <c r="F141" s="530"/>
      <c r="G141" s="356">
        <f>SUM(G117:G140)</f>
        <v>0</v>
      </c>
      <c r="H141" s="35"/>
      <c r="I141" s="395"/>
      <c r="J141" s="357"/>
    </row>
    <row r="142" spans="1:10" x14ac:dyDescent="0.2">
      <c r="A142" s="350" t="s">
        <v>187</v>
      </c>
      <c r="B142" s="71">
        <f>C140+1</f>
        <v>39173</v>
      </c>
      <c r="C142" s="71">
        <v>39263</v>
      </c>
      <c r="D142" s="49">
        <f>+C142-B142+1</f>
        <v>91</v>
      </c>
      <c r="E142" s="49">
        <v>8.25</v>
      </c>
      <c r="F142" s="50">
        <f>F$117+G$141-SUM(H$139:H141)-SUM(I$139:I141)</f>
        <v>0</v>
      </c>
      <c r="G142" s="352">
        <f>+D142/365*E142/100*F142</f>
        <v>0</v>
      </c>
      <c r="H142" s="352">
        <f t="shared" ref="H142:H156" si="26">F$117/20</f>
        <v>0</v>
      </c>
      <c r="I142" s="358">
        <f t="shared" ref="I142:I156" si="27">G$141/20</f>
        <v>0</v>
      </c>
      <c r="J142" s="47"/>
    </row>
    <row r="143" spans="1:10" x14ac:dyDescent="0.2">
      <c r="A143" s="350" t="s">
        <v>188</v>
      </c>
      <c r="B143" s="71">
        <f>C142+1</f>
        <v>39264</v>
      </c>
      <c r="C143" s="71">
        <v>39355</v>
      </c>
      <c r="D143" s="49">
        <f>+C143-B143+1</f>
        <v>92</v>
      </c>
      <c r="E143" s="49">
        <v>8.25</v>
      </c>
      <c r="F143" s="50">
        <f>F$117+G$141-SUM(H$139:H142)-SUM(I$139:I142)</f>
        <v>0</v>
      </c>
      <c r="G143" s="352">
        <f>+D143/365*E143/100*F143</f>
        <v>0</v>
      </c>
      <c r="H143" s="352">
        <f t="shared" si="26"/>
        <v>0</v>
      </c>
      <c r="I143" s="358">
        <f t="shared" si="27"/>
        <v>0</v>
      </c>
      <c r="J143" s="47"/>
    </row>
    <row r="144" spans="1:10" x14ac:dyDescent="0.2">
      <c r="A144" s="359" t="s">
        <v>189</v>
      </c>
      <c r="B144" s="71">
        <f>C143+1</f>
        <v>39356</v>
      </c>
      <c r="C144" s="71">
        <v>39447</v>
      </c>
      <c r="D144" s="49">
        <f>+C144-B144+1</f>
        <v>92</v>
      </c>
      <c r="E144" s="49">
        <v>8.25</v>
      </c>
      <c r="F144" s="50">
        <f>F$117+G$141-SUM(H$139:H143)-SUM(I$139:I143)</f>
        <v>0</v>
      </c>
      <c r="G144" s="352">
        <f>+D144/365*E144/100*F144</f>
        <v>0</v>
      </c>
      <c r="H144" s="352">
        <f t="shared" si="26"/>
        <v>0</v>
      </c>
      <c r="I144" s="358">
        <f t="shared" si="27"/>
        <v>0</v>
      </c>
      <c r="J144" s="47"/>
    </row>
    <row r="145" spans="1:12" s="42" customFormat="1" x14ac:dyDescent="0.2">
      <c r="A145" s="360" t="s">
        <v>190</v>
      </c>
      <c r="B145" s="43">
        <f t="shared" ref="B145:B157" si="28">C144+1</f>
        <v>39448</v>
      </c>
      <c r="C145" s="43">
        <v>39538</v>
      </c>
      <c r="D145" s="44">
        <f t="shared" ref="D145:D157" si="29">+C145-B145+1</f>
        <v>91</v>
      </c>
      <c r="E145" s="44">
        <v>8.1300000000000008</v>
      </c>
      <c r="F145" s="76">
        <f>F$117+G$141-SUM(H$139:H144)-SUM(I$139:I144)</f>
        <v>0</v>
      </c>
      <c r="G145" s="361">
        <f>+D145/366*E145/100*F145</f>
        <v>0</v>
      </c>
      <c r="H145" s="361">
        <f t="shared" si="26"/>
        <v>0</v>
      </c>
      <c r="I145" s="362">
        <f t="shared" si="27"/>
        <v>0</v>
      </c>
      <c r="K145" s="21"/>
      <c r="L145" s="21"/>
    </row>
    <row r="146" spans="1:12" s="42" customFormat="1" x14ac:dyDescent="0.2">
      <c r="A146" s="360" t="s">
        <v>34</v>
      </c>
      <c r="B146" s="43">
        <f t="shared" si="28"/>
        <v>39539</v>
      </c>
      <c r="C146" s="43">
        <v>39629</v>
      </c>
      <c r="D146" s="44">
        <f t="shared" si="29"/>
        <v>91</v>
      </c>
      <c r="E146" s="44">
        <v>8.1300000000000008</v>
      </c>
      <c r="F146" s="76">
        <f>F$117+G$141-SUM(H$139:H145)-SUM(I$139:I145)</f>
        <v>0</v>
      </c>
      <c r="G146" s="361">
        <f>+D146/366*E146/100*F146</f>
        <v>0</v>
      </c>
      <c r="H146" s="361">
        <f t="shared" si="26"/>
        <v>0</v>
      </c>
      <c r="I146" s="362">
        <f t="shared" si="27"/>
        <v>0</v>
      </c>
      <c r="K146" s="21"/>
      <c r="L146" s="21"/>
    </row>
    <row r="147" spans="1:12" s="42" customFormat="1" x14ac:dyDescent="0.2">
      <c r="A147" s="360" t="s">
        <v>35</v>
      </c>
      <c r="B147" s="43">
        <f t="shared" si="28"/>
        <v>39630</v>
      </c>
      <c r="C147" s="43">
        <v>39721</v>
      </c>
      <c r="D147" s="44">
        <f t="shared" si="29"/>
        <v>92</v>
      </c>
      <c r="E147" s="44">
        <v>8.1300000000000008</v>
      </c>
      <c r="F147" s="76">
        <f>F$117+G$141-SUM(H$139:H146)-SUM(I$139:I146)</f>
        <v>0</v>
      </c>
      <c r="G147" s="361">
        <f>+D147/366*E147/100*F147</f>
        <v>0</v>
      </c>
      <c r="H147" s="361">
        <f t="shared" si="26"/>
        <v>0</v>
      </c>
      <c r="I147" s="362">
        <f t="shared" si="27"/>
        <v>0</v>
      </c>
      <c r="K147" s="21"/>
      <c r="L147" s="21"/>
    </row>
    <row r="148" spans="1:12" s="42" customFormat="1" x14ac:dyDescent="0.2">
      <c r="A148" s="360" t="s">
        <v>29</v>
      </c>
      <c r="B148" s="43">
        <f t="shared" si="28"/>
        <v>39722</v>
      </c>
      <c r="C148" s="43">
        <v>39813</v>
      </c>
      <c r="D148" s="44">
        <f t="shared" si="29"/>
        <v>92</v>
      </c>
      <c r="E148" s="44">
        <v>8.1300000000000008</v>
      </c>
      <c r="F148" s="76">
        <f>F$117+G$141-SUM(H$139:H147)-SUM(I$139:I147)</f>
        <v>0</v>
      </c>
      <c r="G148" s="361">
        <f>+D148/366*E148/100*F148</f>
        <v>0</v>
      </c>
      <c r="H148" s="361">
        <f t="shared" si="26"/>
        <v>0</v>
      </c>
      <c r="I148" s="362">
        <f t="shared" si="27"/>
        <v>0</v>
      </c>
      <c r="K148" s="21"/>
      <c r="L148" s="21"/>
    </row>
    <row r="149" spans="1:12" ht="13.5" customHeight="1" x14ac:dyDescent="0.2">
      <c r="A149" s="359" t="s">
        <v>36</v>
      </c>
      <c r="B149" s="71">
        <f t="shared" si="28"/>
        <v>39814</v>
      </c>
      <c r="C149" s="71">
        <v>39903</v>
      </c>
      <c r="D149" s="49">
        <f t="shared" si="29"/>
        <v>90</v>
      </c>
      <c r="E149" s="49">
        <v>8.1300000000000008</v>
      </c>
      <c r="F149" s="50">
        <f>F$117+G$141-SUM(H$139:H148)-SUM(I$139:I148)</f>
        <v>0</v>
      </c>
      <c r="G149" s="352">
        <f t="shared" ref="G149:G157" si="30">+D149/365*E149/100*F149</f>
        <v>0</v>
      </c>
      <c r="H149" s="352">
        <f t="shared" si="26"/>
        <v>0</v>
      </c>
      <c r="I149" s="353">
        <f t="shared" si="27"/>
        <v>0</v>
      </c>
    </row>
    <row r="150" spans="1:12" x14ac:dyDescent="0.2">
      <c r="A150" s="359" t="s">
        <v>37</v>
      </c>
      <c r="B150" s="71">
        <f t="shared" si="28"/>
        <v>39904</v>
      </c>
      <c r="C150" s="71">
        <v>39994</v>
      </c>
      <c r="D150" s="49">
        <f t="shared" si="29"/>
        <v>91</v>
      </c>
      <c r="E150" s="49">
        <v>8.1300000000000008</v>
      </c>
      <c r="F150" s="50">
        <f>F$117+G$141-SUM(H$139:H149)-SUM(I$139:I149)</f>
        <v>0</v>
      </c>
      <c r="G150" s="352">
        <f t="shared" si="30"/>
        <v>0</v>
      </c>
      <c r="H150" s="352">
        <f t="shared" si="26"/>
        <v>0</v>
      </c>
      <c r="I150" s="353">
        <f t="shared" si="27"/>
        <v>0</v>
      </c>
    </row>
    <row r="151" spans="1:12" x14ac:dyDescent="0.2">
      <c r="A151" s="359" t="s">
        <v>39</v>
      </c>
      <c r="B151" s="71">
        <f t="shared" si="28"/>
        <v>39995</v>
      </c>
      <c r="C151" s="71">
        <v>40086</v>
      </c>
      <c r="D151" s="49">
        <f t="shared" si="29"/>
        <v>92</v>
      </c>
      <c r="E151" s="49">
        <v>8.1300000000000008</v>
      </c>
      <c r="F151" s="50">
        <f>F$117+G$141-SUM(H$139:H150)-SUM(I$139:I150)</f>
        <v>0</v>
      </c>
      <c r="G151" s="352">
        <f t="shared" si="30"/>
        <v>0</v>
      </c>
      <c r="H151" s="352">
        <f t="shared" si="26"/>
        <v>0</v>
      </c>
      <c r="I151" s="353">
        <f t="shared" si="27"/>
        <v>0</v>
      </c>
    </row>
    <row r="152" spans="1:12" x14ac:dyDescent="0.2">
      <c r="A152" s="359" t="s">
        <v>30</v>
      </c>
      <c r="B152" s="71">
        <f t="shared" si="28"/>
        <v>40087</v>
      </c>
      <c r="C152" s="71">
        <v>40178</v>
      </c>
      <c r="D152" s="49">
        <f t="shared" si="29"/>
        <v>92</v>
      </c>
      <c r="E152" s="49">
        <v>8.1300000000000008</v>
      </c>
      <c r="F152" s="50">
        <f>F$117+G$141-SUM(H$139:H151)-SUM(I$139:I151)</f>
        <v>0</v>
      </c>
      <c r="G152" s="352">
        <f t="shared" si="30"/>
        <v>0</v>
      </c>
      <c r="H152" s="352">
        <f t="shared" si="26"/>
        <v>0</v>
      </c>
      <c r="I152" s="353">
        <f t="shared" si="27"/>
        <v>0</v>
      </c>
    </row>
    <row r="153" spans="1:12" s="61" customFormat="1" x14ac:dyDescent="0.2">
      <c r="A153" s="364" t="s">
        <v>40</v>
      </c>
      <c r="B153" s="64">
        <f t="shared" si="28"/>
        <v>40179</v>
      </c>
      <c r="C153" s="64">
        <v>40268</v>
      </c>
      <c r="D153" s="59">
        <f t="shared" si="29"/>
        <v>90</v>
      </c>
      <c r="E153" s="59">
        <v>8.1300000000000008</v>
      </c>
      <c r="F153" s="60">
        <f>F$117+G$141-SUM(H$139:H152)-SUM(I$139:I152)</f>
        <v>0</v>
      </c>
      <c r="G153" s="365">
        <f t="shared" si="30"/>
        <v>0</v>
      </c>
      <c r="H153" s="365">
        <f t="shared" si="26"/>
        <v>0</v>
      </c>
      <c r="I153" s="366">
        <f t="shared" si="27"/>
        <v>0</v>
      </c>
      <c r="K153" s="21"/>
      <c r="L153" s="21"/>
    </row>
    <row r="154" spans="1:12" s="61" customFormat="1" x14ac:dyDescent="0.2">
      <c r="A154" s="364" t="s">
        <v>41</v>
      </c>
      <c r="B154" s="64">
        <f t="shared" si="28"/>
        <v>40269</v>
      </c>
      <c r="C154" s="64">
        <v>40359</v>
      </c>
      <c r="D154" s="59">
        <f t="shared" si="29"/>
        <v>91</v>
      </c>
      <c r="E154" s="59">
        <v>8.1300000000000008</v>
      </c>
      <c r="F154" s="60">
        <f>F$117+G$141-SUM(H$139:H153)-SUM(I$139:I153)</f>
        <v>0</v>
      </c>
      <c r="G154" s="365">
        <f t="shared" si="30"/>
        <v>0</v>
      </c>
      <c r="H154" s="365">
        <f t="shared" si="26"/>
        <v>0</v>
      </c>
      <c r="I154" s="366">
        <f t="shared" si="27"/>
        <v>0</v>
      </c>
      <c r="K154" s="21"/>
      <c r="L154" s="21"/>
    </row>
    <row r="155" spans="1:12" s="61" customFormat="1" x14ac:dyDescent="0.2">
      <c r="A155" s="364" t="s">
        <v>42</v>
      </c>
      <c r="B155" s="64">
        <f t="shared" si="28"/>
        <v>40360</v>
      </c>
      <c r="C155" s="64">
        <v>40451</v>
      </c>
      <c r="D155" s="59">
        <f t="shared" si="29"/>
        <v>92</v>
      </c>
      <c r="E155" s="59">
        <v>8.1300000000000008</v>
      </c>
      <c r="F155" s="60">
        <f>F$117+G$141-SUM(H$139:H154)-SUM(I$139:I154)</f>
        <v>0</v>
      </c>
      <c r="G155" s="365">
        <f t="shared" si="30"/>
        <v>0</v>
      </c>
      <c r="H155" s="365">
        <f t="shared" si="26"/>
        <v>0</v>
      </c>
      <c r="I155" s="366">
        <f t="shared" si="27"/>
        <v>0</v>
      </c>
      <c r="K155" s="21"/>
      <c r="L155" s="21"/>
    </row>
    <row r="156" spans="1:12" s="61" customFormat="1" x14ac:dyDescent="0.2">
      <c r="A156" s="364" t="s">
        <v>31</v>
      </c>
      <c r="B156" s="64">
        <f t="shared" si="28"/>
        <v>40452</v>
      </c>
      <c r="C156" s="64">
        <v>40543</v>
      </c>
      <c r="D156" s="59">
        <f t="shared" si="29"/>
        <v>92</v>
      </c>
      <c r="E156" s="59">
        <v>8.1300000000000008</v>
      </c>
      <c r="F156" s="60">
        <f>F$117+G$141-SUM(H$139:H155)-SUM(I$139:I155)</f>
        <v>0</v>
      </c>
      <c r="G156" s="365">
        <f t="shared" si="30"/>
        <v>0</v>
      </c>
      <c r="H156" s="365">
        <f t="shared" si="26"/>
        <v>0</v>
      </c>
      <c r="I156" s="366">
        <f t="shared" si="27"/>
        <v>0</v>
      </c>
      <c r="K156" s="21"/>
      <c r="L156" s="21"/>
    </row>
    <row r="157" spans="1:12" x14ac:dyDescent="0.2">
      <c r="A157" s="368" t="s">
        <v>43</v>
      </c>
      <c r="B157" s="369">
        <f t="shared" si="28"/>
        <v>40544</v>
      </c>
      <c r="C157" s="369">
        <v>40633</v>
      </c>
      <c r="D157" s="370">
        <f t="shared" si="29"/>
        <v>90</v>
      </c>
      <c r="E157" s="370">
        <v>8.1300000000000008</v>
      </c>
      <c r="F157" s="397">
        <f>F$117+G$141-SUM(H$139:H156)-SUM(I$139:I156)</f>
        <v>0</v>
      </c>
      <c r="G157" s="396">
        <f t="shared" si="30"/>
        <v>0</v>
      </c>
      <c r="H157" s="396">
        <v>0</v>
      </c>
      <c r="I157" s="398">
        <v>0</v>
      </c>
    </row>
  </sheetData>
  <mergeCells count="7">
    <mergeCell ref="E141:F141"/>
    <mergeCell ref="A31:B31"/>
    <mergeCell ref="A33:J33"/>
    <mergeCell ref="E43:F43"/>
    <mergeCell ref="A65:J65"/>
    <mergeCell ref="E93:F93"/>
    <mergeCell ref="A114:J114"/>
  </mergeCells>
  <pageMargins left="0.5" right="0.5" top="1" bottom="0.89" header="0.5" footer="0.5"/>
  <pageSetup scale="59" orientation="landscape" r:id="rId1"/>
  <headerFooter alignWithMargins="0">
    <oddHeader>&amp;RTO9 Annual Update
Attachment 4
WP Schedule 22
Page &amp;P of &amp;N</oddHeader>
    <oddFooter>&amp;C&amp;A</oddFooter>
  </headerFooter>
  <rowBreaks count="3" manualBreakCount="3">
    <brk id="31" max="16383" man="1"/>
    <brk id="64" max="16383" man="1"/>
    <brk id="11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 enableFormatConditionsCalculation="0">
    <tabColor theme="0" tint="-4.9989318521683403E-2"/>
  </sheetPr>
  <dimension ref="A1:I38"/>
  <sheetViews>
    <sheetView zoomScaleNormal="100" zoomScaleSheetLayoutView="85" workbookViewId="0">
      <selection sqref="A1:F1"/>
    </sheetView>
  </sheetViews>
  <sheetFormatPr defaultRowHeight="12.75" x14ac:dyDescent="0.2"/>
  <cols>
    <col min="1" max="1" width="41.28515625" style="425" bestFit="1" customWidth="1"/>
    <col min="2" max="2" width="14" style="425" bestFit="1" customWidth="1"/>
    <col min="3" max="3" width="14.5703125" style="425" bestFit="1" customWidth="1"/>
    <col min="4" max="5" width="14.5703125" style="414" bestFit="1" customWidth="1"/>
    <col min="6" max="6" width="15.5703125" style="414" customWidth="1"/>
    <col min="7" max="7" width="16.85546875" style="414" bestFit="1" customWidth="1"/>
    <col min="8" max="8" width="15.7109375" style="414" bestFit="1" customWidth="1"/>
    <col min="9" max="9" width="17.85546875" style="414" bestFit="1" customWidth="1"/>
    <col min="10" max="10" width="10.140625" bestFit="1" customWidth="1"/>
    <col min="11" max="12" width="14" bestFit="1" customWidth="1"/>
  </cols>
  <sheetData>
    <row r="1" spans="1:9" s="55" customFormat="1" ht="15.75" x14ac:dyDescent="0.25">
      <c r="A1" s="482" t="s">
        <v>175</v>
      </c>
      <c r="B1" s="483"/>
      <c r="C1" s="483"/>
      <c r="D1" s="483"/>
      <c r="E1" s="483"/>
      <c r="F1" s="483"/>
      <c r="G1" s="399"/>
      <c r="H1" s="399"/>
      <c r="I1" s="399"/>
    </row>
    <row r="2" spans="1:9" x14ac:dyDescent="0.2">
      <c r="A2" s="400"/>
      <c r="B2" s="401"/>
      <c r="C2" s="401"/>
      <c r="D2" s="402"/>
      <c r="E2" s="402"/>
      <c r="F2" s="402"/>
      <c r="G2" s="402"/>
      <c r="H2" s="402"/>
      <c r="I2" s="402"/>
    </row>
    <row r="3" spans="1:9" x14ac:dyDescent="0.2">
      <c r="A3" s="403"/>
      <c r="B3" s="404"/>
      <c r="C3" s="404"/>
      <c r="D3" s="405"/>
      <c r="E3" s="405"/>
      <c r="F3" s="405"/>
      <c r="G3" s="402"/>
      <c r="H3" s="402"/>
      <c r="I3" s="402"/>
    </row>
    <row r="4" spans="1:9" x14ac:dyDescent="0.2">
      <c r="A4" s="406" t="s">
        <v>59</v>
      </c>
      <c r="B4" s="407" t="s">
        <v>52</v>
      </c>
      <c r="C4" s="407" t="s">
        <v>53</v>
      </c>
      <c r="D4" s="408" t="s">
        <v>54</v>
      </c>
      <c r="E4" s="408" t="s">
        <v>55</v>
      </c>
      <c r="F4" s="408" t="s">
        <v>0</v>
      </c>
      <c r="G4" s="409" t="s">
        <v>57</v>
      </c>
      <c r="H4" s="410" t="s">
        <v>169</v>
      </c>
      <c r="I4" s="408" t="s">
        <v>56</v>
      </c>
    </row>
    <row r="5" spans="1:9" x14ac:dyDescent="0.2">
      <c r="A5" s="411" t="s">
        <v>2</v>
      </c>
      <c r="B5" s="404">
        <f>Mountainview!H62</f>
        <v>601481.94000000018</v>
      </c>
      <c r="C5" s="404">
        <v>0</v>
      </c>
      <c r="D5" s="404">
        <v>0</v>
      </c>
      <c r="E5" s="404">
        <v>0</v>
      </c>
      <c r="F5" s="405">
        <f>SUM(B5:E5)</f>
        <v>601481.94000000018</v>
      </c>
      <c r="G5" s="412">
        <f>Mountainview!C29</f>
        <v>12029638.800000003</v>
      </c>
      <c r="H5" s="413">
        <f>SUM(Mountainview!H41:H62)</f>
        <v>12029638.800000001</v>
      </c>
      <c r="I5" s="413">
        <f>G5-H5</f>
        <v>0</v>
      </c>
    </row>
    <row r="6" spans="1:9" x14ac:dyDescent="0.2">
      <c r="A6" s="411" t="s">
        <v>3</v>
      </c>
      <c r="B6" s="404">
        <f>Mountainview!G62+Mountainview!I62</f>
        <v>81203.112972628354</v>
      </c>
      <c r="C6" s="404">
        <v>0</v>
      </c>
      <c r="D6" s="404">
        <v>0</v>
      </c>
      <c r="E6" s="404">
        <v>0</v>
      </c>
      <c r="F6" s="405">
        <f>SUM(B6:E6)</f>
        <v>81203.112972628354</v>
      </c>
    </row>
    <row r="7" spans="1:9" x14ac:dyDescent="0.2">
      <c r="A7" s="411" t="s">
        <v>4</v>
      </c>
      <c r="B7" s="404">
        <f>SUM(Mountainview!G112+Mountainview!I112)+(Mountainview!G160+Mountainview!I160)</f>
        <v>10400.267356711827</v>
      </c>
      <c r="C7" s="404">
        <v>0</v>
      </c>
      <c r="D7" s="404">
        <v>0</v>
      </c>
      <c r="E7" s="404">
        <v>0</v>
      </c>
      <c r="F7" s="405">
        <f t="shared" ref="F7" si="0">SUM(B7:E7)</f>
        <v>10400.267356711827</v>
      </c>
    </row>
    <row r="8" spans="1:9" x14ac:dyDescent="0.2">
      <c r="A8" s="403"/>
      <c r="B8" s="404"/>
      <c r="C8" s="404"/>
      <c r="D8" s="405"/>
      <c r="E8" s="405"/>
      <c r="F8" s="405"/>
      <c r="G8" s="402"/>
      <c r="H8" s="402"/>
      <c r="I8" s="402"/>
    </row>
    <row r="9" spans="1:9" x14ac:dyDescent="0.2">
      <c r="A9" s="415" t="s">
        <v>174</v>
      </c>
      <c r="B9" s="407" t="s">
        <v>52</v>
      </c>
      <c r="C9" s="407" t="s">
        <v>53</v>
      </c>
      <c r="D9" s="408" t="s">
        <v>54</v>
      </c>
      <c r="E9" s="408" t="s">
        <v>55</v>
      </c>
      <c r="F9" s="408" t="s">
        <v>0</v>
      </c>
      <c r="G9" s="409" t="s">
        <v>57</v>
      </c>
      <c r="H9" s="408" t="s">
        <v>169</v>
      </c>
      <c r="I9" s="408" t="s">
        <v>56</v>
      </c>
    </row>
    <row r="10" spans="1:9" x14ac:dyDescent="0.2">
      <c r="A10" s="411" t="s">
        <v>2</v>
      </c>
      <c r="B10" s="404">
        <f>'Blythe I'!H45</f>
        <v>1209463.3553333331</v>
      </c>
      <c r="C10" s="404">
        <f>'Blythe I'!H46</f>
        <v>1209463.3553333331</v>
      </c>
      <c r="D10" s="405">
        <f>'Blythe I'!H47</f>
        <v>1482570.1553333332</v>
      </c>
      <c r="E10" s="405">
        <f>'Blythe I'!H48</f>
        <v>1182152.6753333332</v>
      </c>
      <c r="F10" s="405">
        <f>SUM(B10:E10)</f>
        <v>5083649.5413333327</v>
      </c>
      <c r="G10" s="412">
        <f>'Blythe I'!D29</f>
        <v>26452000</v>
      </c>
      <c r="H10" s="413">
        <f>SUM('Blythe I'!H38:H48)</f>
        <v>15812625.922000002</v>
      </c>
      <c r="I10" s="413">
        <f>G10-H10</f>
        <v>10639374.077999998</v>
      </c>
    </row>
    <row r="11" spans="1:9" x14ac:dyDescent="0.2">
      <c r="A11" s="411" t="s">
        <v>3</v>
      </c>
      <c r="B11" s="404">
        <f>'Blythe I'!G45</f>
        <v>127051.4818420173</v>
      </c>
      <c r="C11" s="404">
        <f>'Blythe I'!G46</f>
        <v>117278.29093109288</v>
      </c>
      <c r="D11" s="405">
        <f>'Blythe I'!G47</f>
        <v>108686.47474566483</v>
      </c>
      <c r="E11" s="405">
        <f>'Blythe I'!G48</f>
        <v>96574.767738979965</v>
      </c>
      <c r="F11" s="405">
        <f>SUM(B11:E11)</f>
        <v>449591.015257755</v>
      </c>
    </row>
    <row r="12" spans="1:9" x14ac:dyDescent="0.2">
      <c r="A12" s="411" t="s">
        <v>4</v>
      </c>
      <c r="B12" s="404">
        <f>'Blythe I'!G80+'Blythe I'!I80</f>
        <v>25.814558857881387</v>
      </c>
      <c r="C12" s="404">
        <f>'Blythe I'!G81+'Blythe I'!I81</f>
        <v>24.71173572800128</v>
      </c>
      <c r="D12" s="405">
        <f>'Blythe I'!G82+'Blythe I'!I82</f>
        <v>23.742220888546242</v>
      </c>
      <c r="E12" s="405">
        <f>'Blythe I'!G83+'Blythe I'!I83</f>
        <v>22.627278823172951</v>
      </c>
      <c r="F12" s="405">
        <f>SUM(B12:E12)</f>
        <v>96.895794297601867</v>
      </c>
    </row>
    <row r="13" spans="1:9" x14ac:dyDescent="0.2">
      <c r="A13" s="403"/>
      <c r="B13" s="404"/>
      <c r="C13" s="404"/>
      <c r="D13" s="405"/>
      <c r="E13" s="405"/>
      <c r="F13" s="416"/>
      <c r="G13" s="402"/>
      <c r="H13" s="402"/>
      <c r="I13" s="402"/>
    </row>
    <row r="14" spans="1:9" x14ac:dyDescent="0.2">
      <c r="A14" s="415" t="s">
        <v>173</v>
      </c>
      <c r="B14" s="407" t="s">
        <v>52</v>
      </c>
      <c r="C14" s="407" t="s">
        <v>53</v>
      </c>
      <c r="D14" s="408" t="s">
        <v>54</v>
      </c>
      <c r="E14" s="408" t="s">
        <v>55</v>
      </c>
      <c r="F14" s="408" t="s">
        <v>0</v>
      </c>
      <c r="G14" s="409" t="s">
        <v>57</v>
      </c>
      <c r="H14" s="408" t="s">
        <v>169</v>
      </c>
      <c r="I14" s="408" t="s">
        <v>56</v>
      </c>
    </row>
    <row r="15" spans="1:9" x14ac:dyDescent="0.2">
      <c r="A15" s="411" t="s">
        <v>2</v>
      </c>
      <c r="B15" s="404">
        <f>'Inland Empire Energy Center'!H26</f>
        <v>249200</v>
      </c>
      <c r="C15" s="404">
        <f>'Inland Empire Energy Center'!H27</f>
        <v>249200</v>
      </c>
      <c r="D15" s="405">
        <f>'Inland Empire Energy Center'!H28</f>
        <v>249200</v>
      </c>
      <c r="E15" s="405">
        <f>'Inland Empire Energy Center'!H29</f>
        <v>249200</v>
      </c>
      <c r="F15" s="405">
        <f>SUM(B15:E15)</f>
        <v>996800</v>
      </c>
      <c r="G15" s="412">
        <f>'Inland Empire Energy Center'!D9</f>
        <v>4984000</v>
      </c>
      <c r="H15" s="413">
        <f>SUM('Inland Empire Energy Center'!H16:H29)</f>
        <v>3488800</v>
      </c>
      <c r="I15" s="413">
        <f>G15-H15</f>
        <v>1495200</v>
      </c>
    </row>
    <row r="16" spans="1:9" x14ac:dyDescent="0.2">
      <c r="A16" s="411" t="s">
        <v>3</v>
      </c>
      <c r="B16" s="404">
        <f>'Inland Empire Energy Center'!G26</f>
        <v>20136.857923497268</v>
      </c>
      <c r="C16" s="404">
        <f>'Inland Empire Energy Center'!G27</f>
        <v>18123.172131147541</v>
      </c>
      <c r="D16" s="405">
        <f>'Inland Empire Energy Center'!G28</f>
        <v>16286.513661202187</v>
      </c>
      <c r="E16" s="405">
        <f>'Inland Empire Energy Center'!G29</f>
        <v>14250.699453551913</v>
      </c>
      <c r="F16" s="405">
        <f>SUM(B16:E16)</f>
        <v>68797.24316939892</v>
      </c>
    </row>
    <row r="17" spans="1:9" x14ac:dyDescent="0.2">
      <c r="A17" s="411" t="s">
        <v>4</v>
      </c>
      <c r="B17" s="404">
        <v>0</v>
      </c>
      <c r="C17" s="404">
        <v>0</v>
      </c>
      <c r="D17" s="405">
        <v>0</v>
      </c>
      <c r="E17" s="405">
        <v>0</v>
      </c>
      <c r="F17" s="405">
        <f>SUM(B17:E17)</f>
        <v>0</v>
      </c>
    </row>
    <row r="18" spans="1:9" x14ac:dyDescent="0.2">
      <c r="A18" s="403"/>
      <c r="B18" s="404"/>
      <c r="C18" s="404"/>
      <c r="D18" s="405"/>
      <c r="E18" s="405"/>
      <c r="F18" s="405"/>
      <c r="G18" s="402"/>
      <c r="H18" s="402"/>
      <c r="I18" s="402"/>
    </row>
    <row r="19" spans="1:9" x14ac:dyDescent="0.2">
      <c r="A19" s="406" t="s">
        <v>91</v>
      </c>
      <c r="B19" s="407" t="s">
        <v>52</v>
      </c>
      <c r="C19" s="407" t="s">
        <v>53</v>
      </c>
      <c r="D19" s="408" t="s">
        <v>54</v>
      </c>
      <c r="E19" s="408" t="s">
        <v>55</v>
      </c>
      <c r="F19" s="408" t="s">
        <v>0</v>
      </c>
      <c r="G19" s="409" t="s">
        <v>57</v>
      </c>
      <c r="H19" s="408" t="s">
        <v>169</v>
      </c>
      <c r="I19" s="408" t="s">
        <v>56</v>
      </c>
    </row>
    <row r="20" spans="1:9" s="38" customFormat="1" x14ac:dyDescent="0.2">
      <c r="A20" s="417" t="s">
        <v>2</v>
      </c>
      <c r="B20" s="405">
        <f>'Mountain View IV Project'!H10</f>
        <v>15000</v>
      </c>
      <c r="C20" s="405">
        <f>'Mountain View IV Project'!H11</f>
        <v>15000</v>
      </c>
      <c r="D20" s="405">
        <f>'Mountain View IV Project'!H12</f>
        <v>15000</v>
      </c>
      <c r="E20" s="405">
        <f>'Mountain View IV Project'!H13</f>
        <v>15000</v>
      </c>
      <c r="F20" s="405">
        <f>SUM(B20:E20)</f>
        <v>60000</v>
      </c>
      <c r="G20" s="412">
        <f>'Mountain View IV Project'!$D$3</f>
        <v>300000</v>
      </c>
      <c r="H20" s="413">
        <f>SUM('Mountain View IV Project'!H10:H13)</f>
        <v>60000</v>
      </c>
      <c r="I20" s="413">
        <f>G20-H20</f>
        <v>240000</v>
      </c>
    </row>
    <row r="21" spans="1:9" s="38" customFormat="1" x14ac:dyDescent="0.2">
      <c r="A21" s="417" t="s">
        <v>3</v>
      </c>
      <c r="B21" s="405">
        <f>'Mountain View IV Project'!G10</f>
        <v>1015.068493150685</v>
      </c>
      <c r="C21" s="405">
        <f>'Mountain View IV Project'!G11</f>
        <v>2309.2808219178082</v>
      </c>
      <c r="D21" s="405">
        <f>'Mountain View IV Project'!G12</f>
        <v>2211.7808219178082</v>
      </c>
      <c r="E21" s="405">
        <f>'Mountain View IV Project'!G13</f>
        <v>2088.9041095890411</v>
      </c>
      <c r="F21" s="405">
        <f>SUM(B21:E21)</f>
        <v>7625.034246575342</v>
      </c>
      <c r="G21" s="418"/>
      <c r="H21" s="418"/>
      <c r="I21" s="418"/>
    </row>
    <row r="22" spans="1:9" s="38" customFormat="1" x14ac:dyDescent="0.2">
      <c r="A22" s="417" t="s">
        <v>4</v>
      </c>
      <c r="B22" s="405">
        <f>'Mountain View IV Project'!G35</f>
        <v>23.684931506849317</v>
      </c>
      <c r="C22" s="405">
        <f>'Mountain View IV Project'!G36</f>
        <v>53.883219178082193</v>
      </c>
      <c r="D22" s="405">
        <f>'Mountain View IV Project'!G37</f>
        <v>51.608219178082194</v>
      </c>
      <c r="E22" s="405">
        <f>'Mountain View IV Project'!G38</f>
        <v>48.741095890410961</v>
      </c>
      <c r="F22" s="405">
        <f>SUM(B22:E22)</f>
        <v>177.91746575342466</v>
      </c>
      <c r="G22" s="418"/>
      <c r="H22" s="418"/>
      <c r="I22" s="418"/>
    </row>
    <row r="23" spans="1:9" x14ac:dyDescent="0.2">
      <c r="A23" s="403"/>
      <c r="B23" s="405"/>
      <c r="C23" s="405"/>
      <c r="D23" s="405"/>
      <c r="E23" s="405"/>
      <c r="F23" s="405"/>
      <c r="G23" s="402"/>
      <c r="H23" s="402"/>
      <c r="I23" s="402"/>
    </row>
    <row r="24" spans="1:9" x14ac:dyDescent="0.2">
      <c r="A24" s="419" t="s">
        <v>172</v>
      </c>
      <c r="B24" s="407" t="s">
        <v>52</v>
      </c>
      <c r="C24" s="407" t="s">
        <v>53</v>
      </c>
      <c r="D24" s="408" t="s">
        <v>54</v>
      </c>
      <c r="E24" s="408" t="s">
        <v>55</v>
      </c>
      <c r="F24" s="408" t="s">
        <v>0</v>
      </c>
      <c r="G24" s="409" t="s">
        <v>57</v>
      </c>
      <c r="H24" s="408" t="s">
        <v>169</v>
      </c>
      <c r="I24" s="408" t="s">
        <v>56</v>
      </c>
    </row>
    <row r="25" spans="1:9" x14ac:dyDescent="0.2">
      <c r="A25" s="417" t="s">
        <v>2</v>
      </c>
      <c r="B25" s="420">
        <f t="shared" ref="B25:E27" si="1">+B20+B15+B10+B5</f>
        <v>2075145.2953333333</v>
      </c>
      <c r="C25" s="420">
        <f t="shared" si="1"/>
        <v>1473663.3553333331</v>
      </c>
      <c r="D25" s="420">
        <f t="shared" si="1"/>
        <v>1746770.1553333332</v>
      </c>
      <c r="E25" s="420">
        <f t="shared" si="1"/>
        <v>1446352.6753333332</v>
      </c>
      <c r="F25" s="421">
        <f>SUM(B25:E25)</f>
        <v>6741931.4813333331</v>
      </c>
      <c r="G25" s="422">
        <f>SUM(G3:G23)</f>
        <v>43765638.800000004</v>
      </c>
      <c r="H25" s="422">
        <f>SUM(H3:H23)</f>
        <v>31391064.722000003</v>
      </c>
      <c r="I25" s="422">
        <f>G25-H25</f>
        <v>12374574.078000002</v>
      </c>
    </row>
    <row r="26" spans="1:9" x14ac:dyDescent="0.2">
      <c r="A26" s="417" t="s">
        <v>3</v>
      </c>
      <c r="B26" s="420">
        <f t="shared" si="1"/>
        <v>229406.52123129359</v>
      </c>
      <c r="C26" s="420">
        <f t="shared" si="1"/>
        <v>137710.74388415823</v>
      </c>
      <c r="D26" s="420">
        <f t="shared" si="1"/>
        <v>127184.76922878483</v>
      </c>
      <c r="E26" s="420">
        <f t="shared" si="1"/>
        <v>112914.37130212091</v>
      </c>
      <c r="F26" s="421">
        <f>SUM(B26:E26)</f>
        <v>607216.40564635757</v>
      </c>
    </row>
    <row r="27" spans="1:9" x14ac:dyDescent="0.2">
      <c r="A27" s="417" t="s">
        <v>4</v>
      </c>
      <c r="B27" s="420">
        <f t="shared" si="1"/>
        <v>10449.766847076558</v>
      </c>
      <c r="C27" s="420">
        <f t="shared" si="1"/>
        <v>78.594954906083473</v>
      </c>
      <c r="D27" s="420">
        <f t="shared" si="1"/>
        <v>75.350440066628437</v>
      </c>
      <c r="E27" s="420">
        <f t="shared" si="1"/>
        <v>71.368374713583904</v>
      </c>
      <c r="F27" s="421">
        <f>SUM(B27:E27)</f>
        <v>10675.080616762854</v>
      </c>
      <c r="G27" s="423"/>
    </row>
    <row r="28" spans="1:9" x14ac:dyDescent="0.2">
      <c r="A28" s="424"/>
    </row>
    <row r="29" spans="1:9" x14ac:dyDescent="0.2">
      <c r="A29" s="426"/>
    </row>
    <row r="30" spans="1:9" x14ac:dyDescent="0.2">
      <c r="A30" s="426" t="s">
        <v>48</v>
      </c>
    </row>
    <row r="31" spans="1:9" x14ac:dyDescent="0.2">
      <c r="A31" s="427" t="s">
        <v>166</v>
      </c>
    </row>
    <row r="32" spans="1:9" x14ac:dyDescent="0.2">
      <c r="A32" s="427" t="s">
        <v>167</v>
      </c>
    </row>
    <row r="33" spans="1:1" x14ac:dyDescent="0.2">
      <c r="A33" s="427" t="s">
        <v>160</v>
      </c>
    </row>
    <row r="34" spans="1:1" x14ac:dyDescent="0.2">
      <c r="A34" s="428" t="s">
        <v>162</v>
      </c>
    </row>
    <row r="35" spans="1:1" x14ac:dyDescent="0.2">
      <c r="A35" s="428" t="s">
        <v>161</v>
      </c>
    </row>
    <row r="36" spans="1:1" x14ac:dyDescent="0.2">
      <c r="A36" s="428" t="s">
        <v>163</v>
      </c>
    </row>
    <row r="37" spans="1:1" x14ac:dyDescent="0.2">
      <c r="A37" s="428" t="s">
        <v>164</v>
      </c>
    </row>
    <row r="38" spans="1:1" x14ac:dyDescent="0.2">
      <c r="A38" s="429"/>
    </row>
  </sheetData>
  <mergeCells count="1">
    <mergeCell ref="A1:F1"/>
  </mergeCells>
  <phoneticPr fontId="2" type="noConversion"/>
  <printOptions horizontalCentered="1"/>
  <pageMargins left="0.5" right="0.5" top="1" bottom="0.89" header="0.5" footer="0.5"/>
  <pageSetup scale="59" orientation="landscape" r:id="rId1"/>
  <headerFooter alignWithMargins="0">
    <oddHeader>&amp;RTO9 Annual Update
Attachment 4
WP Schedule 22
Page &amp;P of &amp;N</oddHeader>
    <oddFooter>&amp;C&amp;A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2">
    <tabColor theme="0" tint="-4.9989318521683403E-2"/>
  </sheetPr>
  <dimension ref="A2:O96"/>
  <sheetViews>
    <sheetView topLeftCell="C1" zoomScale="85" zoomScaleNormal="85" workbookViewId="0">
      <selection activeCell="C1" sqref="C1"/>
    </sheetView>
  </sheetViews>
  <sheetFormatPr defaultColWidth="9.140625" defaultRowHeight="12.75" outlineLevelRow="1" x14ac:dyDescent="0.2"/>
  <cols>
    <col min="1" max="1" width="18.140625" style="108" bestFit="1" customWidth="1"/>
    <col min="2" max="2" width="14.28515625" style="108" bestFit="1" customWidth="1"/>
    <col min="3" max="3" width="28.85546875" style="109" bestFit="1" customWidth="1"/>
    <col min="4" max="4" width="14.140625" style="109" customWidth="1"/>
    <col min="5" max="6" width="13.5703125" style="109" bestFit="1" customWidth="1"/>
    <col min="7" max="7" width="15.85546875" style="110" customWidth="1"/>
    <col min="8" max="8" width="18" style="110" bestFit="1" customWidth="1"/>
    <col min="9" max="9" width="14" style="110" bestFit="1" customWidth="1"/>
    <col min="10" max="10" width="19.28515625" style="110" bestFit="1" customWidth="1"/>
    <col min="11" max="12" width="12.7109375" style="110" bestFit="1" customWidth="1"/>
    <col min="13" max="13" width="13.5703125" style="110" bestFit="1" customWidth="1"/>
    <col min="14" max="16384" width="9.140625" style="110"/>
  </cols>
  <sheetData>
    <row r="2" spans="1:6" ht="13.5" thickBot="1" x14ac:dyDescent="0.25"/>
    <row r="3" spans="1:6" s="115" customFormat="1" ht="26.25" thickBot="1" x14ac:dyDescent="0.25">
      <c r="A3" s="111" t="s">
        <v>23</v>
      </c>
      <c r="B3" s="112" t="s">
        <v>95</v>
      </c>
      <c r="C3" s="113" t="s">
        <v>96</v>
      </c>
      <c r="D3" s="113" t="s">
        <v>1</v>
      </c>
      <c r="E3" s="113" t="s">
        <v>90</v>
      </c>
      <c r="F3" s="114" t="s">
        <v>97</v>
      </c>
    </row>
    <row r="4" spans="1:6" hidden="1" outlineLevel="1" x14ac:dyDescent="0.2">
      <c r="A4" s="116">
        <f>IF($F4="","",1)</f>
        <v>1</v>
      </c>
      <c r="B4" s="117"/>
      <c r="C4" s="118">
        <v>9195000</v>
      </c>
      <c r="D4" s="118">
        <v>0</v>
      </c>
      <c r="E4" s="118">
        <v>0</v>
      </c>
      <c r="F4" s="119">
        <f>IF(AND(ISBLANK($C4),ISBLANK($D4),ISBLANK($E4)),"",SUM($C4:$E4))</f>
        <v>9195000</v>
      </c>
    </row>
    <row r="5" spans="1:6" hidden="1" outlineLevel="1" x14ac:dyDescent="0.2">
      <c r="A5" s="116" t="str">
        <f>IF($F5="","",$A4+1)</f>
        <v/>
      </c>
      <c r="B5" s="117"/>
      <c r="C5" s="118"/>
      <c r="D5" s="118"/>
      <c r="E5" s="118"/>
      <c r="F5" s="119" t="str">
        <f t="shared" ref="F5:F33" si="0">IF(AND(ISBLANK($C5),ISBLANK($D5),ISBLANK($E5)),"",SUM($C5:$E5))</f>
        <v/>
      </c>
    </row>
    <row r="6" spans="1:6" hidden="1" outlineLevel="1" x14ac:dyDescent="0.2">
      <c r="A6" s="116" t="str">
        <f t="shared" ref="A6:A33" si="1">IF($F6="","",$A5+1)</f>
        <v/>
      </c>
      <c r="B6" s="117"/>
      <c r="C6" s="118"/>
      <c r="D6" s="118"/>
      <c r="E6" s="118"/>
      <c r="F6" s="119" t="str">
        <f t="shared" si="0"/>
        <v/>
      </c>
    </row>
    <row r="7" spans="1:6" hidden="1" outlineLevel="1" x14ac:dyDescent="0.2">
      <c r="A7" s="116" t="str">
        <f t="shared" si="1"/>
        <v/>
      </c>
      <c r="B7" s="117"/>
      <c r="C7" s="118"/>
      <c r="D7" s="118"/>
      <c r="E7" s="118"/>
      <c r="F7" s="119" t="str">
        <f>IF(AND(ISBLANK($C7),ISBLANK($D7),ISBLANK($E7)),"",SUM($C7:$E7))</f>
        <v/>
      </c>
    </row>
    <row r="8" spans="1:6" hidden="1" outlineLevel="1" x14ac:dyDescent="0.2">
      <c r="A8" s="116" t="str">
        <f t="shared" si="1"/>
        <v/>
      </c>
      <c r="B8" s="117"/>
      <c r="C8" s="118"/>
      <c r="D8" s="118"/>
      <c r="E8" s="118"/>
      <c r="F8" s="119" t="str">
        <f t="shared" si="0"/>
        <v/>
      </c>
    </row>
    <row r="9" spans="1:6" hidden="1" outlineLevel="1" x14ac:dyDescent="0.2">
      <c r="A9" s="116" t="str">
        <f t="shared" si="1"/>
        <v/>
      </c>
      <c r="B9" s="117"/>
      <c r="C9" s="118"/>
      <c r="D9" s="118"/>
      <c r="E9" s="118"/>
      <c r="F9" s="119" t="str">
        <f t="shared" si="0"/>
        <v/>
      </c>
    </row>
    <row r="10" spans="1:6" hidden="1" outlineLevel="1" x14ac:dyDescent="0.2">
      <c r="A10" s="116" t="str">
        <f t="shared" si="1"/>
        <v/>
      </c>
      <c r="B10" s="117"/>
      <c r="C10" s="118"/>
      <c r="D10" s="118"/>
      <c r="E10" s="118"/>
      <c r="F10" s="119" t="str">
        <f t="shared" si="0"/>
        <v/>
      </c>
    </row>
    <row r="11" spans="1:6" hidden="1" outlineLevel="1" x14ac:dyDescent="0.2">
      <c r="A11" s="116" t="str">
        <f t="shared" si="1"/>
        <v/>
      </c>
      <c r="B11" s="117"/>
      <c r="C11" s="118"/>
      <c r="D11" s="118"/>
      <c r="E11" s="118"/>
      <c r="F11" s="119" t="str">
        <f t="shared" si="0"/>
        <v/>
      </c>
    </row>
    <row r="12" spans="1:6" hidden="1" outlineLevel="1" x14ac:dyDescent="0.2">
      <c r="A12" s="116" t="str">
        <f t="shared" si="1"/>
        <v/>
      </c>
      <c r="B12" s="117"/>
      <c r="C12" s="118"/>
      <c r="D12" s="118"/>
      <c r="E12" s="118"/>
      <c r="F12" s="119" t="str">
        <f t="shared" si="0"/>
        <v/>
      </c>
    </row>
    <row r="13" spans="1:6" hidden="1" outlineLevel="1" x14ac:dyDescent="0.2">
      <c r="A13" s="116" t="str">
        <f t="shared" si="1"/>
        <v/>
      </c>
      <c r="B13" s="117"/>
      <c r="C13" s="118"/>
      <c r="D13" s="118"/>
      <c r="E13" s="118"/>
      <c r="F13" s="119" t="str">
        <f t="shared" si="0"/>
        <v/>
      </c>
    </row>
    <row r="14" spans="1:6" hidden="1" outlineLevel="1" x14ac:dyDescent="0.2">
      <c r="A14" s="116" t="str">
        <f t="shared" si="1"/>
        <v/>
      </c>
      <c r="B14" s="117"/>
      <c r="C14" s="118"/>
      <c r="D14" s="118"/>
      <c r="E14" s="118"/>
      <c r="F14" s="119" t="str">
        <f t="shared" si="0"/>
        <v/>
      </c>
    </row>
    <row r="15" spans="1:6" hidden="1" outlineLevel="1" x14ac:dyDescent="0.2">
      <c r="A15" s="116" t="str">
        <f t="shared" si="1"/>
        <v/>
      </c>
      <c r="B15" s="117"/>
      <c r="C15" s="118"/>
      <c r="D15" s="118"/>
      <c r="E15" s="118"/>
      <c r="F15" s="119" t="str">
        <f t="shared" si="0"/>
        <v/>
      </c>
    </row>
    <row r="16" spans="1:6" hidden="1" outlineLevel="1" x14ac:dyDescent="0.2">
      <c r="A16" s="116" t="str">
        <f t="shared" si="1"/>
        <v/>
      </c>
      <c r="B16" s="117"/>
      <c r="C16" s="118"/>
      <c r="D16" s="118"/>
      <c r="E16" s="118"/>
      <c r="F16" s="119" t="str">
        <f t="shared" si="0"/>
        <v/>
      </c>
    </row>
    <row r="17" spans="1:6" hidden="1" outlineLevel="1" x14ac:dyDescent="0.2">
      <c r="A17" s="116" t="str">
        <f t="shared" si="1"/>
        <v/>
      </c>
      <c r="B17" s="117"/>
      <c r="C17" s="118"/>
      <c r="D17" s="118"/>
      <c r="E17" s="118"/>
      <c r="F17" s="119" t="str">
        <f t="shared" si="0"/>
        <v/>
      </c>
    </row>
    <row r="18" spans="1:6" hidden="1" outlineLevel="1" x14ac:dyDescent="0.2">
      <c r="A18" s="116" t="str">
        <f t="shared" si="1"/>
        <v/>
      </c>
      <c r="B18" s="117"/>
      <c r="C18" s="118"/>
      <c r="D18" s="118"/>
      <c r="E18" s="118"/>
      <c r="F18" s="119" t="str">
        <f t="shared" si="0"/>
        <v/>
      </c>
    </row>
    <row r="19" spans="1:6" hidden="1" outlineLevel="1" x14ac:dyDescent="0.2">
      <c r="A19" s="116" t="str">
        <f t="shared" si="1"/>
        <v/>
      </c>
      <c r="B19" s="117"/>
      <c r="C19" s="118"/>
      <c r="D19" s="118"/>
      <c r="E19" s="118"/>
      <c r="F19" s="119" t="str">
        <f t="shared" si="0"/>
        <v/>
      </c>
    </row>
    <row r="20" spans="1:6" hidden="1" outlineLevel="1" x14ac:dyDescent="0.2">
      <c r="A20" s="116" t="str">
        <f t="shared" si="1"/>
        <v/>
      </c>
      <c r="B20" s="117"/>
      <c r="C20" s="118"/>
      <c r="D20" s="118"/>
      <c r="E20" s="118"/>
      <c r="F20" s="119" t="str">
        <f t="shared" si="0"/>
        <v/>
      </c>
    </row>
    <row r="21" spans="1:6" hidden="1" outlineLevel="1" x14ac:dyDescent="0.2">
      <c r="A21" s="116" t="str">
        <f t="shared" si="1"/>
        <v/>
      </c>
      <c r="B21" s="117"/>
      <c r="C21" s="118"/>
      <c r="D21" s="118"/>
      <c r="E21" s="118"/>
      <c r="F21" s="119" t="str">
        <f t="shared" si="0"/>
        <v/>
      </c>
    </row>
    <row r="22" spans="1:6" hidden="1" outlineLevel="1" x14ac:dyDescent="0.2">
      <c r="A22" s="116" t="str">
        <f t="shared" si="1"/>
        <v/>
      </c>
      <c r="B22" s="117"/>
      <c r="C22" s="118"/>
      <c r="D22" s="118"/>
      <c r="E22" s="118"/>
      <c r="F22" s="119" t="str">
        <f t="shared" si="0"/>
        <v/>
      </c>
    </row>
    <row r="23" spans="1:6" hidden="1" outlineLevel="1" x14ac:dyDescent="0.2">
      <c r="A23" s="116" t="str">
        <f t="shared" si="1"/>
        <v/>
      </c>
      <c r="B23" s="117"/>
      <c r="C23" s="118"/>
      <c r="D23" s="118"/>
      <c r="E23" s="118"/>
      <c r="F23" s="119" t="str">
        <f t="shared" si="0"/>
        <v/>
      </c>
    </row>
    <row r="24" spans="1:6" hidden="1" outlineLevel="1" x14ac:dyDescent="0.2">
      <c r="A24" s="116" t="str">
        <f t="shared" si="1"/>
        <v/>
      </c>
      <c r="B24" s="117"/>
      <c r="C24" s="118"/>
      <c r="D24" s="118"/>
      <c r="E24" s="118"/>
      <c r="F24" s="119" t="str">
        <f t="shared" si="0"/>
        <v/>
      </c>
    </row>
    <row r="25" spans="1:6" hidden="1" outlineLevel="1" x14ac:dyDescent="0.2">
      <c r="A25" s="116" t="str">
        <f t="shared" si="1"/>
        <v/>
      </c>
      <c r="B25" s="117"/>
      <c r="C25" s="118"/>
      <c r="D25" s="118"/>
      <c r="E25" s="118"/>
      <c r="F25" s="119" t="str">
        <f t="shared" si="0"/>
        <v/>
      </c>
    </row>
    <row r="26" spans="1:6" hidden="1" outlineLevel="1" x14ac:dyDescent="0.2">
      <c r="A26" s="116" t="str">
        <f t="shared" si="1"/>
        <v/>
      </c>
      <c r="B26" s="117"/>
      <c r="C26" s="118"/>
      <c r="D26" s="118"/>
      <c r="E26" s="118"/>
      <c r="F26" s="119" t="str">
        <f t="shared" si="0"/>
        <v/>
      </c>
    </row>
    <row r="27" spans="1:6" hidden="1" outlineLevel="1" x14ac:dyDescent="0.2">
      <c r="A27" s="116" t="str">
        <f t="shared" si="1"/>
        <v/>
      </c>
      <c r="B27" s="117"/>
      <c r="C27" s="118"/>
      <c r="D27" s="118"/>
      <c r="E27" s="118"/>
      <c r="F27" s="119" t="str">
        <f t="shared" si="0"/>
        <v/>
      </c>
    </row>
    <row r="28" spans="1:6" hidden="1" outlineLevel="1" x14ac:dyDescent="0.2">
      <c r="A28" s="116" t="str">
        <f t="shared" si="1"/>
        <v/>
      </c>
      <c r="B28" s="117"/>
      <c r="C28" s="118"/>
      <c r="D28" s="118"/>
      <c r="E28" s="118"/>
      <c r="F28" s="119" t="str">
        <f t="shared" si="0"/>
        <v/>
      </c>
    </row>
    <row r="29" spans="1:6" hidden="1" outlineLevel="1" x14ac:dyDescent="0.2">
      <c r="A29" s="116" t="str">
        <f t="shared" si="1"/>
        <v/>
      </c>
      <c r="B29" s="117"/>
      <c r="C29" s="118"/>
      <c r="D29" s="118"/>
      <c r="E29" s="118"/>
      <c r="F29" s="119" t="str">
        <f t="shared" si="0"/>
        <v/>
      </c>
    </row>
    <row r="30" spans="1:6" hidden="1" outlineLevel="1" x14ac:dyDescent="0.2">
      <c r="A30" s="116" t="str">
        <f t="shared" si="1"/>
        <v/>
      </c>
      <c r="B30" s="117"/>
      <c r="C30" s="118"/>
      <c r="D30" s="118"/>
      <c r="E30" s="118"/>
      <c r="F30" s="119" t="str">
        <f t="shared" si="0"/>
        <v/>
      </c>
    </row>
    <row r="31" spans="1:6" hidden="1" outlineLevel="1" x14ac:dyDescent="0.2">
      <c r="A31" s="116" t="str">
        <f t="shared" si="1"/>
        <v/>
      </c>
      <c r="B31" s="117"/>
      <c r="C31" s="118"/>
      <c r="D31" s="118"/>
      <c r="E31" s="118"/>
      <c r="F31" s="119" t="str">
        <f t="shared" si="0"/>
        <v/>
      </c>
    </row>
    <row r="32" spans="1:6" hidden="1" outlineLevel="1" x14ac:dyDescent="0.2">
      <c r="A32" s="116" t="str">
        <f t="shared" si="1"/>
        <v/>
      </c>
      <c r="B32" s="117"/>
      <c r="C32" s="118"/>
      <c r="D32" s="118"/>
      <c r="E32" s="118"/>
      <c r="F32" s="119" t="str">
        <f t="shared" si="0"/>
        <v/>
      </c>
    </row>
    <row r="33" spans="1:15" ht="13.5" hidden="1" outlineLevel="1" thickBot="1" x14ac:dyDescent="0.25">
      <c r="A33" s="120" t="str">
        <f t="shared" si="1"/>
        <v/>
      </c>
      <c r="B33" s="121"/>
      <c r="C33" s="122"/>
      <c r="D33" s="122"/>
      <c r="E33" s="122"/>
      <c r="F33" s="123" t="str">
        <f t="shared" si="0"/>
        <v/>
      </c>
    </row>
    <row r="34" spans="1:15" ht="13.5" collapsed="1" thickBot="1" x14ac:dyDescent="0.25">
      <c r="A34" s="124" t="s">
        <v>98</v>
      </c>
      <c r="B34" s="125"/>
      <c r="C34" s="126">
        <f>SUM($C$4:$C$33)</f>
        <v>9195000</v>
      </c>
      <c r="D34" s="126">
        <f>SUM($D$4:$D$33)</f>
        <v>0</v>
      </c>
      <c r="E34" s="126">
        <f>SUM($E$4:$E$33)</f>
        <v>0</v>
      </c>
      <c r="F34" s="127">
        <f>SUM($F$4:$F$33)</f>
        <v>9195000</v>
      </c>
    </row>
    <row r="35" spans="1:15" ht="13.5" thickBot="1" x14ac:dyDescent="0.25"/>
    <row r="36" spans="1:15" ht="26.25" thickBot="1" x14ac:dyDescent="0.25">
      <c r="A36" s="128" t="s">
        <v>99</v>
      </c>
      <c r="B36" s="484">
        <v>41232</v>
      </c>
      <c r="C36" s="484"/>
      <c r="D36" s="485"/>
      <c r="F36" s="280" t="s">
        <v>146</v>
      </c>
      <c r="G36" s="281" t="s">
        <v>147</v>
      </c>
      <c r="H36" s="241"/>
      <c r="I36" s="286"/>
      <c r="J36" s="286"/>
      <c r="K36" s="285"/>
      <c r="L36" s="285"/>
      <c r="M36" s="285"/>
    </row>
    <row r="37" spans="1:15" ht="27" customHeight="1" thickBot="1" x14ac:dyDescent="0.25">
      <c r="A37" s="129"/>
      <c r="B37" s="130"/>
      <c r="F37" s="282" t="s">
        <v>148</v>
      </c>
      <c r="G37" s="283">
        <v>41473</v>
      </c>
      <c r="H37" s="241"/>
      <c r="I37" s="494"/>
      <c r="J37" s="494"/>
      <c r="K37" s="494"/>
      <c r="L37" s="494"/>
      <c r="M37" s="494"/>
    </row>
    <row r="38" spans="1:15" ht="13.5" thickBot="1" x14ac:dyDescent="0.25">
      <c r="A38" s="486" t="s">
        <v>100</v>
      </c>
      <c r="B38" s="487"/>
      <c r="C38" s="487"/>
      <c r="D38" s="488"/>
      <c r="F38" s="241"/>
      <c r="G38" s="241"/>
      <c r="H38" s="241"/>
      <c r="I38" s="241"/>
      <c r="J38" s="241"/>
    </row>
    <row r="39" spans="1:15" x14ac:dyDescent="0.2">
      <c r="A39" s="131" t="s">
        <v>101</v>
      </c>
      <c r="B39" s="132" t="s">
        <v>114</v>
      </c>
      <c r="C39" s="133" t="s">
        <v>102</v>
      </c>
      <c r="D39" s="134" t="s">
        <v>116</v>
      </c>
    </row>
    <row r="40" spans="1:15" ht="13.5" thickBot="1" x14ac:dyDescent="0.25">
      <c r="A40" s="135" t="s">
        <v>103</v>
      </c>
      <c r="B40" s="136" t="s">
        <v>115</v>
      </c>
      <c r="C40" s="137" t="s">
        <v>104</v>
      </c>
      <c r="D40" s="138" t="s">
        <v>133</v>
      </c>
      <c r="F40" s="139"/>
    </row>
    <row r="41" spans="1:15" ht="15.75" x14ac:dyDescent="0.25">
      <c r="A41" s="140" t="str">
        <f>IF(TEXT($B$36,"yyyy")&gt;$B$39,"****ERROR_In Service Date Later Than Refund Start Date","")</f>
        <v/>
      </c>
      <c r="B41" s="108">
        <f>SUM(B6+B11+B16+B21+B26+B31+B36)</f>
        <v>41232</v>
      </c>
      <c r="F41" s="141"/>
      <c r="H41" s="142"/>
    </row>
    <row r="42" spans="1:15" ht="13.5" thickBot="1" x14ac:dyDescent="0.25"/>
    <row r="43" spans="1:15" ht="13.5" thickBot="1" x14ac:dyDescent="0.25">
      <c r="A43" s="489" t="s">
        <v>25</v>
      </c>
      <c r="B43" s="490"/>
      <c r="C43" s="490"/>
      <c r="D43" s="490"/>
      <c r="E43" s="490"/>
      <c r="F43" s="490"/>
      <c r="G43" s="490"/>
      <c r="H43" s="490"/>
      <c r="I43" s="490"/>
      <c r="J43" s="491"/>
    </row>
    <row r="44" spans="1:15" ht="13.5" thickBot="1" x14ac:dyDescent="0.25">
      <c r="A44" s="143" t="s">
        <v>105</v>
      </c>
      <c r="B44" s="144" t="s">
        <v>106</v>
      </c>
      <c r="C44" s="145" t="s">
        <v>16</v>
      </c>
      <c r="D44" s="145" t="s">
        <v>17</v>
      </c>
      <c r="E44" s="145" t="s">
        <v>18</v>
      </c>
      <c r="F44" s="145" t="s">
        <v>107</v>
      </c>
      <c r="G44" s="145" t="s">
        <v>108</v>
      </c>
      <c r="H44" s="145" t="s">
        <v>109</v>
      </c>
      <c r="I44" s="145" t="s">
        <v>22</v>
      </c>
      <c r="J44" s="146" t="s">
        <v>110</v>
      </c>
    </row>
    <row r="45" spans="1:15" outlineLevel="1" x14ac:dyDescent="0.2">
      <c r="A45" s="242">
        <v>2012</v>
      </c>
      <c r="B45" s="243" t="s">
        <v>133</v>
      </c>
      <c r="C45" s="244">
        <f>IF(OR($B$36="",$A$45="",$B$45=""),"",$B$36)</f>
        <v>41232</v>
      </c>
      <c r="D45" s="245">
        <v>41274</v>
      </c>
      <c r="E45" s="246">
        <f>IF($C45="","",$D45-$C45)+1</f>
        <v>43</v>
      </c>
      <c r="F45" s="247">
        <v>3.2500000000000001E-2</v>
      </c>
      <c r="G45" s="248">
        <f>IF($C45="","",$C$34)</f>
        <v>9195000</v>
      </c>
      <c r="H45" s="248">
        <f>G45*F45*(E45/366)</f>
        <v>35109.323770491806</v>
      </c>
      <c r="I45" s="248">
        <v>0</v>
      </c>
      <c r="J45" s="249">
        <f>G45+H45</f>
        <v>9230109.3237704914</v>
      </c>
      <c r="K45" s="492" t="s">
        <v>140</v>
      </c>
      <c r="L45" s="493"/>
      <c r="M45" s="493"/>
      <c r="N45" s="493"/>
      <c r="O45" s="493"/>
    </row>
    <row r="46" spans="1:15" outlineLevel="1" x14ac:dyDescent="0.2">
      <c r="A46" s="250">
        <v>2013</v>
      </c>
      <c r="B46" s="251" t="s">
        <v>112</v>
      </c>
      <c r="C46" s="252">
        <v>41275</v>
      </c>
      <c r="D46" s="253">
        <v>41364</v>
      </c>
      <c r="E46" s="254">
        <f>D46-C46+1</f>
        <v>90</v>
      </c>
      <c r="F46" s="255">
        <v>3.2500000000000001E-2</v>
      </c>
      <c r="G46" s="256">
        <f>J45</f>
        <v>9230109.3237704914</v>
      </c>
      <c r="H46" s="256">
        <f>G46*(F46*(E46/365))</f>
        <v>73967.314443914205</v>
      </c>
      <c r="I46" s="256">
        <v>0</v>
      </c>
      <c r="J46" s="257">
        <f>G46+H46</f>
        <v>9304076.6382144056</v>
      </c>
      <c r="K46" s="492"/>
      <c r="L46" s="493"/>
      <c r="M46" s="493"/>
      <c r="N46" s="493"/>
      <c r="O46" s="493"/>
    </row>
    <row r="47" spans="1:15" outlineLevel="1" x14ac:dyDescent="0.2">
      <c r="A47" s="250">
        <v>2013</v>
      </c>
      <c r="B47" s="251" t="s">
        <v>113</v>
      </c>
      <c r="C47" s="252">
        <v>41365</v>
      </c>
      <c r="D47" s="252">
        <v>41455</v>
      </c>
      <c r="E47" s="254">
        <f t="shared" ref="E47:E67" si="2">D47-C47+1</f>
        <v>91</v>
      </c>
      <c r="F47" s="255">
        <v>3.2500000000000001E-2</v>
      </c>
      <c r="G47" s="256">
        <f>J46</f>
        <v>9304076.6382144056</v>
      </c>
      <c r="H47" s="256">
        <f>G47*(F47*(E47/365))</f>
        <v>75388.511390463304</v>
      </c>
      <c r="I47" s="256">
        <v>0</v>
      </c>
      <c r="J47" s="257">
        <f>G47+H47</f>
        <v>9379465.1496048681</v>
      </c>
      <c r="K47" s="492"/>
      <c r="L47" s="493"/>
      <c r="M47" s="493"/>
      <c r="N47" s="493"/>
      <c r="O47" s="493"/>
    </row>
    <row r="48" spans="1:15" outlineLevel="1" x14ac:dyDescent="0.2">
      <c r="A48" s="261">
        <v>2013</v>
      </c>
      <c r="B48" s="262" t="s">
        <v>116</v>
      </c>
      <c r="C48" s="150">
        <f>D47+1</f>
        <v>41456</v>
      </c>
      <c r="D48" s="150">
        <v>41473</v>
      </c>
      <c r="E48" s="263">
        <f t="shared" si="2"/>
        <v>18</v>
      </c>
      <c r="F48" s="168">
        <v>3.2500000000000001E-2</v>
      </c>
      <c r="G48" s="259">
        <f>J47</f>
        <v>9379465.1496048681</v>
      </c>
      <c r="H48" s="256">
        <f>G48*(F48*(E48/365))+SUM(H45:H47)</f>
        <v>199497.99100903055</v>
      </c>
      <c r="I48" s="153">
        <f>IF($C48="","",$C$34/20)</f>
        <v>459750</v>
      </c>
      <c r="J48" s="260">
        <f>G48-I48-SUM(H45:H47)</f>
        <v>8735249.9999999981</v>
      </c>
      <c r="K48" s="272"/>
      <c r="L48" s="273"/>
      <c r="M48" s="273"/>
      <c r="N48" s="273"/>
      <c r="O48" s="273"/>
    </row>
    <row r="49" spans="1:15" outlineLevel="1" x14ac:dyDescent="0.2">
      <c r="A49" s="261">
        <f t="shared" ref="A49:A67" si="3">IF($A48="","",IF($B48="Q4",$A48+1,$A48))</f>
        <v>2013</v>
      </c>
      <c r="B49" s="262" t="s">
        <v>116</v>
      </c>
      <c r="C49" s="149">
        <f>D48+1</f>
        <v>41474</v>
      </c>
      <c r="D49" s="150">
        <v>41491</v>
      </c>
      <c r="E49" s="263">
        <f t="shared" si="2"/>
        <v>18</v>
      </c>
      <c r="F49" s="168">
        <v>3.2500000000000001E-2</v>
      </c>
      <c r="G49" s="153">
        <f>J48</f>
        <v>8735249.9999999981</v>
      </c>
      <c r="H49" s="153">
        <f>IF($C49="","",($E49/365)*($F49)*$G49)</f>
        <v>14000.332191780819</v>
      </c>
      <c r="I49" s="153">
        <f>IF($C49="","",$C$34/20)</f>
        <v>459750</v>
      </c>
      <c r="J49" s="154">
        <f>IF($C49="","",$G49-$I49)</f>
        <v>8275499.9999999981</v>
      </c>
      <c r="K49" s="272"/>
      <c r="L49" s="273"/>
      <c r="M49" s="273"/>
      <c r="N49" s="273"/>
      <c r="O49" s="273"/>
    </row>
    <row r="50" spans="1:15" outlineLevel="1" x14ac:dyDescent="0.2">
      <c r="A50" s="147">
        <f>IF($A45="","",IF($B45="Q4",$A45+1,$A45))</f>
        <v>2013</v>
      </c>
      <c r="B50" s="148" t="s">
        <v>116</v>
      </c>
      <c r="C50" s="149">
        <f>D49+1</f>
        <v>41492</v>
      </c>
      <c r="D50" s="150">
        <v>41547</v>
      </c>
      <c r="E50" s="263">
        <f t="shared" si="2"/>
        <v>56</v>
      </c>
      <c r="F50" s="152">
        <v>3.2500000000000001E-2</v>
      </c>
      <c r="G50" s="153">
        <f t="shared" ref="G50:G67" si="4">J49</f>
        <v>8275499.9999999981</v>
      </c>
      <c r="H50" s="153">
        <f>IF($C50="","",($E50/365)*($F50)*$G50)</f>
        <v>41264.136986301361</v>
      </c>
      <c r="I50" s="153">
        <f>IF($C50="","",$C$34/20)</f>
        <v>459750</v>
      </c>
      <c r="J50" s="154">
        <f>IF($C50="","",$G50-$I50)</f>
        <v>7815749.9999999981</v>
      </c>
      <c r="K50" s="258"/>
      <c r="L50" s="258"/>
    </row>
    <row r="51" spans="1:15" outlineLevel="1" x14ac:dyDescent="0.2">
      <c r="A51" s="147">
        <f t="shared" si="3"/>
        <v>2013</v>
      </c>
      <c r="B51" s="148" t="str">
        <f>IF($B50="","",CONCATENATE("Q",IF(RIGHT($B50,1)="4","1",RIGHT($B50,1)+1)))</f>
        <v>Q4</v>
      </c>
      <c r="C51" s="149">
        <f t="shared" ref="C51:C67" si="5">D50+1</f>
        <v>41548</v>
      </c>
      <c r="D51" s="150">
        <f t="shared" ref="D51:D67" si="6">DATE(IF($B51="Q1",$A50+1,$A50),IF($B51="Q1",3,IF($B51="Q2",6,IF($B51="Q3",9,12))),IF(OR($B51="Q1",$B51="Q4"),31,30))</f>
        <v>41639</v>
      </c>
      <c r="E51" s="263">
        <f t="shared" si="2"/>
        <v>92</v>
      </c>
      <c r="F51" s="152">
        <v>3.2500000000000001E-2</v>
      </c>
      <c r="G51" s="153">
        <f t="shared" si="4"/>
        <v>7815749.9999999981</v>
      </c>
      <c r="H51" s="153">
        <f t="shared" ref="H51:H67" si="7">IF($C51="","",($E51/365)*($F51)*$G51)</f>
        <v>64024.910958904104</v>
      </c>
      <c r="I51" s="153">
        <f t="shared" ref="I51:I67" si="8">IF($C51="","",$C$34/20)</f>
        <v>459750</v>
      </c>
      <c r="J51" s="154">
        <f>IF($C51="","",$G51-$I51)</f>
        <v>7355999.9999999981</v>
      </c>
    </row>
    <row r="52" spans="1:15" outlineLevel="1" x14ac:dyDescent="0.2">
      <c r="A52" s="147">
        <f t="shared" si="3"/>
        <v>2014</v>
      </c>
      <c r="B52" s="148" t="s">
        <v>112</v>
      </c>
      <c r="C52" s="149">
        <f t="shared" si="5"/>
        <v>41640</v>
      </c>
      <c r="D52" s="150">
        <f t="shared" si="6"/>
        <v>41729</v>
      </c>
      <c r="E52" s="263">
        <f t="shared" si="2"/>
        <v>90</v>
      </c>
      <c r="F52" s="152">
        <v>3.2500000000000001E-2</v>
      </c>
      <c r="G52" s="153">
        <f t="shared" si="4"/>
        <v>7355999.9999999981</v>
      </c>
      <c r="H52" s="153">
        <f t="shared" si="7"/>
        <v>58948.767123287653</v>
      </c>
      <c r="I52" s="153">
        <f>IF($C52="","",$C$34/20)</f>
        <v>459750</v>
      </c>
      <c r="J52" s="154">
        <f>IF($C52="","",$G52-$I52)</f>
        <v>6896249.9999999981</v>
      </c>
    </row>
    <row r="53" spans="1:15" outlineLevel="1" x14ac:dyDescent="0.2">
      <c r="A53" s="147">
        <f t="shared" si="3"/>
        <v>2014</v>
      </c>
      <c r="B53" s="148" t="s">
        <v>113</v>
      </c>
      <c r="C53" s="149">
        <f t="shared" si="5"/>
        <v>41730</v>
      </c>
      <c r="D53" s="150">
        <f t="shared" si="6"/>
        <v>41820</v>
      </c>
      <c r="E53" s="263">
        <f t="shared" si="2"/>
        <v>91</v>
      </c>
      <c r="F53" s="152">
        <v>3.2500000000000001E-2</v>
      </c>
      <c r="G53" s="153">
        <f t="shared" si="4"/>
        <v>6896249.9999999981</v>
      </c>
      <c r="H53" s="153">
        <f t="shared" si="7"/>
        <v>55878.518835616422</v>
      </c>
      <c r="I53" s="153">
        <f t="shared" si="8"/>
        <v>459750</v>
      </c>
      <c r="J53" s="154">
        <f t="shared" ref="J53:J67" si="9">IF($C53="","",$G53-$I53)</f>
        <v>6436499.9999999981</v>
      </c>
    </row>
    <row r="54" spans="1:15" outlineLevel="1" x14ac:dyDescent="0.2">
      <c r="A54" s="147">
        <f t="shared" si="3"/>
        <v>2014</v>
      </c>
      <c r="B54" s="148" t="s">
        <v>116</v>
      </c>
      <c r="C54" s="149">
        <f t="shared" si="5"/>
        <v>41821</v>
      </c>
      <c r="D54" s="150">
        <f t="shared" si="6"/>
        <v>41912</v>
      </c>
      <c r="E54" s="263">
        <f t="shared" si="2"/>
        <v>92</v>
      </c>
      <c r="F54" s="152">
        <v>3.2500000000000001E-2</v>
      </c>
      <c r="G54" s="153">
        <f t="shared" si="4"/>
        <v>6436499.9999999981</v>
      </c>
      <c r="H54" s="153">
        <f t="shared" si="7"/>
        <v>52726.39726027396</v>
      </c>
      <c r="I54" s="153">
        <f t="shared" si="8"/>
        <v>459750</v>
      </c>
      <c r="J54" s="154">
        <f t="shared" si="9"/>
        <v>5976749.9999999981</v>
      </c>
    </row>
    <row r="55" spans="1:15" outlineLevel="1" x14ac:dyDescent="0.2">
      <c r="A55" s="147">
        <f t="shared" si="3"/>
        <v>2014</v>
      </c>
      <c r="B55" s="148" t="s">
        <v>133</v>
      </c>
      <c r="C55" s="149">
        <f t="shared" si="5"/>
        <v>41913</v>
      </c>
      <c r="D55" s="150">
        <f t="shared" si="6"/>
        <v>42004</v>
      </c>
      <c r="E55" s="263">
        <f t="shared" si="2"/>
        <v>92</v>
      </c>
      <c r="F55" s="152">
        <v>3.2500000000000001E-2</v>
      </c>
      <c r="G55" s="153">
        <f t="shared" si="4"/>
        <v>5976749.9999999981</v>
      </c>
      <c r="H55" s="153">
        <f t="shared" si="7"/>
        <v>48960.22602739725</v>
      </c>
      <c r="I55" s="153">
        <f t="shared" si="8"/>
        <v>459750</v>
      </c>
      <c r="J55" s="154">
        <f t="shared" si="9"/>
        <v>5516999.9999999981</v>
      </c>
    </row>
    <row r="56" spans="1:15" outlineLevel="1" x14ac:dyDescent="0.2">
      <c r="A56" s="147">
        <f t="shared" si="3"/>
        <v>2015</v>
      </c>
      <c r="B56" s="148" t="s">
        <v>112</v>
      </c>
      <c r="C56" s="149">
        <f t="shared" si="5"/>
        <v>42005</v>
      </c>
      <c r="D56" s="150">
        <f t="shared" si="6"/>
        <v>42094</v>
      </c>
      <c r="E56" s="263">
        <f t="shared" si="2"/>
        <v>90</v>
      </c>
      <c r="F56" s="152">
        <v>3.2500000000000001E-2</v>
      </c>
      <c r="G56" s="153">
        <f t="shared" si="4"/>
        <v>5516999.9999999981</v>
      </c>
      <c r="H56" s="153">
        <f t="shared" si="7"/>
        <v>44211.575342465738</v>
      </c>
      <c r="I56" s="153">
        <f t="shared" si="8"/>
        <v>459750</v>
      </c>
      <c r="J56" s="154">
        <f t="shared" si="9"/>
        <v>5057249.9999999981</v>
      </c>
    </row>
    <row r="57" spans="1:15" outlineLevel="1" x14ac:dyDescent="0.2">
      <c r="A57" s="147">
        <f t="shared" si="3"/>
        <v>2015</v>
      </c>
      <c r="B57" s="148" t="s">
        <v>113</v>
      </c>
      <c r="C57" s="149">
        <f t="shared" si="5"/>
        <v>42095</v>
      </c>
      <c r="D57" s="150">
        <f t="shared" si="6"/>
        <v>42185</v>
      </c>
      <c r="E57" s="263">
        <f t="shared" si="2"/>
        <v>91</v>
      </c>
      <c r="F57" s="152">
        <v>3.2500000000000001E-2</v>
      </c>
      <c r="G57" s="153">
        <f t="shared" si="4"/>
        <v>5057249.9999999981</v>
      </c>
      <c r="H57" s="153">
        <f t="shared" si="7"/>
        <v>40977.580479452037</v>
      </c>
      <c r="I57" s="153">
        <f t="shared" si="8"/>
        <v>459750</v>
      </c>
      <c r="J57" s="154">
        <f t="shared" si="9"/>
        <v>4597499.9999999981</v>
      </c>
    </row>
    <row r="58" spans="1:15" outlineLevel="1" x14ac:dyDescent="0.2">
      <c r="A58" s="147">
        <f t="shared" si="3"/>
        <v>2015</v>
      </c>
      <c r="B58" s="148" t="s">
        <v>116</v>
      </c>
      <c r="C58" s="149">
        <f t="shared" si="5"/>
        <v>42186</v>
      </c>
      <c r="D58" s="150">
        <f t="shared" si="6"/>
        <v>42277</v>
      </c>
      <c r="E58" s="263">
        <f t="shared" si="2"/>
        <v>92</v>
      </c>
      <c r="F58" s="152">
        <v>3.2500000000000001E-2</v>
      </c>
      <c r="G58" s="153">
        <f t="shared" si="4"/>
        <v>4597499.9999999981</v>
      </c>
      <c r="H58" s="153">
        <f t="shared" si="7"/>
        <v>37661.712328767113</v>
      </c>
      <c r="I58" s="153">
        <f t="shared" si="8"/>
        <v>459750</v>
      </c>
      <c r="J58" s="154">
        <f t="shared" si="9"/>
        <v>4137749.9999999981</v>
      </c>
    </row>
    <row r="59" spans="1:15" outlineLevel="1" x14ac:dyDescent="0.2">
      <c r="A59" s="147">
        <f t="shared" si="3"/>
        <v>2015</v>
      </c>
      <c r="B59" s="148" t="s">
        <v>133</v>
      </c>
      <c r="C59" s="149">
        <f t="shared" si="5"/>
        <v>42278</v>
      </c>
      <c r="D59" s="150">
        <f t="shared" si="6"/>
        <v>42369</v>
      </c>
      <c r="E59" s="263">
        <f t="shared" si="2"/>
        <v>92</v>
      </c>
      <c r="F59" s="152">
        <v>3.2500000000000001E-2</v>
      </c>
      <c r="G59" s="153">
        <f t="shared" si="4"/>
        <v>4137749.9999999981</v>
      </c>
      <c r="H59" s="153">
        <f t="shared" si="7"/>
        <v>33895.541095890396</v>
      </c>
      <c r="I59" s="153">
        <f t="shared" si="8"/>
        <v>459750</v>
      </c>
      <c r="J59" s="154">
        <f t="shared" si="9"/>
        <v>3677999.9999999981</v>
      </c>
    </row>
    <row r="60" spans="1:15" outlineLevel="1" x14ac:dyDescent="0.2">
      <c r="A60" s="147">
        <f t="shared" si="3"/>
        <v>2016</v>
      </c>
      <c r="B60" s="148" t="s">
        <v>112</v>
      </c>
      <c r="C60" s="149">
        <f t="shared" si="5"/>
        <v>42370</v>
      </c>
      <c r="D60" s="150">
        <f t="shared" si="6"/>
        <v>42460</v>
      </c>
      <c r="E60" s="263">
        <f t="shared" si="2"/>
        <v>91</v>
      </c>
      <c r="F60" s="152">
        <v>3.2500000000000001E-2</v>
      </c>
      <c r="G60" s="153">
        <f t="shared" si="4"/>
        <v>3677999.9999999981</v>
      </c>
      <c r="H60" s="153">
        <f t="shared" si="7"/>
        <v>29801.876712328751</v>
      </c>
      <c r="I60" s="153">
        <f t="shared" si="8"/>
        <v>459750</v>
      </c>
      <c r="J60" s="154">
        <f t="shared" si="9"/>
        <v>3218249.9999999981</v>
      </c>
    </row>
    <row r="61" spans="1:15" outlineLevel="1" x14ac:dyDescent="0.2">
      <c r="A61" s="147">
        <f t="shared" si="3"/>
        <v>2016</v>
      </c>
      <c r="B61" s="148" t="s">
        <v>113</v>
      </c>
      <c r="C61" s="149">
        <f t="shared" si="5"/>
        <v>42461</v>
      </c>
      <c r="D61" s="150">
        <f t="shared" si="6"/>
        <v>42551</v>
      </c>
      <c r="E61" s="263">
        <f t="shared" si="2"/>
        <v>91</v>
      </c>
      <c r="F61" s="152">
        <v>3.2500000000000001E-2</v>
      </c>
      <c r="G61" s="153">
        <f t="shared" si="4"/>
        <v>3218249.9999999981</v>
      </c>
      <c r="H61" s="153">
        <f t="shared" si="7"/>
        <v>26076.642123287656</v>
      </c>
      <c r="I61" s="153">
        <f t="shared" si="8"/>
        <v>459750</v>
      </c>
      <c r="J61" s="154">
        <f t="shared" si="9"/>
        <v>2758499.9999999981</v>
      </c>
    </row>
    <row r="62" spans="1:15" outlineLevel="1" x14ac:dyDescent="0.2">
      <c r="A62" s="147">
        <f t="shared" si="3"/>
        <v>2016</v>
      </c>
      <c r="B62" s="148" t="s">
        <v>116</v>
      </c>
      <c r="C62" s="149">
        <f t="shared" si="5"/>
        <v>42552</v>
      </c>
      <c r="D62" s="150">
        <f t="shared" si="6"/>
        <v>42643</v>
      </c>
      <c r="E62" s="263">
        <f t="shared" si="2"/>
        <v>92</v>
      </c>
      <c r="F62" s="152">
        <v>3.2500000000000001E-2</v>
      </c>
      <c r="G62" s="153">
        <f t="shared" si="4"/>
        <v>2758499.9999999981</v>
      </c>
      <c r="H62" s="153">
        <f t="shared" si="7"/>
        <v>22597.027397260263</v>
      </c>
      <c r="I62" s="153">
        <f t="shared" si="8"/>
        <v>459750</v>
      </c>
      <c r="J62" s="154">
        <f t="shared" si="9"/>
        <v>2298749.9999999981</v>
      </c>
    </row>
    <row r="63" spans="1:15" outlineLevel="1" x14ac:dyDescent="0.2">
      <c r="A63" s="147">
        <f t="shared" si="3"/>
        <v>2016</v>
      </c>
      <c r="B63" s="148" t="s">
        <v>133</v>
      </c>
      <c r="C63" s="149">
        <f t="shared" si="5"/>
        <v>42644</v>
      </c>
      <c r="D63" s="150">
        <f t="shared" si="6"/>
        <v>42735</v>
      </c>
      <c r="E63" s="263">
        <f t="shared" si="2"/>
        <v>92</v>
      </c>
      <c r="F63" s="152">
        <v>3.2500000000000001E-2</v>
      </c>
      <c r="G63" s="153">
        <f t="shared" si="4"/>
        <v>2298749.9999999981</v>
      </c>
      <c r="H63" s="153">
        <f t="shared" si="7"/>
        <v>18830.856164383549</v>
      </c>
      <c r="I63" s="153">
        <f t="shared" si="8"/>
        <v>459750</v>
      </c>
      <c r="J63" s="154">
        <f t="shared" si="9"/>
        <v>1838999.9999999981</v>
      </c>
    </row>
    <row r="64" spans="1:15" outlineLevel="1" x14ac:dyDescent="0.2">
      <c r="A64" s="147">
        <f t="shared" si="3"/>
        <v>2017</v>
      </c>
      <c r="B64" s="148" t="s">
        <v>112</v>
      </c>
      <c r="C64" s="149">
        <f t="shared" si="5"/>
        <v>42736</v>
      </c>
      <c r="D64" s="150">
        <f t="shared" si="6"/>
        <v>42825</v>
      </c>
      <c r="E64" s="263">
        <f t="shared" si="2"/>
        <v>90</v>
      </c>
      <c r="F64" s="152">
        <v>3.2500000000000001E-2</v>
      </c>
      <c r="G64" s="153">
        <f t="shared" si="4"/>
        <v>1838999.9999999981</v>
      </c>
      <c r="H64" s="153">
        <f t="shared" si="7"/>
        <v>14737.191780821902</v>
      </c>
      <c r="I64" s="153">
        <f t="shared" si="8"/>
        <v>459750</v>
      </c>
      <c r="J64" s="154">
        <f t="shared" si="9"/>
        <v>1379249.9999999981</v>
      </c>
    </row>
    <row r="65" spans="1:10" outlineLevel="1" x14ac:dyDescent="0.2">
      <c r="A65" s="147">
        <f t="shared" si="3"/>
        <v>2017</v>
      </c>
      <c r="B65" s="148" t="s">
        <v>113</v>
      </c>
      <c r="C65" s="149">
        <f t="shared" si="5"/>
        <v>42826</v>
      </c>
      <c r="D65" s="150">
        <f t="shared" si="6"/>
        <v>42916</v>
      </c>
      <c r="E65" s="263">
        <f t="shared" si="2"/>
        <v>91</v>
      </c>
      <c r="F65" s="152">
        <v>3.2500000000000001E-2</v>
      </c>
      <c r="G65" s="153">
        <f t="shared" si="4"/>
        <v>1379249.9999999981</v>
      </c>
      <c r="H65" s="153">
        <f t="shared" si="7"/>
        <v>11175.703767123272</v>
      </c>
      <c r="I65" s="153">
        <f t="shared" si="8"/>
        <v>459750</v>
      </c>
      <c r="J65" s="154">
        <f t="shared" si="9"/>
        <v>919499.99999999814</v>
      </c>
    </row>
    <row r="66" spans="1:10" outlineLevel="1" x14ac:dyDescent="0.2">
      <c r="A66" s="147">
        <f t="shared" si="3"/>
        <v>2017</v>
      </c>
      <c r="B66" s="148" t="s">
        <v>116</v>
      </c>
      <c r="C66" s="149">
        <f t="shared" si="5"/>
        <v>42917</v>
      </c>
      <c r="D66" s="150">
        <f t="shared" si="6"/>
        <v>43008</v>
      </c>
      <c r="E66" s="263">
        <f t="shared" si="2"/>
        <v>92</v>
      </c>
      <c r="F66" s="152">
        <v>3.2500000000000001E-2</v>
      </c>
      <c r="G66" s="153">
        <f t="shared" si="4"/>
        <v>919499.99999999814</v>
      </c>
      <c r="H66" s="153">
        <f t="shared" si="7"/>
        <v>7532.3424657534106</v>
      </c>
      <c r="I66" s="153">
        <f t="shared" si="8"/>
        <v>459750</v>
      </c>
      <c r="J66" s="154">
        <f t="shared" si="9"/>
        <v>459749.99999999814</v>
      </c>
    </row>
    <row r="67" spans="1:10" outlineLevel="1" x14ac:dyDescent="0.2">
      <c r="A67" s="147">
        <f t="shared" si="3"/>
        <v>2017</v>
      </c>
      <c r="B67" s="148" t="s">
        <v>133</v>
      </c>
      <c r="C67" s="149">
        <f t="shared" si="5"/>
        <v>43009</v>
      </c>
      <c r="D67" s="150">
        <f t="shared" si="6"/>
        <v>43100</v>
      </c>
      <c r="E67" s="263">
        <f t="shared" si="2"/>
        <v>92</v>
      </c>
      <c r="F67" s="152">
        <v>3.2500000000000001E-2</v>
      </c>
      <c r="G67" s="153">
        <f t="shared" si="4"/>
        <v>459749.99999999814</v>
      </c>
      <c r="H67" s="153">
        <f t="shared" si="7"/>
        <v>3766.1712328766976</v>
      </c>
      <c r="I67" s="153">
        <f t="shared" si="8"/>
        <v>459750</v>
      </c>
      <c r="J67" s="154">
        <f t="shared" si="9"/>
        <v>-1.862645149230957E-9</v>
      </c>
    </row>
    <row r="68" spans="1:10" outlineLevel="1" x14ac:dyDescent="0.2">
      <c r="A68" s="147"/>
      <c r="B68" s="148"/>
      <c r="C68" s="149"/>
      <c r="D68" s="150"/>
      <c r="E68" s="263"/>
      <c r="F68" s="152"/>
      <c r="G68" s="153"/>
      <c r="H68" s="153"/>
      <c r="I68" s="153"/>
      <c r="J68" s="154"/>
    </row>
    <row r="69" spans="1:10" ht="13.5" outlineLevel="1" thickBot="1" x14ac:dyDescent="0.25">
      <c r="A69" s="155"/>
      <c r="B69" s="156"/>
      <c r="C69" s="157"/>
      <c r="D69" s="158"/>
      <c r="E69" s="158"/>
      <c r="F69" s="160"/>
      <c r="G69" s="161"/>
      <c r="H69" s="161"/>
      <c r="I69" s="161"/>
      <c r="J69" s="162"/>
    </row>
    <row r="70" spans="1:10" ht="14.25" thickTop="1" thickBot="1" x14ac:dyDescent="0.25">
      <c r="A70" s="163" t="s">
        <v>0</v>
      </c>
      <c r="B70" s="164"/>
      <c r="C70" s="165"/>
      <c r="D70" s="165"/>
      <c r="E70" s="165"/>
      <c r="F70" s="165"/>
      <c r="G70" s="166">
        <f>SUM($G$45:$G$69)</f>
        <v>124461151.11158976</v>
      </c>
      <c r="H70" s="166">
        <f>SUM($H$50:$H$69)</f>
        <v>613067.17808219162</v>
      </c>
      <c r="I70" s="166">
        <f>SUM($I$45:$I$69)</f>
        <v>9195000</v>
      </c>
      <c r="J70" s="167"/>
    </row>
    <row r="72" spans="1:10" ht="13.5" thickBot="1" x14ac:dyDescent="0.25"/>
    <row r="73" spans="1:10" ht="13.5" collapsed="1" thickBot="1" x14ac:dyDescent="0.25">
      <c r="A73" s="489" t="s">
        <v>111</v>
      </c>
      <c r="B73" s="490"/>
      <c r="C73" s="490"/>
      <c r="D73" s="490"/>
      <c r="E73" s="490"/>
      <c r="F73" s="490"/>
      <c r="G73" s="490"/>
      <c r="H73" s="490"/>
      <c r="I73" s="490"/>
      <c r="J73" s="491"/>
    </row>
    <row r="74" spans="1:10" ht="13.5" thickBot="1" x14ac:dyDescent="0.25">
      <c r="A74" s="143" t="s">
        <v>105</v>
      </c>
      <c r="B74" s="144" t="s">
        <v>106</v>
      </c>
      <c r="C74" s="145" t="s">
        <v>16</v>
      </c>
      <c r="D74" s="145" t="s">
        <v>17</v>
      </c>
      <c r="E74" s="145" t="s">
        <v>18</v>
      </c>
      <c r="F74" s="145" t="s">
        <v>107</v>
      </c>
      <c r="G74" s="145" t="s">
        <v>108</v>
      </c>
      <c r="H74" s="145" t="s">
        <v>109</v>
      </c>
      <c r="I74" s="145" t="s">
        <v>22</v>
      </c>
      <c r="J74" s="146" t="s">
        <v>110</v>
      </c>
    </row>
    <row r="75" spans="1:10" outlineLevel="1" x14ac:dyDescent="0.2">
      <c r="A75" s="147" t="str">
        <f>IF($B$39="","",$B$39)</f>
        <v>2013</v>
      </c>
      <c r="B75" s="148" t="str">
        <f>IF($D$39="","",$D$39)</f>
        <v>Q3</v>
      </c>
      <c r="C75" s="149">
        <f>IF(OR($B$36="",$A$45="",$B$45=""),"",$B$36)</f>
        <v>41232</v>
      </c>
      <c r="D75" s="150">
        <f>DATE($A$45,IF($B75="Q1",3,IF($B75="Q2",6,IF($B75="Q3",9,12))),IF(OR($B75="Q1",$B75="Q4"),31,30))</f>
        <v>41182</v>
      </c>
      <c r="E75" s="328">
        <f>IF($C75="","",$D75-$C75)</f>
        <v>-50</v>
      </c>
      <c r="F75" s="168">
        <v>3.2500000000000001E-2</v>
      </c>
      <c r="G75" s="153">
        <f>IF($C75="","",$E$34)</f>
        <v>0</v>
      </c>
      <c r="H75" s="153">
        <f>IF($C75="","",($E75/365)*($F75)*$G75)</f>
        <v>0</v>
      </c>
      <c r="I75" s="153">
        <f>IF($C75="","",$G$75/20)</f>
        <v>0</v>
      </c>
      <c r="J75" s="154">
        <f>IF($C75="","",$G75-$I75)</f>
        <v>0</v>
      </c>
    </row>
    <row r="76" spans="1:10" outlineLevel="1" x14ac:dyDescent="0.2">
      <c r="A76" s="147" t="str">
        <f>IF($A75="","",IF($B75="Q4",$A75+1,$A75))</f>
        <v>2013</v>
      </c>
      <c r="B76" s="148" t="str">
        <f>IF($B75="","",CONCATENATE("Q",IF(RIGHT($B75,1)="4","1",RIGHT($B75,1)+1)))</f>
        <v>Q4</v>
      </c>
      <c r="C76" s="149">
        <f>D75+1</f>
        <v>41183</v>
      </c>
      <c r="D76" s="150">
        <f>DATE(IF($B76="Q1",$A75+1,$A75),IF($B76="Q1",3,IF($B76="Q2",6,IF($B76="Q3",9,12))),IF(OR($B76="Q1",$B76="Q4"),31,30))</f>
        <v>41639</v>
      </c>
      <c r="E76" s="151">
        <f t="shared" ref="E76:E95" si="10">IF($C76="","",$D76-$C76)</f>
        <v>456</v>
      </c>
      <c r="F76" s="152">
        <v>3.2500000000000001E-2</v>
      </c>
      <c r="G76" s="153">
        <f>IF($C76="","",$J75)</f>
        <v>0</v>
      </c>
      <c r="H76" s="153">
        <f t="shared" ref="H76:H95" si="11">IF($C76="","",($E76/365)*($F76)*$G76)</f>
        <v>0</v>
      </c>
      <c r="I76" s="153">
        <f t="shared" ref="I76:I94" si="12">IF($C76="","",$G$75/20)</f>
        <v>0</v>
      </c>
      <c r="J76" s="154">
        <f t="shared" ref="J76:J95" si="13">IF($C76="","",$G76-$I76)</f>
        <v>0</v>
      </c>
    </row>
    <row r="77" spans="1:10" outlineLevel="1" x14ac:dyDescent="0.2">
      <c r="A77" s="147">
        <f t="shared" ref="A77:A95" si="14">IF($A76="","",IF($B76="Q4",$A76+1,$A76))</f>
        <v>2014</v>
      </c>
      <c r="B77" s="148" t="str">
        <f t="shared" ref="B77:B95" si="15">IF($B76="","",CONCATENATE("Q",IF(RIGHT($B76,1)="4","1",RIGHT($B76,1)+1)))</f>
        <v>Q1</v>
      </c>
      <c r="C77" s="149">
        <f t="shared" ref="C77:C95" si="16">D76+1</f>
        <v>41640</v>
      </c>
      <c r="D77" s="150">
        <f t="shared" ref="D77:D95" si="17">DATE(IF($B77="Q1",$A76+1,$A76),IF($B77="Q1",3,IF($B77="Q2",6,IF($B77="Q3",9,12))),IF(OR($B77="Q1",$B77="Q4"),31,30))</f>
        <v>41729</v>
      </c>
      <c r="E77" s="151">
        <f t="shared" si="10"/>
        <v>89</v>
      </c>
      <c r="F77" s="152">
        <v>3.2500000000000001E-2</v>
      </c>
      <c r="G77" s="153">
        <f t="shared" ref="G77:G95" si="18">IF($C77="","",$J76)</f>
        <v>0</v>
      </c>
      <c r="H77" s="153">
        <f t="shared" si="11"/>
        <v>0</v>
      </c>
      <c r="I77" s="153">
        <f t="shared" si="12"/>
        <v>0</v>
      </c>
      <c r="J77" s="154">
        <f t="shared" si="13"/>
        <v>0</v>
      </c>
    </row>
    <row r="78" spans="1:10" outlineLevel="1" x14ac:dyDescent="0.2">
      <c r="A78" s="147">
        <f t="shared" si="14"/>
        <v>2014</v>
      </c>
      <c r="B78" s="148" t="str">
        <f t="shared" si="15"/>
        <v>Q2</v>
      </c>
      <c r="C78" s="149">
        <f t="shared" si="16"/>
        <v>41730</v>
      </c>
      <c r="D78" s="150">
        <f t="shared" si="17"/>
        <v>41820</v>
      </c>
      <c r="E78" s="151">
        <f t="shared" si="10"/>
        <v>90</v>
      </c>
      <c r="F78" s="152">
        <v>3.2500000000000001E-2</v>
      </c>
      <c r="G78" s="153">
        <f t="shared" si="18"/>
        <v>0</v>
      </c>
      <c r="H78" s="153">
        <f t="shared" si="11"/>
        <v>0</v>
      </c>
      <c r="I78" s="153">
        <f t="shared" si="12"/>
        <v>0</v>
      </c>
      <c r="J78" s="154">
        <f t="shared" si="13"/>
        <v>0</v>
      </c>
    </row>
    <row r="79" spans="1:10" outlineLevel="1" x14ac:dyDescent="0.2">
      <c r="A79" s="147">
        <f t="shared" si="14"/>
        <v>2014</v>
      </c>
      <c r="B79" s="148" t="str">
        <f t="shared" si="15"/>
        <v>Q3</v>
      </c>
      <c r="C79" s="149">
        <f t="shared" si="16"/>
        <v>41821</v>
      </c>
      <c r="D79" s="150">
        <f t="shared" si="17"/>
        <v>41912</v>
      </c>
      <c r="E79" s="151">
        <f t="shared" si="10"/>
        <v>91</v>
      </c>
      <c r="F79" s="152">
        <v>3.2500000000000001E-2</v>
      </c>
      <c r="G79" s="153">
        <f t="shared" si="18"/>
        <v>0</v>
      </c>
      <c r="H79" s="153">
        <f t="shared" si="11"/>
        <v>0</v>
      </c>
      <c r="I79" s="153">
        <f t="shared" si="12"/>
        <v>0</v>
      </c>
      <c r="J79" s="154">
        <f t="shared" si="13"/>
        <v>0</v>
      </c>
    </row>
    <row r="80" spans="1:10" outlineLevel="1" x14ac:dyDescent="0.2">
      <c r="A80" s="147">
        <f t="shared" si="14"/>
        <v>2014</v>
      </c>
      <c r="B80" s="148" t="str">
        <f t="shared" si="15"/>
        <v>Q4</v>
      </c>
      <c r="C80" s="149">
        <f t="shared" si="16"/>
        <v>41913</v>
      </c>
      <c r="D80" s="150">
        <f t="shared" si="17"/>
        <v>42004</v>
      </c>
      <c r="E80" s="151">
        <f t="shared" si="10"/>
        <v>91</v>
      </c>
      <c r="F80" s="152">
        <v>3.2500000000000001E-2</v>
      </c>
      <c r="G80" s="153">
        <f t="shared" si="18"/>
        <v>0</v>
      </c>
      <c r="H80" s="153">
        <f t="shared" si="11"/>
        <v>0</v>
      </c>
      <c r="I80" s="153">
        <f t="shared" si="12"/>
        <v>0</v>
      </c>
      <c r="J80" s="154">
        <f t="shared" si="13"/>
        <v>0</v>
      </c>
    </row>
    <row r="81" spans="1:10" outlineLevel="1" x14ac:dyDescent="0.2">
      <c r="A81" s="147">
        <f t="shared" si="14"/>
        <v>2015</v>
      </c>
      <c r="B81" s="148" t="str">
        <f t="shared" si="15"/>
        <v>Q1</v>
      </c>
      <c r="C81" s="149">
        <f t="shared" si="16"/>
        <v>42005</v>
      </c>
      <c r="D81" s="150">
        <f t="shared" si="17"/>
        <v>42094</v>
      </c>
      <c r="E81" s="151">
        <f t="shared" si="10"/>
        <v>89</v>
      </c>
      <c r="F81" s="152">
        <v>3.2500000000000001E-2</v>
      </c>
      <c r="G81" s="153">
        <f t="shared" si="18"/>
        <v>0</v>
      </c>
      <c r="H81" s="153">
        <f t="shared" si="11"/>
        <v>0</v>
      </c>
      <c r="I81" s="153">
        <f t="shared" si="12"/>
        <v>0</v>
      </c>
      <c r="J81" s="154">
        <f t="shared" si="13"/>
        <v>0</v>
      </c>
    </row>
    <row r="82" spans="1:10" outlineLevel="1" x14ac:dyDescent="0.2">
      <c r="A82" s="147">
        <f t="shared" si="14"/>
        <v>2015</v>
      </c>
      <c r="B82" s="148" t="str">
        <f t="shared" si="15"/>
        <v>Q2</v>
      </c>
      <c r="C82" s="149">
        <f t="shared" si="16"/>
        <v>42095</v>
      </c>
      <c r="D82" s="150">
        <f t="shared" si="17"/>
        <v>42185</v>
      </c>
      <c r="E82" s="151">
        <f t="shared" si="10"/>
        <v>90</v>
      </c>
      <c r="F82" s="152">
        <v>3.2500000000000001E-2</v>
      </c>
      <c r="G82" s="153">
        <f t="shared" si="18"/>
        <v>0</v>
      </c>
      <c r="H82" s="153">
        <f t="shared" si="11"/>
        <v>0</v>
      </c>
      <c r="I82" s="153">
        <f t="shared" si="12"/>
        <v>0</v>
      </c>
      <c r="J82" s="154">
        <f t="shared" si="13"/>
        <v>0</v>
      </c>
    </row>
    <row r="83" spans="1:10" outlineLevel="1" x14ac:dyDescent="0.2">
      <c r="A83" s="147">
        <f t="shared" si="14"/>
        <v>2015</v>
      </c>
      <c r="B83" s="148" t="str">
        <f t="shared" si="15"/>
        <v>Q3</v>
      </c>
      <c r="C83" s="149">
        <f t="shared" si="16"/>
        <v>42186</v>
      </c>
      <c r="D83" s="150">
        <f t="shared" si="17"/>
        <v>42277</v>
      </c>
      <c r="E83" s="151">
        <f t="shared" si="10"/>
        <v>91</v>
      </c>
      <c r="F83" s="152">
        <v>3.2500000000000001E-2</v>
      </c>
      <c r="G83" s="153">
        <f t="shared" si="18"/>
        <v>0</v>
      </c>
      <c r="H83" s="153">
        <f t="shared" si="11"/>
        <v>0</v>
      </c>
      <c r="I83" s="153">
        <f t="shared" si="12"/>
        <v>0</v>
      </c>
      <c r="J83" s="154">
        <f t="shared" si="13"/>
        <v>0</v>
      </c>
    </row>
    <row r="84" spans="1:10" outlineLevel="1" x14ac:dyDescent="0.2">
      <c r="A84" s="147">
        <f t="shared" si="14"/>
        <v>2015</v>
      </c>
      <c r="B84" s="148" t="str">
        <f t="shared" si="15"/>
        <v>Q4</v>
      </c>
      <c r="C84" s="149">
        <f t="shared" si="16"/>
        <v>42278</v>
      </c>
      <c r="D84" s="150">
        <f t="shared" si="17"/>
        <v>42369</v>
      </c>
      <c r="E84" s="151">
        <f t="shared" si="10"/>
        <v>91</v>
      </c>
      <c r="F84" s="152">
        <v>3.2500000000000001E-2</v>
      </c>
      <c r="G84" s="153">
        <f t="shared" si="18"/>
        <v>0</v>
      </c>
      <c r="H84" s="153">
        <f t="shared" si="11"/>
        <v>0</v>
      </c>
      <c r="I84" s="153">
        <f t="shared" si="12"/>
        <v>0</v>
      </c>
      <c r="J84" s="154">
        <f t="shared" si="13"/>
        <v>0</v>
      </c>
    </row>
    <row r="85" spans="1:10" outlineLevel="1" x14ac:dyDescent="0.2">
      <c r="A85" s="147">
        <f t="shared" si="14"/>
        <v>2016</v>
      </c>
      <c r="B85" s="148" t="str">
        <f t="shared" si="15"/>
        <v>Q1</v>
      </c>
      <c r="C85" s="149">
        <f t="shared" si="16"/>
        <v>42370</v>
      </c>
      <c r="D85" s="150">
        <f t="shared" si="17"/>
        <v>42460</v>
      </c>
      <c r="E85" s="151">
        <f t="shared" si="10"/>
        <v>90</v>
      </c>
      <c r="F85" s="152">
        <v>3.2500000000000001E-2</v>
      </c>
      <c r="G85" s="153">
        <f t="shared" si="18"/>
        <v>0</v>
      </c>
      <c r="H85" s="153">
        <f t="shared" si="11"/>
        <v>0</v>
      </c>
      <c r="I85" s="153">
        <f t="shared" si="12"/>
        <v>0</v>
      </c>
      <c r="J85" s="154">
        <f t="shared" si="13"/>
        <v>0</v>
      </c>
    </row>
    <row r="86" spans="1:10" outlineLevel="1" x14ac:dyDescent="0.2">
      <c r="A86" s="147">
        <f t="shared" si="14"/>
        <v>2016</v>
      </c>
      <c r="B86" s="148" t="str">
        <f t="shared" si="15"/>
        <v>Q2</v>
      </c>
      <c r="C86" s="149">
        <f t="shared" si="16"/>
        <v>42461</v>
      </c>
      <c r="D86" s="150">
        <f t="shared" si="17"/>
        <v>42551</v>
      </c>
      <c r="E86" s="151">
        <f t="shared" si="10"/>
        <v>90</v>
      </c>
      <c r="F86" s="152">
        <v>3.2500000000000001E-2</v>
      </c>
      <c r="G86" s="153">
        <f t="shared" si="18"/>
        <v>0</v>
      </c>
      <c r="H86" s="153">
        <f t="shared" si="11"/>
        <v>0</v>
      </c>
      <c r="I86" s="153">
        <f t="shared" si="12"/>
        <v>0</v>
      </c>
      <c r="J86" s="154">
        <f t="shared" si="13"/>
        <v>0</v>
      </c>
    </row>
    <row r="87" spans="1:10" outlineLevel="1" x14ac:dyDescent="0.2">
      <c r="A87" s="147">
        <f t="shared" si="14"/>
        <v>2016</v>
      </c>
      <c r="B87" s="148" t="str">
        <f t="shared" si="15"/>
        <v>Q3</v>
      </c>
      <c r="C87" s="149">
        <f t="shared" si="16"/>
        <v>42552</v>
      </c>
      <c r="D87" s="150">
        <f t="shared" si="17"/>
        <v>42643</v>
      </c>
      <c r="E87" s="151">
        <f t="shared" si="10"/>
        <v>91</v>
      </c>
      <c r="F87" s="152">
        <v>3.2500000000000001E-2</v>
      </c>
      <c r="G87" s="153">
        <f t="shared" si="18"/>
        <v>0</v>
      </c>
      <c r="H87" s="153">
        <f t="shared" si="11"/>
        <v>0</v>
      </c>
      <c r="I87" s="153">
        <f t="shared" si="12"/>
        <v>0</v>
      </c>
      <c r="J87" s="154">
        <f t="shared" si="13"/>
        <v>0</v>
      </c>
    </row>
    <row r="88" spans="1:10" outlineLevel="1" x14ac:dyDescent="0.2">
      <c r="A88" s="147">
        <f t="shared" si="14"/>
        <v>2016</v>
      </c>
      <c r="B88" s="148" t="str">
        <f t="shared" si="15"/>
        <v>Q4</v>
      </c>
      <c r="C88" s="149">
        <f t="shared" si="16"/>
        <v>42644</v>
      </c>
      <c r="D88" s="150">
        <f t="shared" si="17"/>
        <v>42735</v>
      </c>
      <c r="E88" s="151">
        <f t="shared" si="10"/>
        <v>91</v>
      </c>
      <c r="F88" s="152">
        <v>3.2500000000000001E-2</v>
      </c>
      <c r="G88" s="153">
        <f t="shared" si="18"/>
        <v>0</v>
      </c>
      <c r="H88" s="153">
        <f t="shared" si="11"/>
        <v>0</v>
      </c>
      <c r="I88" s="153">
        <f t="shared" si="12"/>
        <v>0</v>
      </c>
      <c r="J88" s="154">
        <f t="shared" si="13"/>
        <v>0</v>
      </c>
    </row>
    <row r="89" spans="1:10" outlineLevel="1" x14ac:dyDescent="0.2">
      <c r="A89" s="147">
        <f t="shared" si="14"/>
        <v>2017</v>
      </c>
      <c r="B89" s="148" t="str">
        <f t="shared" si="15"/>
        <v>Q1</v>
      </c>
      <c r="C89" s="149">
        <f t="shared" si="16"/>
        <v>42736</v>
      </c>
      <c r="D89" s="150">
        <f t="shared" si="17"/>
        <v>42825</v>
      </c>
      <c r="E89" s="151">
        <f t="shared" si="10"/>
        <v>89</v>
      </c>
      <c r="F89" s="152">
        <v>3.2500000000000001E-2</v>
      </c>
      <c r="G89" s="153">
        <f t="shared" si="18"/>
        <v>0</v>
      </c>
      <c r="H89" s="153">
        <f t="shared" si="11"/>
        <v>0</v>
      </c>
      <c r="I89" s="153">
        <f t="shared" si="12"/>
        <v>0</v>
      </c>
      <c r="J89" s="154">
        <f t="shared" si="13"/>
        <v>0</v>
      </c>
    </row>
    <row r="90" spans="1:10" outlineLevel="1" x14ac:dyDescent="0.2">
      <c r="A90" s="147">
        <f t="shared" si="14"/>
        <v>2017</v>
      </c>
      <c r="B90" s="148" t="str">
        <f t="shared" si="15"/>
        <v>Q2</v>
      </c>
      <c r="C90" s="149">
        <f t="shared" si="16"/>
        <v>42826</v>
      </c>
      <c r="D90" s="150">
        <f t="shared" si="17"/>
        <v>42916</v>
      </c>
      <c r="E90" s="151">
        <f t="shared" si="10"/>
        <v>90</v>
      </c>
      <c r="F90" s="152">
        <v>3.2500000000000001E-2</v>
      </c>
      <c r="G90" s="153">
        <f t="shared" si="18"/>
        <v>0</v>
      </c>
      <c r="H90" s="153">
        <f t="shared" si="11"/>
        <v>0</v>
      </c>
      <c r="I90" s="153">
        <f t="shared" si="12"/>
        <v>0</v>
      </c>
      <c r="J90" s="154">
        <f t="shared" si="13"/>
        <v>0</v>
      </c>
    </row>
    <row r="91" spans="1:10" outlineLevel="1" x14ac:dyDescent="0.2">
      <c r="A91" s="147">
        <f t="shared" si="14"/>
        <v>2017</v>
      </c>
      <c r="B91" s="148" t="str">
        <f t="shared" si="15"/>
        <v>Q3</v>
      </c>
      <c r="C91" s="149">
        <f t="shared" si="16"/>
        <v>42917</v>
      </c>
      <c r="D91" s="150">
        <f t="shared" si="17"/>
        <v>43008</v>
      </c>
      <c r="E91" s="151">
        <f t="shared" si="10"/>
        <v>91</v>
      </c>
      <c r="F91" s="152">
        <v>3.2500000000000001E-2</v>
      </c>
      <c r="G91" s="153">
        <f t="shared" si="18"/>
        <v>0</v>
      </c>
      <c r="H91" s="153">
        <f t="shared" si="11"/>
        <v>0</v>
      </c>
      <c r="I91" s="153">
        <f t="shared" si="12"/>
        <v>0</v>
      </c>
      <c r="J91" s="154">
        <f t="shared" si="13"/>
        <v>0</v>
      </c>
    </row>
    <row r="92" spans="1:10" outlineLevel="1" x14ac:dyDescent="0.2">
      <c r="A92" s="147">
        <f t="shared" si="14"/>
        <v>2017</v>
      </c>
      <c r="B92" s="148" t="str">
        <f t="shared" si="15"/>
        <v>Q4</v>
      </c>
      <c r="C92" s="149">
        <f t="shared" si="16"/>
        <v>43009</v>
      </c>
      <c r="D92" s="150">
        <f t="shared" si="17"/>
        <v>43100</v>
      </c>
      <c r="E92" s="151">
        <f t="shared" si="10"/>
        <v>91</v>
      </c>
      <c r="F92" s="152">
        <v>3.2500000000000001E-2</v>
      </c>
      <c r="G92" s="153">
        <f t="shared" si="18"/>
        <v>0</v>
      </c>
      <c r="H92" s="153">
        <f t="shared" si="11"/>
        <v>0</v>
      </c>
      <c r="I92" s="153">
        <f t="shared" si="12"/>
        <v>0</v>
      </c>
      <c r="J92" s="154">
        <f t="shared" si="13"/>
        <v>0</v>
      </c>
    </row>
    <row r="93" spans="1:10" outlineLevel="1" x14ac:dyDescent="0.2">
      <c r="A93" s="147">
        <f t="shared" si="14"/>
        <v>2018</v>
      </c>
      <c r="B93" s="148" t="str">
        <f t="shared" si="15"/>
        <v>Q1</v>
      </c>
      <c r="C93" s="149">
        <f t="shared" si="16"/>
        <v>43101</v>
      </c>
      <c r="D93" s="150">
        <f t="shared" si="17"/>
        <v>43190</v>
      </c>
      <c r="E93" s="151">
        <f t="shared" si="10"/>
        <v>89</v>
      </c>
      <c r="F93" s="152">
        <v>3.2500000000000001E-2</v>
      </c>
      <c r="G93" s="153">
        <f t="shared" si="18"/>
        <v>0</v>
      </c>
      <c r="H93" s="153">
        <f t="shared" si="11"/>
        <v>0</v>
      </c>
      <c r="I93" s="153">
        <f t="shared" si="12"/>
        <v>0</v>
      </c>
      <c r="J93" s="154">
        <f t="shared" si="13"/>
        <v>0</v>
      </c>
    </row>
    <row r="94" spans="1:10" outlineLevel="1" x14ac:dyDescent="0.2">
      <c r="A94" s="147">
        <f t="shared" si="14"/>
        <v>2018</v>
      </c>
      <c r="B94" s="148" t="str">
        <f t="shared" si="15"/>
        <v>Q2</v>
      </c>
      <c r="C94" s="149">
        <f t="shared" si="16"/>
        <v>43191</v>
      </c>
      <c r="D94" s="150">
        <f t="shared" si="17"/>
        <v>43281</v>
      </c>
      <c r="E94" s="151">
        <f t="shared" si="10"/>
        <v>90</v>
      </c>
      <c r="F94" s="152">
        <v>3.2500000000000001E-2</v>
      </c>
      <c r="G94" s="153">
        <f t="shared" si="18"/>
        <v>0</v>
      </c>
      <c r="H94" s="153">
        <f t="shared" si="11"/>
        <v>0</v>
      </c>
      <c r="I94" s="153">
        <f t="shared" si="12"/>
        <v>0</v>
      </c>
      <c r="J94" s="154">
        <f t="shared" si="13"/>
        <v>0</v>
      </c>
    </row>
    <row r="95" spans="1:10" ht="13.5" outlineLevel="1" thickBot="1" x14ac:dyDescent="0.25">
      <c r="A95" s="155">
        <f t="shared" si="14"/>
        <v>2018</v>
      </c>
      <c r="B95" s="156" t="str">
        <f t="shared" si="15"/>
        <v>Q3</v>
      </c>
      <c r="C95" s="157">
        <f t="shared" si="16"/>
        <v>43282</v>
      </c>
      <c r="D95" s="158">
        <f t="shared" si="17"/>
        <v>43373</v>
      </c>
      <c r="E95" s="159">
        <f t="shared" si="10"/>
        <v>91</v>
      </c>
      <c r="F95" s="160">
        <v>3.2500000000000001E-2</v>
      </c>
      <c r="G95" s="161">
        <f t="shared" si="18"/>
        <v>0</v>
      </c>
      <c r="H95" s="161">
        <f t="shared" si="11"/>
        <v>0</v>
      </c>
      <c r="I95" s="161">
        <v>0</v>
      </c>
      <c r="J95" s="162">
        <f t="shared" si="13"/>
        <v>0</v>
      </c>
    </row>
    <row r="96" spans="1:10" ht="14.25" thickTop="1" thickBot="1" x14ac:dyDescent="0.25">
      <c r="A96" s="163" t="s">
        <v>0</v>
      </c>
      <c r="B96" s="164"/>
      <c r="C96" s="165"/>
      <c r="D96" s="165"/>
      <c r="E96" s="165"/>
      <c r="F96" s="165"/>
      <c r="G96" s="166">
        <f>SUM($G$75:$G$95)</f>
        <v>0</v>
      </c>
      <c r="H96" s="166">
        <f>SUM($H$75:$H$95)</f>
        <v>0</v>
      </c>
      <c r="I96" s="166">
        <f>SUM($I$75:$I$95)</f>
        <v>0</v>
      </c>
      <c r="J96" s="167"/>
    </row>
  </sheetData>
  <mergeCells count="6">
    <mergeCell ref="B36:D36"/>
    <mergeCell ref="A38:D38"/>
    <mergeCell ref="A43:J43"/>
    <mergeCell ref="A73:J73"/>
    <mergeCell ref="K45:O47"/>
    <mergeCell ref="I37:M37"/>
  </mergeCells>
  <pageMargins left="0.5" right="0.5" top="1" bottom="0.89" header="0.5" footer="0.5"/>
  <pageSetup scale="53" fitToHeight="9999" orientation="landscape" horizontalDpi="300" verticalDpi="1200" r:id="rId1"/>
  <headerFooter alignWithMargins="0">
    <oddHeader>&amp;RTO9 Annual Update
Attachment 4
WP Schedule 22
Page &amp;P of &amp;N</oddHeader>
    <oddFooter>&amp;C&amp;A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</sheetPr>
  <dimension ref="A2:Q68"/>
  <sheetViews>
    <sheetView topLeftCell="C1" zoomScale="85" zoomScaleNormal="85" workbookViewId="0">
      <selection activeCell="C1" sqref="C1"/>
    </sheetView>
  </sheetViews>
  <sheetFormatPr defaultColWidth="9.140625" defaultRowHeight="12.75" outlineLevelRow="1" x14ac:dyDescent="0.2"/>
  <cols>
    <col min="1" max="1" width="18.140625" style="108" bestFit="1" customWidth="1"/>
    <col min="2" max="2" width="14.28515625" style="108" bestFit="1" customWidth="1"/>
    <col min="3" max="3" width="28.85546875" style="109" bestFit="1" customWidth="1"/>
    <col min="4" max="4" width="14.140625" style="109" customWidth="1"/>
    <col min="5" max="5" width="13.5703125" style="109" bestFit="1" customWidth="1"/>
    <col min="6" max="6" width="14.28515625" style="109" customWidth="1"/>
    <col min="7" max="7" width="15.85546875" style="110" customWidth="1"/>
    <col min="8" max="8" width="18" style="110" bestFit="1" customWidth="1"/>
    <col min="9" max="9" width="14" style="110" bestFit="1" customWidth="1"/>
    <col min="10" max="10" width="17" style="110" bestFit="1" customWidth="1"/>
    <col min="11" max="11" width="19.28515625" style="110" bestFit="1" customWidth="1"/>
    <col min="12" max="16384" width="9.140625" style="110"/>
  </cols>
  <sheetData>
    <row r="2" spans="1:6" ht="13.5" thickBot="1" x14ac:dyDescent="0.25"/>
    <row r="3" spans="1:6" s="115" customFormat="1" ht="26.25" thickBot="1" x14ac:dyDescent="0.25">
      <c r="A3" s="111" t="s">
        <v>23</v>
      </c>
      <c r="B3" s="112" t="s">
        <v>95</v>
      </c>
      <c r="C3" s="113" t="s">
        <v>96</v>
      </c>
      <c r="D3" s="113" t="s">
        <v>1</v>
      </c>
      <c r="E3" s="113" t="s">
        <v>90</v>
      </c>
      <c r="F3" s="114" t="s">
        <v>97</v>
      </c>
    </row>
    <row r="4" spans="1:6" ht="12.75" hidden="1" customHeight="1" outlineLevel="1" x14ac:dyDescent="0.2">
      <c r="A4" s="116">
        <f>IF($F4="","",1)</f>
        <v>1</v>
      </c>
      <c r="B4" s="117"/>
      <c r="C4" s="118">
        <v>245000</v>
      </c>
      <c r="D4" s="118">
        <v>0</v>
      </c>
      <c r="E4" s="118">
        <v>0</v>
      </c>
      <c r="F4" s="119">
        <f>IF(AND(ISBLANK($C4),ISBLANK($D4),ISBLANK($E4)),"",SUM($C4:$E4))</f>
        <v>245000</v>
      </c>
    </row>
    <row r="5" spans="1:6" ht="12.75" hidden="1" customHeight="1" outlineLevel="1" x14ac:dyDescent="0.2">
      <c r="A5" s="116" t="str">
        <f>IF($F5="","",$A4+1)</f>
        <v/>
      </c>
      <c r="B5" s="117"/>
      <c r="C5" s="118"/>
      <c r="D5" s="118"/>
      <c r="E5" s="118"/>
      <c r="F5" s="119" t="str">
        <f t="shared" ref="F5:F33" si="0">IF(AND(ISBLANK($C5),ISBLANK($D5),ISBLANK($E5)),"",SUM($C5:$E5))</f>
        <v/>
      </c>
    </row>
    <row r="6" spans="1:6" ht="12.75" hidden="1" customHeight="1" outlineLevel="1" x14ac:dyDescent="0.2">
      <c r="A6" s="116" t="str">
        <f t="shared" ref="A6:A33" si="1">IF($F6="","",$A5+1)</f>
        <v/>
      </c>
      <c r="B6" s="117"/>
      <c r="C6" s="118"/>
      <c r="D6" s="118"/>
      <c r="E6" s="118"/>
      <c r="F6" s="119" t="str">
        <f t="shared" si="0"/>
        <v/>
      </c>
    </row>
    <row r="7" spans="1:6" ht="12.75" hidden="1" customHeight="1" outlineLevel="1" x14ac:dyDescent="0.2">
      <c r="A7" s="116" t="str">
        <f t="shared" si="1"/>
        <v/>
      </c>
      <c r="B7" s="117"/>
      <c r="C7" s="118"/>
      <c r="D7" s="118"/>
      <c r="E7" s="118"/>
      <c r="F7" s="119" t="str">
        <f>IF(AND(ISBLANK($C7),ISBLANK($D7),ISBLANK($E7)),"",SUM($C7:$E7))</f>
        <v/>
      </c>
    </row>
    <row r="8" spans="1:6" ht="12.75" hidden="1" customHeight="1" outlineLevel="1" x14ac:dyDescent="0.2">
      <c r="A8" s="116" t="str">
        <f t="shared" si="1"/>
        <v/>
      </c>
      <c r="B8" s="117"/>
      <c r="C8" s="118"/>
      <c r="D8" s="118"/>
      <c r="E8" s="118"/>
      <c r="F8" s="119" t="str">
        <f t="shared" si="0"/>
        <v/>
      </c>
    </row>
    <row r="9" spans="1:6" ht="12.75" hidden="1" customHeight="1" outlineLevel="1" x14ac:dyDescent="0.2">
      <c r="A9" s="116" t="str">
        <f t="shared" si="1"/>
        <v/>
      </c>
      <c r="B9" s="117"/>
      <c r="C9" s="118"/>
      <c r="D9" s="118"/>
      <c r="E9" s="118"/>
      <c r="F9" s="119" t="str">
        <f t="shared" si="0"/>
        <v/>
      </c>
    </row>
    <row r="10" spans="1:6" ht="12.75" hidden="1" customHeight="1" outlineLevel="1" x14ac:dyDescent="0.2">
      <c r="A10" s="116" t="str">
        <f t="shared" si="1"/>
        <v/>
      </c>
      <c r="B10" s="117"/>
      <c r="C10" s="118"/>
      <c r="D10" s="118"/>
      <c r="E10" s="118"/>
      <c r="F10" s="119" t="str">
        <f t="shared" si="0"/>
        <v/>
      </c>
    </row>
    <row r="11" spans="1:6" ht="12.75" hidden="1" customHeight="1" outlineLevel="1" x14ac:dyDescent="0.2">
      <c r="A11" s="116" t="str">
        <f t="shared" si="1"/>
        <v/>
      </c>
      <c r="B11" s="117"/>
      <c r="C11" s="118"/>
      <c r="D11" s="118"/>
      <c r="E11" s="118"/>
      <c r="F11" s="119" t="str">
        <f t="shared" si="0"/>
        <v/>
      </c>
    </row>
    <row r="12" spans="1:6" ht="12.75" hidden="1" customHeight="1" outlineLevel="1" x14ac:dyDescent="0.2">
      <c r="A12" s="116" t="str">
        <f t="shared" si="1"/>
        <v/>
      </c>
      <c r="B12" s="117"/>
      <c r="C12" s="118"/>
      <c r="D12" s="118"/>
      <c r="E12" s="118"/>
      <c r="F12" s="119" t="str">
        <f t="shared" si="0"/>
        <v/>
      </c>
    </row>
    <row r="13" spans="1:6" ht="12.75" hidden="1" customHeight="1" outlineLevel="1" x14ac:dyDescent="0.2">
      <c r="A13" s="116" t="str">
        <f t="shared" si="1"/>
        <v/>
      </c>
      <c r="B13" s="117"/>
      <c r="C13" s="118"/>
      <c r="D13" s="118"/>
      <c r="E13" s="118"/>
      <c r="F13" s="119" t="str">
        <f t="shared" si="0"/>
        <v/>
      </c>
    </row>
    <row r="14" spans="1:6" ht="12.75" hidden="1" customHeight="1" outlineLevel="1" x14ac:dyDescent="0.2">
      <c r="A14" s="116" t="str">
        <f t="shared" si="1"/>
        <v/>
      </c>
      <c r="B14" s="117"/>
      <c r="C14" s="118"/>
      <c r="D14" s="118"/>
      <c r="E14" s="118"/>
      <c r="F14" s="119" t="str">
        <f t="shared" si="0"/>
        <v/>
      </c>
    </row>
    <row r="15" spans="1:6" ht="12.75" hidden="1" customHeight="1" outlineLevel="1" x14ac:dyDescent="0.2">
      <c r="A15" s="116" t="str">
        <f t="shared" si="1"/>
        <v/>
      </c>
      <c r="B15" s="117"/>
      <c r="C15" s="118"/>
      <c r="D15" s="118"/>
      <c r="E15" s="118"/>
      <c r="F15" s="119" t="str">
        <f t="shared" si="0"/>
        <v/>
      </c>
    </row>
    <row r="16" spans="1:6" ht="12.75" hidden="1" customHeight="1" outlineLevel="1" x14ac:dyDescent="0.2">
      <c r="A16" s="116" t="str">
        <f t="shared" si="1"/>
        <v/>
      </c>
      <c r="B16" s="117"/>
      <c r="C16" s="118"/>
      <c r="D16" s="118"/>
      <c r="E16" s="118"/>
      <c r="F16" s="119" t="str">
        <f t="shared" si="0"/>
        <v/>
      </c>
    </row>
    <row r="17" spans="1:6" ht="12.75" hidden="1" customHeight="1" outlineLevel="1" x14ac:dyDescent="0.2">
      <c r="A17" s="116" t="str">
        <f t="shared" si="1"/>
        <v/>
      </c>
      <c r="B17" s="117"/>
      <c r="C17" s="118"/>
      <c r="D17" s="118"/>
      <c r="E17" s="118"/>
      <c r="F17" s="119" t="str">
        <f t="shared" si="0"/>
        <v/>
      </c>
    </row>
    <row r="18" spans="1:6" ht="12.75" hidden="1" customHeight="1" outlineLevel="1" x14ac:dyDescent="0.2">
      <c r="A18" s="116" t="str">
        <f t="shared" si="1"/>
        <v/>
      </c>
      <c r="B18" s="117"/>
      <c r="C18" s="118"/>
      <c r="D18" s="118"/>
      <c r="E18" s="118"/>
      <c r="F18" s="119" t="str">
        <f t="shared" si="0"/>
        <v/>
      </c>
    </row>
    <row r="19" spans="1:6" ht="12.75" hidden="1" customHeight="1" outlineLevel="1" x14ac:dyDescent="0.2">
      <c r="A19" s="116" t="str">
        <f t="shared" si="1"/>
        <v/>
      </c>
      <c r="B19" s="117"/>
      <c r="C19" s="118"/>
      <c r="D19" s="118"/>
      <c r="E19" s="118"/>
      <c r="F19" s="119" t="str">
        <f t="shared" si="0"/>
        <v/>
      </c>
    </row>
    <row r="20" spans="1:6" ht="12.75" hidden="1" customHeight="1" outlineLevel="1" x14ac:dyDescent="0.2">
      <c r="A20" s="116" t="str">
        <f t="shared" si="1"/>
        <v/>
      </c>
      <c r="B20" s="117"/>
      <c r="C20" s="118"/>
      <c r="D20" s="118"/>
      <c r="E20" s="118"/>
      <c r="F20" s="119" t="str">
        <f t="shared" si="0"/>
        <v/>
      </c>
    </row>
    <row r="21" spans="1:6" ht="12.75" hidden="1" customHeight="1" outlineLevel="1" x14ac:dyDescent="0.2">
      <c r="A21" s="116" t="str">
        <f t="shared" si="1"/>
        <v/>
      </c>
      <c r="B21" s="117"/>
      <c r="C21" s="118"/>
      <c r="D21" s="118"/>
      <c r="E21" s="118"/>
      <c r="F21" s="119" t="str">
        <f t="shared" si="0"/>
        <v/>
      </c>
    </row>
    <row r="22" spans="1:6" ht="12.75" hidden="1" customHeight="1" outlineLevel="1" x14ac:dyDescent="0.2">
      <c r="A22" s="116" t="str">
        <f t="shared" si="1"/>
        <v/>
      </c>
      <c r="B22" s="117"/>
      <c r="C22" s="118"/>
      <c r="D22" s="118"/>
      <c r="E22" s="118"/>
      <c r="F22" s="119" t="str">
        <f t="shared" si="0"/>
        <v/>
      </c>
    </row>
    <row r="23" spans="1:6" ht="12.75" hidden="1" customHeight="1" outlineLevel="1" x14ac:dyDescent="0.2">
      <c r="A23" s="116" t="str">
        <f t="shared" si="1"/>
        <v/>
      </c>
      <c r="B23" s="117"/>
      <c r="C23" s="118"/>
      <c r="D23" s="118"/>
      <c r="E23" s="118"/>
      <c r="F23" s="119" t="str">
        <f t="shared" si="0"/>
        <v/>
      </c>
    </row>
    <row r="24" spans="1:6" ht="12.75" hidden="1" customHeight="1" outlineLevel="1" x14ac:dyDescent="0.2">
      <c r="A24" s="116" t="str">
        <f t="shared" si="1"/>
        <v/>
      </c>
      <c r="B24" s="117"/>
      <c r="C24" s="118"/>
      <c r="D24" s="118"/>
      <c r="E24" s="118"/>
      <c r="F24" s="119" t="str">
        <f t="shared" si="0"/>
        <v/>
      </c>
    </row>
    <row r="25" spans="1:6" ht="12.75" hidden="1" customHeight="1" outlineLevel="1" x14ac:dyDescent="0.2">
      <c r="A25" s="116" t="str">
        <f t="shared" si="1"/>
        <v/>
      </c>
      <c r="B25" s="117"/>
      <c r="C25" s="118"/>
      <c r="D25" s="118"/>
      <c r="E25" s="118"/>
      <c r="F25" s="119" t="str">
        <f t="shared" si="0"/>
        <v/>
      </c>
    </row>
    <row r="26" spans="1:6" ht="12.75" hidden="1" customHeight="1" outlineLevel="1" x14ac:dyDescent="0.2">
      <c r="A26" s="116" t="str">
        <f t="shared" si="1"/>
        <v/>
      </c>
      <c r="B26" s="117"/>
      <c r="C26" s="118"/>
      <c r="D26" s="118"/>
      <c r="E26" s="118"/>
      <c r="F26" s="119" t="str">
        <f t="shared" si="0"/>
        <v/>
      </c>
    </row>
    <row r="27" spans="1:6" ht="12.75" hidden="1" customHeight="1" outlineLevel="1" x14ac:dyDescent="0.2">
      <c r="A27" s="116" t="str">
        <f t="shared" si="1"/>
        <v/>
      </c>
      <c r="B27" s="117"/>
      <c r="C27" s="118"/>
      <c r="D27" s="118"/>
      <c r="E27" s="118"/>
      <c r="F27" s="119" t="str">
        <f t="shared" si="0"/>
        <v/>
      </c>
    </row>
    <row r="28" spans="1:6" ht="12.75" hidden="1" customHeight="1" outlineLevel="1" x14ac:dyDescent="0.2">
      <c r="A28" s="116" t="str">
        <f t="shared" si="1"/>
        <v/>
      </c>
      <c r="B28" s="117"/>
      <c r="C28" s="118"/>
      <c r="D28" s="118"/>
      <c r="E28" s="118"/>
      <c r="F28" s="119" t="str">
        <f t="shared" si="0"/>
        <v/>
      </c>
    </row>
    <row r="29" spans="1:6" ht="12.75" hidden="1" customHeight="1" outlineLevel="1" x14ac:dyDescent="0.2">
      <c r="A29" s="116" t="str">
        <f t="shared" si="1"/>
        <v/>
      </c>
      <c r="B29" s="117"/>
      <c r="C29" s="118"/>
      <c r="D29" s="118"/>
      <c r="E29" s="118"/>
      <c r="F29" s="119" t="str">
        <f t="shared" si="0"/>
        <v/>
      </c>
    </row>
    <row r="30" spans="1:6" ht="12.75" hidden="1" customHeight="1" outlineLevel="1" x14ac:dyDescent="0.2">
      <c r="A30" s="116" t="str">
        <f t="shared" si="1"/>
        <v/>
      </c>
      <c r="B30" s="117"/>
      <c r="C30" s="118"/>
      <c r="D30" s="118"/>
      <c r="E30" s="118"/>
      <c r="F30" s="119" t="str">
        <f t="shared" si="0"/>
        <v/>
      </c>
    </row>
    <row r="31" spans="1:6" ht="12.75" hidden="1" customHeight="1" outlineLevel="1" x14ac:dyDescent="0.2">
      <c r="A31" s="116" t="str">
        <f t="shared" si="1"/>
        <v/>
      </c>
      <c r="B31" s="117"/>
      <c r="C31" s="118"/>
      <c r="D31" s="118"/>
      <c r="E31" s="118"/>
      <c r="F31" s="119" t="str">
        <f t="shared" si="0"/>
        <v/>
      </c>
    </row>
    <row r="32" spans="1:6" ht="12.75" hidden="1" customHeight="1" outlineLevel="1" x14ac:dyDescent="0.2">
      <c r="A32" s="116" t="str">
        <f t="shared" si="1"/>
        <v/>
      </c>
      <c r="B32" s="117"/>
      <c r="C32" s="118"/>
      <c r="D32" s="118"/>
      <c r="E32" s="118"/>
      <c r="F32" s="119" t="str">
        <f t="shared" si="0"/>
        <v/>
      </c>
    </row>
    <row r="33" spans="1:17" ht="13.5" hidden="1" customHeight="1" outlineLevel="1" thickBot="1" x14ac:dyDescent="0.25">
      <c r="A33" s="120" t="str">
        <f t="shared" si="1"/>
        <v/>
      </c>
      <c r="B33" s="121"/>
      <c r="C33" s="122"/>
      <c r="D33" s="122"/>
      <c r="E33" s="122"/>
      <c r="F33" s="123" t="str">
        <f t="shared" si="0"/>
        <v/>
      </c>
    </row>
    <row r="34" spans="1:17" ht="13.5" collapsed="1" thickBot="1" x14ac:dyDescent="0.25">
      <c r="A34" s="124" t="s">
        <v>98</v>
      </c>
      <c r="B34" s="125"/>
      <c r="C34" s="126">
        <v>587553</v>
      </c>
      <c r="D34" s="126">
        <f>SUM($D$4:$D$33)</f>
        <v>0</v>
      </c>
      <c r="E34" s="126">
        <f>SUM($E$4:$E$33)</f>
        <v>0</v>
      </c>
      <c r="F34" s="127">
        <f>SUM($F$4:$F$33)</f>
        <v>245000</v>
      </c>
    </row>
    <row r="35" spans="1:17" ht="13.5" thickBot="1" x14ac:dyDescent="0.25"/>
    <row r="36" spans="1:17" ht="13.5" thickBot="1" x14ac:dyDescent="0.25">
      <c r="A36" s="128" t="s">
        <v>99</v>
      </c>
      <c r="B36" s="495">
        <v>41358</v>
      </c>
      <c r="C36" s="495"/>
      <c r="D36" s="496"/>
    </row>
    <row r="37" spans="1:17" ht="13.5" thickBot="1" x14ac:dyDescent="0.25">
      <c r="A37" s="129"/>
      <c r="B37" s="130"/>
      <c r="G37" s="285" t="s">
        <v>157</v>
      </c>
      <c r="H37" s="284"/>
      <c r="I37" s="285"/>
      <c r="J37" s="285"/>
    </row>
    <row r="38" spans="1:17" ht="13.5" thickBot="1" x14ac:dyDescent="0.25">
      <c r="A38" s="486" t="s">
        <v>100</v>
      </c>
      <c r="B38" s="487"/>
      <c r="C38" s="487"/>
      <c r="D38" s="488"/>
      <c r="G38" s="285" t="s">
        <v>150</v>
      </c>
      <c r="H38" s="327">
        <v>41537</v>
      </c>
      <c r="I38" s="285"/>
      <c r="J38" s="285"/>
    </row>
    <row r="39" spans="1:17" x14ac:dyDescent="0.2">
      <c r="A39" s="131" t="s">
        <v>101</v>
      </c>
      <c r="B39" s="132" t="s">
        <v>114</v>
      </c>
      <c r="C39" s="133" t="s">
        <v>102</v>
      </c>
      <c r="D39" s="134" t="s">
        <v>116</v>
      </c>
      <c r="G39" s="285" t="s">
        <v>151</v>
      </c>
      <c r="H39" s="327">
        <v>41549</v>
      </c>
      <c r="I39" s="285"/>
      <c r="J39" s="285"/>
    </row>
    <row r="40" spans="1:17" ht="13.5" thickBot="1" x14ac:dyDescent="0.25">
      <c r="A40" s="135" t="s">
        <v>103</v>
      </c>
      <c r="B40" s="136" t="s">
        <v>115</v>
      </c>
      <c r="C40" s="137" t="s">
        <v>104</v>
      </c>
      <c r="D40" s="138" t="s">
        <v>112</v>
      </c>
      <c r="F40" s="139"/>
      <c r="G40" s="285" t="s">
        <v>152</v>
      </c>
      <c r="H40" s="327">
        <v>41552</v>
      </c>
      <c r="I40" s="285"/>
      <c r="J40" s="285"/>
    </row>
    <row r="41" spans="1:17" ht="15.75" x14ac:dyDescent="0.25">
      <c r="A41" s="140" t="str">
        <f>IF(TEXT($B$36,"yyyy")&gt;$B$39,"****ERROR_In Service Date Later Than Refund Start Date","")</f>
        <v/>
      </c>
      <c r="B41" s="108">
        <f>SUM(B6+B11+B16+B21+B26+B31+B36)</f>
        <v>41358</v>
      </c>
      <c r="F41" s="141"/>
      <c r="H41" s="142"/>
    </row>
    <row r="42" spans="1:17" ht="13.5" thickBot="1" x14ac:dyDescent="0.25"/>
    <row r="43" spans="1:17" ht="13.5" thickBot="1" x14ac:dyDescent="0.25">
      <c r="A43" s="489" t="s">
        <v>25</v>
      </c>
      <c r="B43" s="490"/>
      <c r="C43" s="490"/>
      <c r="D43" s="490"/>
      <c r="E43" s="490"/>
      <c r="F43" s="490"/>
      <c r="G43" s="490"/>
      <c r="H43" s="490"/>
      <c r="I43" s="490"/>
      <c r="J43" s="490"/>
      <c r="K43" s="491"/>
    </row>
    <row r="44" spans="1:17" ht="13.5" thickBot="1" x14ac:dyDescent="0.25">
      <c r="A44" s="143" t="s">
        <v>105</v>
      </c>
      <c r="B44" s="144" t="s">
        <v>106</v>
      </c>
      <c r="C44" s="145" t="s">
        <v>16</v>
      </c>
      <c r="D44" s="145" t="s">
        <v>17</v>
      </c>
      <c r="E44" s="145" t="s">
        <v>18</v>
      </c>
      <c r="F44" s="145" t="s">
        <v>107</v>
      </c>
      <c r="G44" s="145" t="s">
        <v>108</v>
      </c>
      <c r="H44" s="145" t="s">
        <v>109</v>
      </c>
      <c r="I44" s="145" t="s">
        <v>22</v>
      </c>
      <c r="J44" s="145" t="s">
        <v>75</v>
      </c>
      <c r="K44" s="146" t="s">
        <v>110</v>
      </c>
    </row>
    <row r="45" spans="1:17" ht="12.75" customHeight="1" x14ac:dyDescent="0.2">
      <c r="A45" s="308">
        <v>2013</v>
      </c>
      <c r="B45" s="309" t="s">
        <v>112</v>
      </c>
      <c r="C45" s="310">
        <f>$B$36</f>
        <v>41358</v>
      </c>
      <c r="D45" s="310">
        <v>41364</v>
      </c>
      <c r="E45" s="311">
        <f>D45-C45+1</f>
        <v>7</v>
      </c>
      <c r="F45" s="312">
        <v>3.2500000000000001E-2</v>
      </c>
      <c r="G45" s="313">
        <f>F34</f>
        <v>245000</v>
      </c>
      <c r="H45" s="313">
        <f>G45*(F45)*(E45/365)</f>
        <v>152.70547945205479</v>
      </c>
      <c r="I45" s="313">
        <v>0</v>
      </c>
      <c r="J45" s="313"/>
      <c r="K45" s="314">
        <f>G45+H45</f>
        <v>245152.70547945207</v>
      </c>
      <c r="L45" s="492" t="s">
        <v>155</v>
      </c>
      <c r="M45" s="497"/>
      <c r="N45" s="497"/>
      <c r="O45" s="497"/>
      <c r="P45" s="497"/>
      <c r="Q45" s="497"/>
    </row>
    <row r="46" spans="1:17" x14ac:dyDescent="0.2">
      <c r="A46" s="308">
        <v>2013</v>
      </c>
      <c r="B46" s="309" t="s">
        <v>113</v>
      </c>
      <c r="C46" s="310">
        <v>41365</v>
      </c>
      <c r="D46" s="310">
        <v>41455</v>
      </c>
      <c r="E46" s="311">
        <f>D46-C46+1</f>
        <v>91</v>
      </c>
      <c r="F46" s="312">
        <v>3.2500000000000001E-2</v>
      </c>
      <c r="G46" s="313">
        <f>K45</f>
        <v>245152.70547945207</v>
      </c>
      <c r="H46" s="313">
        <f>G46*(E46/365)*F46</f>
        <v>1986.4085656314505</v>
      </c>
      <c r="I46" s="313">
        <v>0</v>
      </c>
      <c r="J46" s="313"/>
      <c r="K46" s="314">
        <f>G46+H46</f>
        <v>247139.11404508352</v>
      </c>
      <c r="L46" s="492"/>
      <c r="M46" s="497"/>
      <c r="N46" s="497"/>
      <c r="O46" s="497"/>
      <c r="P46" s="497"/>
      <c r="Q46" s="497"/>
    </row>
    <row r="47" spans="1:17" x14ac:dyDescent="0.2">
      <c r="A47" s="250"/>
      <c r="B47" s="251"/>
      <c r="C47" s="252"/>
      <c r="D47" s="252"/>
      <c r="E47" s="254"/>
      <c r="F47" s="255"/>
      <c r="G47" s="256"/>
      <c r="H47" s="256">
        <f>SUM(H45:H46)</f>
        <v>2139.1140450835055</v>
      </c>
      <c r="I47" s="256"/>
      <c r="J47" s="256"/>
      <c r="K47" s="257"/>
      <c r="L47" s="492"/>
      <c r="M47" s="497"/>
      <c r="N47" s="497"/>
      <c r="O47" s="497"/>
      <c r="P47" s="497"/>
      <c r="Q47" s="497"/>
    </row>
    <row r="48" spans="1:17" x14ac:dyDescent="0.2">
      <c r="A48" s="261">
        <v>2013</v>
      </c>
      <c r="B48" s="262" t="s">
        <v>116</v>
      </c>
      <c r="C48" s="150">
        <f>D46+1</f>
        <v>41456</v>
      </c>
      <c r="D48" s="150">
        <v>41537</v>
      </c>
      <c r="E48" s="263">
        <f>D48-C48+1</f>
        <v>82</v>
      </c>
      <c r="F48" s="152">
        <v>3.2500000000000001E-2</v>
      </c>
      <c r="G48" s="259">
        <f>$C$34</f>
        <v>587553</v>
      </c>
      <c r="H48" s="259">
        <f>G48*F48*(E48/365)</f>
        <v>4289.9417671232877</v>
      </c>
      <c r="I48" s="259">
        <f>$C$34/20</f>
        <v>29377.65</v>
      </c>
      <c r="J48" s="259">
        <f>H47</f>
        <v>2139.1140450835055</v>
      </c>
      <c r="K48" s="260">
        <f>G48-I48</f>
        <v>558175.35</v>
      </c>
      <c r="L48" s="315"/>
      <c r="M48" s="295"/>
      <c r="N48" s="295"/>
      <c r="O48" s="295"/>
      <c r="P48" s="295"/>
    </row>
    <row r="49" spans="1:17" x14ac:dyDescent="0.2">
      <c r="A49" s="261">
        <v>2013</v>
      </c>
      <c r="B49" s="262" t="s">
        <v>116</v>
      </c>
      <c r="C49" s="150">
        <f>D48+1</f>
        <v>41538</v>
      </c>
      <c r="D49" s="150">
        <v>41549</v>
      </c>
      <c r="E49" s="263">
        <f>D49-C49+1</f>
        <v>12</v>
      </c>
      <c r="F49" s="152">
        <v>3.2500000000000001E-2</v>
      </c>
      <c r="G49" s="259">
        <f>K48</f>
        <v>558175.35</v>
      </c>
      <c r="H49" s="259">
        <f>G49*F49*(E49/365)</f>
        <v>596.40653835616422</v>
      </c>
      <c r="I49" s="259">
        <f>$C$34/20</f>
        <v>29377.65</v>
      </c>
      <c r="J49" s="259">
        <v>0</v>
      </c>
      <c r="K49" s="260">
        <f>G49-I49</f>
        <v>528797.69999999995</v>
      </c>
      <c r="L49" s="315"/>
      <c r="M49" s="295"/>
      <c r="N49" s="295"/>
      <c r="O49" s="295"/>
      <c r="P49" s="295"/>
    </row>
    <row r="50" spans="1:17" x14ac:dyDescent="0.2">
      <c r="A50" s="261">
        <v>2013</v>
      </c>
      <c r="B50" s="262" t="s">
        <v>116</v>
      </c>
      <c r="C50" s="150">
        <f>D49+1</f>
        <v>41550</v>
      </c>
      <c r="D50" s="318">
        <v>41552</v>
      </c>
      <c r="E50" s="263">
        <f>D50-C50+1</f>
        <v>3</v>
      </c>
      <c r="F50" s="152">
        <v>3.2500000000000001E-2</v>
      </c>
      <c r="G50" s="259">
        <f>K49</f>
        <v>528797.69999999995</v>
      </c>
      <c r="H50" s="259">
        <f>G50*F50*(E50/365)</f>
        <v>141.25418013698629</v>
      </c>
      <c r="I50" s="259">
        <f>$C$34/20</f>
        <v>29377.65</v>
      </c>
      <c r="J50" s="259">
        <v>0</v>
      </c>
      <c r="K50" s="260">
        <f>G50-I50</f>
        <v>499420.04999999993</v>
      </c>
      <c r="L50" s="315"/>
      <c r="M50" s="295"/>
      <c r="N50" s="295"/>
      <c r="O50" s="295"/>
      <c r="P50" s="295"/>
    </row>
    <row r="51" spans="1:17" ht="12.75" customHeight="1" x14ac:dyDescent="0.2">
      <c r="A51" s="261">
        <v>2013</v>
      </c>
      <c r="B51" s="262" t="s">
        <v>133</v>
      </c>
      <c r="C51" s="150">
        <f>D50+1</f>
        <v>41553</v>
      </c>
      <c r="D51" s="150">
        <v>41639</v>
      </c>
      <c r="E51" s="263">
        <f>D51-C51+1</f>
        <v>87</v>
      </c>
      <c r="F51" s="152">
        <v>3.2500000000000001E-2</v>
      </c>
      <c r="G51" s="259">
        <v>0</v>
      </c>
      <c r="H51" s="259">
        <f>G51*F51*(E51/365)</f>
        <v>0</v>
      </c>
      <c r="I51" s="259">
        <v>0</v>
      </c>
      <c r="J51" s="259">
        <v>0</v>
      </c>
      <c r="K51" s="260">
        <f t="shared" ref="K51:K60" si="2">G51-I51</f>
        <v>0</v>
      </c>
      <c r="L51" s="498" t="s">
        <v>158</v>
      </c>
      <c r="M51" s="499"/>
      <c r="N51" s="499"/>
      <c r="O51" s="499"/>
      <c r="P51" s="499"/>
      <c r="Q51" s="499"/>
    </row>
    <row r="52" spans="1:17" x14ac:dyDescent="0.2">
      <c r="A52" s="261">
        <v>2014</v>
      </c>
      <c r="B52" s="262" t="s">
        <v>112</v>
      </c>
      <c r="C52" s="150">
        <f>D51+1</f>
        <v>41640</v>
      </c>
      <c r="D52" s="150">
        <v>41729</v>
      </c>
      <c r="E52" s="263">
        <f t="shared" ref="E52:E67" si="3">D52-C52+1</f>
        <v>90</v>
      </c>
      <c r="F52" s="152">
        <v>3.2500000000000001E-2</v>
      </c>
      <c r="G52" s="259">
        <f t="shared" ref="G52:G67" si="4">K51</f>
        <v>0</v>
      </c>
      <c r="H52" s="259">
        <f t="shared" ref="H52:H67" si="5">G52*F52*(E52/365)</f>
        <v>0</v>
      </c>
      <c r="I52" s="259">
        <v>0</v>
      </c>
      <c r="J52" s="259">
        <v>0</v>
      </c>
      <c r="K52" s="260">
        <f t="shared" si="2"/>
        <v>0</v>
      </c>
      <c r="L52" s="498"/>
      <c r="M52" s="499"/>
      <c r="N52" s="499"/>
      <c r="O52" s="499"/>
      <c r="P52" s="499"/>
      <c r="Q52" s="499"/>
    </row>
    <row r="53" spans="1:17" x14ac:dyDescent="0.2">
      <c r="A53" s="261">
        <v>2014</v>
      </c>
      <c r="B53" s="262" t="s">
        <v>113</v>
      </c>
      <c r="C53" s="150">
        <f t="shared" ref="C53:C67" si="6">D52+1</f>
        <v>41730</v>
      </c>
      <c r="D53" s="150">
        <v>41820</v>
      </c>
      <c r="E53" s="263">
        <f t="shared" si="3"/>
        <v>91</v>
      </c>
      <c r="F53" s="152">
        <v>3.2500000000000001E-2</v>
      </c>
      <c r="G53" s="259">
        <f t="shared" si="4"/>
        <v>0</v>
      </c>
      <c r="H53" s="259">
        <f t="shared" si="5"/>
        <v>0</v>
      </c>
      <c r="I53" s="259">
        <v>0</v>
      </c>
      <c r="J53" s="259">
        <v>0</v>
      </c>
      <c r="K53" s="260">
        <f t="shared" si="2"/>
        <v>0</v>
      </c>
      <c r="L53" s="315"/>
      <c r="M53" s="295"/>
      <c r="N53" s="295"/>
      <c r="O53" s="295"/>
      <c r="P53" s="295"/>
    </row>
    <row r="54" spans="1:17" x14ac:dyDescent="0.2">
      <c r="A54" s="261">
        <v>2014</v>
      </c>
      <c r="B54" s="262" t="s">
        <v>116</v>
      </c>
      <c r="C54" s="150">
        <f t="shared" si="6"/>
        <v>41821</v>
      </c>
      <c r="D54" s="150">
        <v>41912</v>
      </c>
      <c r="E54" s="263">
        <f t="shared" si="3"/>
        <v>92</v>
      </c>
      <c r="F54" s="152">
        <v>3.2500000000000001E-2</v>
      </c>
      <c r="G54" s="259">
        <f t="shared" si="4"/>
        <v>0</v>
      </c>
      <c r="H54" s="259">
        <f t="shared" si="5"/>
        <v>0</v>
      </c>
      <c r="I54" s="259">
        <v>0</v>
      </c>
      <c r="J54" s="259">
        <v>0</v>
      </c>
      <c r="K54" s="260">
        <f t="shared" si="2"/>
        <v>0</v>
      </c>
      <c r="L54" s="315"/>
      <c r="M54" s="295"/>
      <c r="N54" s="295"/>
      <c r="O54" s="295"/>
      <c r="P54" s="295"/>
    </row>
    <row r="55" spans="1:17" x14ac:dyDescent="0.2">
      <c r="A55" s="261">
        <v>2014</v>
      </c>
      <c r="B55" s="262" t="s">
        <v>133</v>
      </c>
      <c r="C55" s="150">
        <f t="shared" si="6"/>
        <v>41913</v>
      </c>
      <c r="D55" s="150">
        <v>42004</v>
      </c>
      <c r="E55" s="263">
        <f t="shared" si="3"/>
        <v>92</v>
      </c>
      <c r="F55" s="152">
        <v>3.2500000000000001E-2</v>
      </c>
      <c r="G55" s="259">
        <f t="shared" si="4"/>
        <v>0</v>
      </c>
      <c r="H55" s="259">
        <f t="shared" si="5"/>
        <v>0</v>
      </c>
      <c r="I55" s="259">
        <v>0</v>
      </c>
      <c r="J55" s="259">
        <v>0</v>
      </c>
      <c r="K55" s="260">
        <f t="shared" si="2"/>
        <v>0</v>
      </c>
      <c r="L55" s="315"/>
      <c r="M55" s="295"/>
      <c r="N55" s="295"/>
      <c r="O55" s="295"/>
      <c r="P55" s="295"/>
    </row>
    <row r="56" spans="1:17" x14ac:dyDescent="0.2">
      <c r="A56" s="261">
        <v>2015</v>
      </c>
      <c r="B56" s="262" t="s">
        <v>112</v>
      </c>
      <c r="C56" s="150">
        <f t="shared" si="6"/>
        <v>42005</v>
      </c>
      <c r="D56" s="150">
        <v>42094</v>
      </c>
      <c r="E56" s="263">
        <f t="shared" si="3"/>
        <v>90</v>
      </c>
      <c r="F56" s="152">
        <v>3.2500000000000001E-2</v>
      </c>
      <c r="G56" s="259">
        <f t="shared" si="4"/>
        <v>0</v>
      </c>
      <c r="H56" s="259">
        <f t="shared" si="5"/>
        <v>0</v>
      </c>
      <c r="I56" s="259">
        <v>0</v>
      </c>
      <c r="J56" s="259">
        <v>0</v>
      </c>
      <c r="K56" s="260">
        <f t="shared" si="2"/>
        <v>0</v>
      </c>
      <c r="L56" s="315"/>
      <c r="M56" s="295"/>
      <c r="N56" s="295"/>
      <c r="O56" s="295"/>
      <c r="P56" s="295"/>
    </row>
    <row r="57" spans="1:17" x14ac:dyDescent="0.2">
      <c r="A57" s="261">
        <v>2015</v>
      </c>
      <c r="B57" s="262" t="s">
        <v>113</v>
      </c>
      <c r="C57" s="150">
        <f t="shared" si="6"/>
        <v>42095</v>
      </c>
      <c r="D57" s="150">
        <v>42185</v>
      </c>
      <c r="E57" s="263">
        <f t="shared" si="3"/>
        <v>91</v>
      </c>
      <c r="F57" s="152">
        <v>3.2500000000000001E-2</v>
      </c>
      <c r="G57" s="259">
        <f t="shared" si="4"/>
        <v>0</v>
      </c>
      <c r="H57" s="259">
        <f t="shared" si="5"/>
        <v>0</v>
      </c>
      <c r="I57" s="259">
        <v>0</v>
      </c>
      <c r="J57" s="259">
        <v>0</v>
      </c>
      <c r="K57" s="260">
        <f t="shared" si="2"/>
        <v>0</v>
      </c>
      <c r="L57" s="315"/>
      <c r="M57" s="295"/>
      <c r="N57" s="295"/>
      <c r="O57" s="295"/>
      <c r="P57" s="295"/>
    </row>
    <row r="58" spans="1:17" x14ac:dyDescent="0.2">
      <c r="A58" s="261">
        <v>2015</v>
      </c>
      <c r="B58" s="262" t="s">
        <v>116</v>
      </c>
      <c r="C58" s="150">
        <f t="shared" si="6"/>
        <v>42186</v>
      </c>
      <c r="D58" s="150">
        <v>42277</v>
      </c>
      <c r="E58" s="263">
        <f t="shared" si="3"/>
        <v>92</v>
      </c>
      <c r="F58" s="152">
        <v>3.2500000000000001E-2</v>
      </c>
      <c r="G58" s="259">
        <f t="shared" si="4"/>
        <v>0</v>
      </c>
      <c r="H58" s="259">
        <f t="shared" si="5"/>
        <v>0</v>
      </c>
      <c r="I58" s="259">
        <v>0</v>
      </c>
      <c r="J58" s="259">
        <v>0</v>
      </c>
      <c r="K58" s="260">
        <f t="shared" si="2"/>
        <v>0</v>
      </c>
      <c r="L58" s="315"/>
      <c r="M58" s="295"/>
      <c r="N58" s="295"/>
      <c r="O58" s="295"/>
      <c r="P58" s="295"/>
    </row>
    <row r="59" spans="1:17" x14ac:dyDescent="0.2">
      <c r="A59" s="261">
        <v>2015</v>
      </c>
      <c r="B59" s="262" t="s">
        <v>133</v>
      </c>
      <c r="C59" s="150">
        <f t="shared" si="6"/>
        <v>42278</v>
      </c>
      <c r="D59" s="150">
        <v>42369</v>
      </c>
      <c r="E59" s="263">
        <f t="shared" si="3"/>
        <v>92</v>
      </c>
      <c r="F59" s="152">
        <v>3.2500000000000001E-2</v>
      </c>
      <c r="G59" s="259">
        <f t="shared" si="4"/>
        <v>0</v>
      </c>
      <c r="H59" s="259">
        <f t="shared" si="5"/>
        <v>0</v>
      </c>
      <c r="I59" s="259">
        <v>0</v>
      </c>
      <c r="J59" s="259">
        <v>0</v>
      </c>
      <c r="K59" s="260">
        <f t="shared" si="2"/>
        <v>0</v>
      </c>
      <c r="L59" s="315"/>
      <c r="M59" s="295"/>
      <c r="N59" s="295"/>
      <c r="O59" s="295"/>
      <c r="P59" s="295"/>
    </row>
    <row r="60" spans="1:17" x14ac:dyDescent="0.2">
      <c r="A60" s="261">
        <v>2016</v>
      </c>
      <c r="B60" s="262" t="s">
        <v>112</v>
      </c>
      <c r="C60" s="150">
        <f t="shared" si="6"/>
        <v>42370</v>
      </c>
      <c r="D60" s="150">
        <v>42460</v>
      </c>
      <c r="E60" s="263">
        <f t="shared" si="3"/>
        <v>91</v>
      </c>
      <c r="F60" s="152">
        <v>3.2500000000000001E-2</v>
      </c>
      <c r="G60" s="259">
        <f t="shared" si="4"/>
        <v>0</v>
      </c>
      <c r="H60" s="259">
        <f>G60*F60*(E60/366)</f>
        <v>0</v>
      </c>
      <c r="I60" s="259">
        <v>0</v>
      </c>
      <c r="J60" s="259">
        <v>0</v>
      </c>
      <c r="K60" s="260">
        <f t="shared" si="2"/>
        <v>0</v>
      </c>
      <c r="L60" s="315"/>
      <c r="M60" s="295"/>
      <c r="N60" s="295"/>
      <c r="O60" s="295"/>
      <c r="P60" s="295"/>
    </row>
    <row r="61" spans="1:17" x14ac:dyDescent="0.2">
      <c r="A61" s="261">
        <v>2016</v>
      </c>
      <c r="B61" s="262" t="s">
        <v>113</v>
      </c>
      <c r="C61" s="150">
        <f t="shared" si="6"/>
        <v>42461</v>
      </c>
      <c r="D61" s="150">
        <v>42551</v>
      </c>
      <c r="E61" s="263">
        <f t="shared" si="3"/>
        <v>91</v>
      </c>
      <c r="F61" s="152">
        <v>3.2500000000000001E-2</v>
      </c>
      <c r="G61" s="259">
        <f t="shared" si="4"/>
        <v>0</v>
      </c>
      <c r="H61" s="259">
        <f>G61*F61*(E61/366)</f>
        <v>0</v>
      </c>
      <c r="I61" s="259">
        <v>0</v>
      </c>
      <c r="J61" s="259">
        <v>0</v>
      </c>
      <c r="K61" s="260">
        <f>G61-I61</f>
        <v>0</v>
      </c>
      <c r="L61" s="315"/>
      <c r="M61" s="295"/>
      <c r="N61" s="295"/>
      <c r="O61" s="295"/>
      <c r="P61" s="295"/>
    </row>
    <row r="62" spans="1:17" x14ac:dyDescent="0.2">
      <c r="A62" s="261">
        <v>2016</v>
      </c>
      <c r="B62" s="262" t="s">
        <v>116</v>
      </c>
      <c r="C62" s="150">
        <f t="shared" si="6"/>
        <v>42552</v>
      </c>
      <c r="D62" s="150">
        <v>42643</v>
      </c>
      <c r="E62" s="263">
        <f t="shared" si="3"/>
        <v>92</v>
      </c>
      <c r="F62" s="152">
        <v>3.2500000000000001E-2</v>
      </c>
      <c r="G62" s="259">
        <f t="shared" si="4"/>
        <v>0</v>
      </c>
      <c r="H62" s="259">
        <f>G62*F62*(E62/366)</f>
        <v>0</v>
      </c>
      <c r="I62" s="259">
        <v>0</v>
      </c>
      <c r="J62" s="259">
        <v>0</v>
      </c>
      <c r="K62" s="260">
        <f>G62-I62</f>
        <v>0</v>
      </c>
      <c r="L62" s="315"/>
      <c r="M62" s="295"/>
      <c r="N62" s="295"/>
      <c r="O62" s="295"/>
      <c r="P62" s="295"/>
    </row>
    <row r="63" spans="1:17" x14ac:dyDescent="0.2">
      <c r="A63" s="261">
        <v>2016</v>
      </c>
      <c r="B63" s="262" t="s">
        <v>133</v>
      </c>
      <c r="C63" s="150">
        <f t="shared" si="6"/>
        <v>42644</v>
      </c>
      <c r="D63" s="150">
        <v>42735</v>
      </c>
      <c r="E63" s="263">
        <f t="shared" si="3"/>
        <v>92</v>
      </c>
      <c r="F63" s="152">
        <v>3.2500000000000001E-2</v>
      </c>
      <c r="G63" s="259">
        <f t="shared" si="4"/>
        <v>0</v>
      </c>
      <c r="H63" s="259">
        <f>G63*F63*(E63/366)</f>
        <v>0</v>
      </c>
      <c r="I63" s="259">
        <v>0</v>
      </c>
      <c r="J63" s="259">
        <v>0</v>
      </c>
      <c r="K63" s="260">
        <f>G63-I63</f>
        <v>0</v>
      </c>
      <c r="L63" s="315"/>
      <c r="M63" s="295"/>
      <c r="N63" s="295"/>
      <c r="O63" s="295"/>
      <c r="P63" s="295"/>
    </row>
    <row r="64" spans="1:17" x14ac:dyDescent="0.2">
      <c r="A64" s="261">
        <v>2017</v>
      </c>
      <c r="B64" s="262" t="s">
        <v>112</v>
      </c>
      <c r="C64" s="150">
        <f t="shared" si="6"/>
        <v>42736</v>
      </c>
      <c r="D64" s="150">
        <v>42825</v>
      </c>
      <c r="E64" s="263">
        <f t="shared" si="3"/>
        <v>90</v>
      </c>
      <c r="F64" s="152">
        <v>3.2500000000000001E-2</v>
      </c>
      <c r="G64" s="259">
        <f t="shared" si="4"/>
        <v>0</v>
      </c>
      <c r="H64" s="259">
        <f t="shared" si="5"/>
        <v>0</v>
      </c>
      <c r="I64" s="259">
        <v>0</v>
      </c>
      <c r="J64" s="259">
        <v>0</v>
      </c>
      <c r="K64" s="260">
        <f t="shared" ref="K64:K67" si="7">G64-I64</f>
        <v>0</v>
      </c>
      <c r="L64" s="315"/>
      <c r="M64" s="295"/>
      <c r="N64" s="295"/>
      <c r="O64" s="295"/>
      <c r="P64" s="295"/>
    </row>
    <row r="65" spans="1:16" x14ac:dyDescent="0.2">
      <c r="A65" s="261">
        <v>2017</v>
      </c>
      <c r="B65" s="262" t="s">
        <v>113</v>
      </c>
      <c r="C65" s="150">
        <f t="shared" si="6"/>
        <v>42826</v>
      </c>
      <c r="D65" s="150">
        <v>42916</v>
      </c>
      <c r="E65" s="263">
        <f t="shared" si="3"/>
        <v>91</v>
      </c>
      <c r="F65" s="152">
        <v>3.2500000000000001E-2</v>
      </c>
      <c r="G65" s="259">
        <f t="shared" si="4"/>
        <v>0</v>
      </c>
      <c r="H65" s="259">
        <f t="shared" si="5"/>
        <v>0</v>
      </c>
      <c r="I65" s="259">
        <v>0</v>
      </c>
      <c r="J65" s="259">
        <v>0</v>
      </c>
      <c r="K65" s="260">
        <f t="shared" si="7"/>
        <v>0</v>
      </c>
      <c r="L65" s="315"/>
      <c r="M65" s="295"/>
      <c r="N65" s="295"/>
      <c r="O65" s="295"/>
      <c r="P65" s="295"/>
    </row>
    <row r="66" spans="1:16" x14ac:dyDescent="0.2">
      <c r="A66" s="261">
        <v>2017</v>
      </c>
      <c r="B66" s="262" t="s">
        <v>116</v>
      </c>
      <c r="C66" s="150">
        <f t="shared" si="6"/>
        <v>42917</v>
      </c>
      <c r="D66" s="150">
        <v>43008</v>
      </c>
      <c r="E66" s="263">
        <f t="shared" si="3"/>
        <v>92</v>
      </c>
      <c r="F66" s="152">
        <v>3.2500000000000001E-2</v>
      </c>
      <c r="G66" s="259">
        <f t="shared" si="4"/>
        <v>0</v>
      </c>
      <c r="H66" s="259">
        <f t="shared" si="5"/>
        <v>0</v>
      </c>
      <c r="I66" s="259">
        <v>0</v>
      </c>
      <c r="J66" s="259">
        <v>0</v>
      </c>
      <c r="K66" s="260">
        <f t="shared" si="7"/>
        <v>0</v>
      </c>
      <c r="L66" s="315"/>
      <c r="M66" s="295"/>
      <c r="N66" s="295"/>
      <c r="O66" s="295"/>
      <c r="P66" s="295"/>
    </row>
    <row r="67" spans="1:16" x14ac:dyDescent="0.2">
      <c r="A67" s="261">
        <v>2017</v>
      </c>
      <c r="B67" s="262" t="s">
        <v>133</v>
      </c>
      <c r="C67" s="150">
        <f t="shared" si="6"/>
        <v>43009</v>
      </c>
      <c r="D67" s="150">
        <v>43100</v>
      </c>
      <c r="E67" s="263">
        <f t="shared" si="3"/>
        <v>92</v>
      </c>
      <c r="F67" s="152">
        <v>3.2500000000000001E-2</v>
      </c>
      <c r="G67" s="259">
        <f t="shared" si="4"/>
        <v>0</v>
      </c>
      <c r="H67" s="259">
        <f t="shared" si="5"/>
        <v>0</v>
      </c>
      <c r="I67" s="259">
        <v>0</v>
      </c>
      <c r="J67" s="259">
        <v>0</v>
      </c>
      <c r="K67" s="260">
        <f t="shared" si="7"/>
        <v>0</v>
      </c>
      <c r="L67" s="315"/>
      <c r="M67" s="295"/>
      <c r="N67" s="295"/>
      <c r="O67" s="295"/>
      <c r="P67" s="295"/>
    </row>
    <row r="68" spans="1:16" ht="13.5" thickBot="1" x14ac:dyDescent="0.25">
      <c r="A68" s="163" t="s">
        <v>0</v>
      </c>
      <c r="B68" s="164"/>
      <c r="C68" s="165"/>
      <c r="D68" s="165"/>
      <c r="E68" s="165"/>
      <c r="F68" s="165"/>
      <c r="G68" s="166">
        <f>SUM(G48:G67)</f>
        <v>1674526.05</v>
      </c>
      <c r="H68" s="166">
        <f>SUM(H48:H67)</f>
        <v>5027.6024856164386</v>
      </c>
      <c r="I68" s="166">
        <f>SUM(I48:I67)</f>
        <v>88132.950000000012</v>
      </c>
      <c r="J68" s="166">
        <f>SUM(J48:J67)</f>
        <v>2139.1140450835055</v>
      </c>
      <c r="K68" s="167"/>
    </row>
  </sheetData>
  <mergeCells count="5">
    <mergeCell ref="B36:D36"/>
    <mergeCell ref="A38:D38"/>
    <mergeCell ref="A43:K43"/>
    <mergeCell ref="L45:Q47"/>
    <mergeCell ref="L51:Q52"/>
  </mergeCells>
  <pageMargins left="0.5" right="0.5" top="1" bottom="0.89" header="0.5" footer="0.5"/>
  <pageSetup scale="59" fitToHeight="9999" orientation="landscape" horizontalDpi="300" verticalDpi="1200" r:id="rId1"/>
  <headerFooter alignWithMargins="0">
    <oddHeader>&amp;RTO9 Annual Update
Attachment 4
WP Schedule 22
Page &amp;P of &amp;N</oddHeader>
    <oddFooter>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 enableFormatConditionsCalculation="0">
    <tabColor theme="0" tint="-4.9989318521683403E-2"/>
  </sheetPr>
  <dimension ref="A1:P436"/>
  <sheetViews>
    <sheetView zoomScale="85" zoomScaleNormal="85" zoomScaleSheetLayoutView="100" workbookViewId="0">
      <selection sqref="A1:F1"/>
    </sheetView>
  </sheetViews>
  <sheetFormatPr defaultColWidth="9.140625" defaultRowHeight="12.75" outlineLevelRow="1" x14ac:dyDescent="0.2"/>
  <cols>
    <col min="1" max="1" width="12.28515625" style="21" customWidth="1"/>
    <col min="2" max="2" width="13.85546875" style="21" customWidth="1"/>
    <col min="3" max="3" width="15.28515625" style="21" bestFit="1" customWidth="1"/>
    <col min="4" max="4" width="10.5703125" style="21" bestFit="1" customWidth="1"/>
    <col min="5" max="6" width="16.28515625" style="21" customWidth="1"/>
    <col min="7" max="7" width="19.5703125" style="21" customWidth="1"/>
    <col min="8" max="8" width="19.85546875" style="21" bestFit="1" customWidth="1"/>
    <col min="9" max="9" width="21.42578125" style="21" bestFit="1" customWidth="1"/>
    <col min="10" max="10" width="19.85546875" style="21" bestFit="1" customWidth="1"/>
    <col min="11" max="11" width="11.28515625" style="21" bestFit="1" customWidth="1"/>
    <col min="12" max="16384" width="9.140625" style="21"/>
  </cols>
  <sheetData>
    <row r="1" spans="1:9" x14ac:dyDescent="0.2">
      <c r="A1" s="502" t="s">
        <v>131</v>
      </c>
      <c r="B1" s="502"/>
      <c r="C1" s="502"/>
      <c r="D1" s="502"/>
      <c r="E1" s="502"/>
      <c r="F1" s="502"/>
    </row>
    <row r="2" spans="1:9" ht="38.25" hidden="1" outlineLevel="1" x14ac:dyDescent="0.2">
      <c r="A2" s="2" t="s">
        <v>23</v>
      </c>
      <c r="B2" s="6" t="s">
        <v>6</v>
      </c>
      <c r="C2" s="2" t="s">
        <v>5</v>
      </c>
      <c r="D2" s="2" t="s">
        <v>1</v>
      </c>
      <c r="E2" s="2" t="s">
        <v>24</v>
      </c>
      <c r="F2" s="6" t="s">
        <v>0</v>
      </c>
    </row>
    <row r="3" spans="1:9" hidden="1" outlineLevel="1" x14ac:dyDescent="0.2">
      <c r="A3" s="67">
        <v>1</v>
      </c>
      <c r="B3" s="206"/>
      <c r="C3" s="207">
        <v>16891833</v>
      </c>
      <c r="D3" s="207">
        <v>0</v>
      </c>
      <c r="E3" s="207">
        <v>0</v>
      </c>
      <c r="F3" s="170">
        <f t="shared" ref="F3:F29" si="0">SUM(C3:E3)</f>
        <v>16891833</v>
      </c>
      <c r="H3" s="507" t="s">
        <v>136</v>
      </c>
    </row>
    <row r="4" spans="1:9" hidden="1" outlineLevel="1" x14ac:dyDescent="0.2">
      <c r="A4" s="208"/>
      <c r="B4" s="209"/>
      <c r="C4" s="68">
        <v>0</v>
      </c>
      <c r="D4" s="170">
        <v>0</v>
      </c>
      <c r="E4" s="170">
        <v>0</v>
      </c>
      <c r="F4" s="170">
        <f t="shared" si="0"/>
        <v>0</v>
      </c>
      <c r="H4" s="507"/>
    </row>
    <row r="5" spans="1:9" hidden="1" outlineLevel="1" x14ac:dyDescent="0.2">
      <c r="A5" s="208"/>
      <c r="B5" s="209"/>
      <c r="C5" s="68">
        <v>0</v>
      </c>
      <c r="D5" s="170">
        <v>0</v>
      </c>
      <c r="E5" s="170">
        <v>0</v>
      </c>
      <c r="F5" s="170">
        <f t="shared" si="0"/>
        <v>0</v>
      </c>
      <c r="H5" s="507"/>
      <c r="I5" s="39"/>
    </row>
    <row r="6" spans="1:9" hidden="1" outlineLevel="1" x14ac:dyDescent="0.2">
      <c r="A6" s="208"/>
      <c r="B6" s="209"/>
      <c r="C6" s="68">
        <v>0</v>
      </c>
      <c r="D6" s="170">
        <v>0</v>
      </c>
      <c r="E6" s="170">
        <v>0</v>
      </c>
      <c r="F6" s="170">
        <f t="shared" si="0"/>
        <v>0</v>
      </c>
      <c r="H6" s="507"/>
      <c r="I6" s="41"/>
    </row>
    <row r="7" spans="1:9" hidden="1" outlineLevel="1" x14ac:dyDescent="0.2">
      <c r="A7" s="208"/>
      <c r="B7" s="209"/>
      <c r="C7" s="68">
        <v>0</v>
      </c>
      <c r="D7" s="170">
        <v>0</v>
      </c>
      <c r="E7" s="170">
        <v>0</v>
      </c>
      <c r="F7" s="170">
        <f t="shared" si="0"/>
        <v>0</v>
      </c>
      <c r="H7" s="507"/>
      <c r="I7" s="41"/>
    </row>
    <row r="8" spans="1:9" hidden="1" outlineLevel="1" x14ac:dyDescent="0.2">
      <c r="A8" s="208"/>
      <c r="B8" s="209"/>
      <c r="C8" s="68">
        <v>0</v>
      </c>
      <c r="D8" s="170">
        <v>0</v>
      </c>
      <c r="E8" s="170">
        <v>0</v>
      </c>
      <c r="F8" s="170">
        <f t="shared" si="0"/>
        <v>0</v>
      </c>
      <c r="H8" s="507"/>
    </row>
    <row r="9" spans="1:9" hidden="1" outlineLevel="1" x14ac:dyDescent="0.2">
      <c r="A9" s="208"/>
      <c r="B9" s="209"/>
      <c r="C9" s="68">
        <v>0</v>
      </c>
      <c r="D9" s="170">
        <v>0</v>
      </c>
      <c r="E9" s="170">
        <v>0</v>
      </c>
      <c r="F9" s="170">
        <f t="shared" si="0"/>
        <v>0</v>
      </c>
      <c r="H9" s="507"/>
    </row>
    <row r="10" spans="1:9" hidden="1" outlineLevel="1" x14ac:dyDescent="0.2">
      <c r="A10" s="208"/>
      <c r="B10" s="209"/>
      <c r="C10" s="68">
        <v>0</v>
      </c>
      <c r="D10" s="170">
        <v>0</v>
      </c>
      <c r="E10" s="170">
        <v>0</v>
      </c>
      <c r="F10" s="170">
        <f t="shared" si="0"/>
        <v>0</v>
      </c>
      <c r="H10" s="507"/>
      <c r="I10" s="41"/>
    </row>
    <row r="11" spans="1:9" hidden="1" outlineLevel="1" x14ac:dyDescent="0.2">
      <c r="A11" s="208"/>
      <c r="B11" s="209"/>
      <c r="C11" s="68">
        <v>0</v>
      </c>
      <c r="D11" s="170">
        <v>0</v>
      </c>
      <c r="E11" s="170">
        <v>0</v>
      </c>
      <c r="F11" s="170">
        <f t="shared" si="0"/>
        <v>0</v>
      </c>
      <c r="H11" s="507"/>
    </row>
    <row r="12" spans="1:9" hidden="1" outlineLevel="1" x14ac:dyDescent="0.2">
      <c r="A12" s="208"/>
      <c r="B12" s="209"/>
      <c r="C12" s="68">
        <v>0</v>
      </c>
      <c r="D12" s="170">
        <v>0</v>
      </c>
      <c r="E12" s="170">
        <v>0</v>
      </c>
      <c r="F12" s="170">
        <f t="shared" si="0"/>
        <v>0</v>
      </c>
      <c r="H12" s="507"/>
    </row>
    <row r="13" spans="1:9" hidden="1" outlineLevel="1" x14ac:dyDescent="0.2">
      <c r="A13" s="208"/>
      <c r="B13" s="209"/>
      <c r="C13" s="68">
        <v>0</v>
      </c>
      <c r="D13" s="170">
        <v>0</v>
      </c>
      <c r="E13" s="170">
        <v>0</v>
      </c>
      <c r="F13" s="170">
        <f t="shared" si="0"/>
        <v>0</v>
      </c>
    </row>
    <row r="14" spans="1:9" hidden="1" outlineLevel="1" x14ac:dyDescent="0.2">
      <c r="A14" s="208"/>
      <c r="B14" s="209"/>
      <c r="C14" s="68">
        <v>0</v>
      </c>
      <c r="D14" s="170">
        <v>0</v>
      </c>
      <c r="E14" s="170">
        <v>0</v>
      </c>
      <c r="F14" s="170">
        <f t="shared" si="0"/>
        <v>0</v>
      </c>
    </row>
    <row r="15" spans="1:9" hidden="1" outlineLevel="1" x14ac:dyDescent="0.2">
      <c r="A15" s="208"/>
      <c r="B15" s="209"/>
      <c r="C15" s="68">
        <v>0</v>
      </c>
      <c r="D15" s="170">
        <v>0</v>
      </c>
      <c r="E15" s="170">
        <v>0</v>
      </c>
      <c r="F15" s="170">
        <f t="shared" si="0"/>
        <v>0</v>
      </c>
    </row>
    <row r="16" spans="1:9" hidden="1" outlineLevel="1" x14ac:dyDescent="0.2">
      <c r="A16" s="208"/>
      <c r="B16" s="209"/>
      <c r="C16" s="68">
        <v>0</v>
      </c>
      <c r="D16" s="170">
        <v>0</v>
      </c>
      <c r="E16" s="170">
        <v>0</v>
      </c>
      <c r="F16" s="170">
        <f t="shared" si="0"/>
        <v>0</v>
      </c>
      <c r="I16" s="41"/>
    </row>
    <row r="17" spans="1:9" hidden="1" outlineLevel="1" x14ac:dyDescent="0.2">
      <c r="A17" s="208"/>
      <c r="B17" s="209"/>
      <c r="C17" s="68">
        <v>0</v>
      </c>
      <c r="D17" s="170">
        <v>0</v>
      </c>
      <c r="E17" s="170">
        <v>0</v>
      </c>
      <c r="F17" s="170">
        <f t="shared" si="0"/>
        <v>0</v>
      </c>
      <c r="I17" s="41"/>
    </row>
    <row r="18" spans="1:9" hidden="1" outlineLevel="1" x14ac:dyDescent="0.2">
      <c r="A18" s="208"/>
      <c r="B18" s="209"/>
      <c r="C18" s="68">
        <v>0</v>
      </c>
      <c r="D18" s="170">
        <v>0</v>
      </c>
      <c r="E18" s="170">
        <v>0</v>
      </c>
      <c r="F18" s="170">
        <f t="shared" si="0"/>
        <v>0</v>
      </c>
    </row>
    <row r="19" spans="1:9" hidden="1" outlineLevel="1" x14ac:dyDescent="0.2">
      <c r="A19" s="208"/>
      <c r="B19" s="209"/>
      <c r="C19" s="68">
        <v>0</v>
      </c>
      <c r="D19" s="170">
        <v>0</v>
      </c>
      <c r="E19" s="170">
        <v>0</v>
      </c>
      <c r="F19" s="170">
        <f t="shared" si="0"/>
        <v>0</v>
      </c>
    </row>
    <row r="20" spans="1:9" hidden="1" outlineLevel="1" x14ac:dyDescent="0.2">
      <c r="A20" s="208"/>
      <c r="B20" s="209"/>
      <c r="C20" s="68">
        <v>0</v>
      </c>
      <c r="D20" s="170">
        <v>0</v>
      </c>
      <c r="E20" s="170">
        <v>0</v>
      </c>
      <c r="F20" s="170">
        <f t="shared" si="0"/>
        <v>0</v>
      </c>
      <c r="I20" s="41"/>
    </row>
    <row r="21" spans="1:9" hidden="1" outlineLevel="1" x14ac:dyDescent="0.2">
      <c r="A21" s="208"/>
      <c r="B21" s="209"/>
      <c r="C21" s="68">
        <v>0</v>
      </c>
      <c r="D21" s="170">
        <v>0</v>
      </c>
      <c r="E21" s="170">
        <v>0</v>
      </c>
      <c r="F21" s="170">
        <f t="shared" si="0"/>
        <v>0</v>
      </c>
    </row>
    <row r="22" spans="1:9" hidden="1" outlineLevel="1" x14ac:dyDescent="0.2">
      <c r="A22" s="208"/>
      <c r="B22" s="209"/>
      <c r="C22" s="68">
        <v>0</v>
      </c>
      <c r="D22" s="170">
        <v>0</v>
      </c>
      <c r="E22" s="170">
        <v>0</v>
      </c>
      <c r="F22" s="170">
        <f t="shared" si="0"/>
        <v>0</v>
      </c>
    </row>
    <row r="23" spans="1:9" hidden="1" outlineLevel="1" x14ac:dyDescent="0.2">
      <c r="A23" s="208"/>
      <c r="B23" s="209"/>
      <c r="C23" s="68">
        <v>0</v>
      </c>
      <c r="D23" s="170">
        <v>0</v>
      </c>
      <c r="E23" s="170">
        <v>0</v>
      </c>
      <c r="F23" s="170">
        <f t="shared" si="0"/>
        <v>0</v>
      </c>
    </row>
    <row r="24" spans="1:9" hidden="1" outlineLevel="1" x14ac:dyDescent="0.2">
      <c r="A24" s="208"/>
      <c r="B24" s="209"/>
      <c r="C24" s="68">
        <v>0</v>
      </c>
      <c r="D24" s="170">
        <v>0</v>
      </c>
      <c r="E24" s="170">
        <v>0</v>
      </c>
      <c r="F24" s="170">
        <f t="shared" si="0"/>
        <v>0</v>
      </c>
    </row>
    <row r="25" spans="1:9" hidden="1" outlineLevel="1" x14ac:dyDescent="0.2">
      <c r="A25" s="208"/>
      <c r="B25" s="209"/>
      <c r="C25" s="68">
        <v>0</v>
      </c>
      <c r="D25" s="170">
        <v>0</v>
      </c>
      <c r="E25" s="170">
        <v>0</v>
      </c>
      <c r="F25" s="170">
        <f t="shared" si="0"/>
        <v>0</v>
      </c>
    </row>
    <row r="26" spans="1:9" hidden="1" outlineLevel="1" x14ac:dyDescent="0.2">
      <c r="A26" s="208"/>
      <c r="B26" s="209"/>
      <c r="C26" s="68">
        <v>0</v>
      </c>
      <c r="D26" s="170">
        <v>0</v>
      </c>
      <c r="E26" s="170">
        <v>0</v>
      </c>
      <c r="F26" s="170">
        <f t="shared" si="0"/>
        <v>0</v>
      </c>
    </row>
    <row r="27" spans="1:9" hidden="1" outlineLevel="1" x14ac:dyDescent="0.2">
      <c r="A27" s="208"/>
      <c r="B27" s="209"/>
      <c r="C27" s="68">
        <v>0</v>
      </c>
      <c r="D27" s="170">
        <v>0</v>
      </c>
      <c r="E27" s="170">
        <v>0</v>
      </c>
      <c r="F27" s="170">
        <f t="shared" si="0"/>
        <v>0</v>
      </c>
    </row>
    <row r="28" spans="1:9" hidden="1" outlineLevel="1" x14ac:dyDescent="0.2">
      <c r="A28" s="208"/>
      <c r="B28" s="209"/>
      <c r="C28" s="68">
        <v>0</v>
      </c>
      <c r="D28" s="170">
        <v>0</v>
      </c>
      <c r="E28" s="170">
        <v>0</v>
      </c>
      <c r="F28" s="170">
        <f t="shared" si="0"/>
        <v>0</v>
      </c>
    </row>
    <row r="29" spans="1:9" hidden="1" outlineLevel="1" x14ac:dyDescent="0.2">
      <c r="A29" s="208"/>
      <c r="B29" s="209"/>
      <c r="C29" s="68">
        <v>0</v>
      </c>
      <c r="D29" s="170">
        <v>0</v>
      </c>
      <c r="E29" s="170">
        <v>0</v>
      </c>
      <c r="F29" s="170">
        <f t="shared" si="0"/>
        <v>0</v>
      </c>
    </row>
    <row r="30" spans="1:9" hidden="1" outlineLevel="1" x14ac:dyDescent="0.2">
      <c r="A30" s="107"/>
      <c r="B30" s="181" t="s">
        <v>0</v>
      </c>
      <c r="C30" s="210">
        <f>SUM(C3:C29)</f>
        <v>16891833</v>
      </c>
      <c r="D30" s="210">
        <f>SUM(D3:D29)</f>
        <v>0</v>
      </c>
      <c r="E30" s="210">
        <f>SUM(E3:E29)</f>
        <v>0</v>
      </c>
      <c r="F30" s="210">
        <f>SUM(F3:F29)</f>
        <v>16891833</v>
      </c>
    </row>
    <row r="31" spans="1:9" collapsed="1" x14ac:dyDescent="0.2"/>
    <row r="32" spans="1:9" x14ac:dyDescent="0.2">
      <c r="A32" s="508" t="s">
        <v>26</v>
      </c>
      <c r="B32" s="508"/>
      <c r="C32" s="270">
        <v>41278</v>
      </c>
      <c r="D32" s="7" t="s">
        <v>58</v>
      </c>
    </row>
    <row r="33" spans="1:16" x14ac:dyDescent="0.2">
      <c r="A33" s="287"/>
      <c r="B33" s="287" t="s">
        <v>154</v>
      </c>
      <c r="C33" s="232">
        <v>41465</v>
      </c>
      <c r="D33" s="7" t="s">
        <v>58</v>
      </c>
      <c r="E33" s="287"/>
      <c r="F33" s="232"/>
      <c r="G33" s="7"/>
    </row>
    <row r="35" spans="1:16" x14ac:dyDescent="0.2">
      <c r="A35" s="503" t="s">
        <v>25</v>
      </c>
      <c r="B35" s="509"/>
      <c r="C35" s="509"/>
      <c r="D35" s="509"/>
      <c r="E35" s="509"/>
      <c r="F35" s="509"/>
      <c r="G35" s="509"/>
      <c r="H35" s="509"/>
      <c r="I35" s="509"/>
      <c r="J35" s="510"/>
    </row>
    <row r="36" spans="1:16" outlineLevel="1" x14ac:dyDescent="0.2">
      <c r="A36" s="6" t="s">
        <v>15</v>
      </c>
      <c r="B36" s="6" t="s">
        <v>16</v>
      </c>
      <c r="C36" s="6" t="s">
        <v>17</v>
      </c>
      <c r="D36" s="6" t="s">
        <v>18</v>
      </c>
      <c r="E36" s="6" t="s">
        <v>153</v>
      </c>
      <c r="F36" s="6" t="s">
        <v>108</v>
      </c>
      <c r="G36" s="6" t="s">
        <v>109</v>
      </c>
      <c r="H36" s="6" t="s">
        <v>22</v>
      </c>
      <c r="I36" s="6" t="s">
        <v>50</v>
      </c>
      <c r="J36" s="6" t="s">
        <v>110</v>
      </c>
    </row>
    <row r="37" spans="1:16" ht="12.75" customHeight="1" outlineLevel="1" x14ac:dyDescent="0.2">
      <c r="A37" s="296" t="s">
        <v>60</v>
      </c>
      <c r="B37" s="297">
        <f>C32</f>
        <v>41278</v>
      </c>
      <c r="C37" s="297">
        <v>41364</v>
      </c>
      <c r="D37" s="296">
        <f>C37-B37+1</f>
        <v>87</v>
      </c>
      <c r="E37" s="298">
        <v>3.2500000000000001E-2</v>
      </c>
      <c r="F37" s="299">
        <f>C30</f>
        <v>16891833</v>
      </c>
      <c r="G37" s="300">
        <f>D37/365*E37*F37</f>
        <v>130853.85700684931</v>
      </c>
      <c r="H37" s="301">
        <v>0</v>
      </c>
      <c r="I37" s="302">
        <v>0</v>
      </c>
      <c r="J37" s="303">
        <f>F37+G37</f>
        <v>17022686.857006848</v>
      </c>
      <c r="L37" s="295"/>
      <c r="M37" s="295"/>
      <c r="N37" s="295"/>
      <c r="O37" s="295"/>
    </row>
    <row r="38" spans="1:16" outlineLevel="1" x14ac:dyDescent="0.2">
      <c r="A38" s="296" t="s">
        <v>61</v>
      </c>
      <c r="B38" s="297">
        <v>41365</v>
      </c>
      <c r="C38" s="297">
        <v>41455</v>
      </c>
      <c r="D38" s="296">
        <f t="shared" ref="D38:D60" si="1">C38-B38+1</f>
        <v>91</v>
      </c>
      <c r="E38" s="298">
        <v>3.2500000000000001E-2</v>
      </c>
      <c r="F38" s="299">
        <f t="shared" ref="F38:F60" si="2">J37</f>
        <v>17022686.857006848</v>
      </c>
      <c r="G38" s="300">
        <f>D38/365*E38*F38</f>
        <v>137930.40103999386</v>
      </c>
      <c r="H38" s="301">
        <v>0</v>
      </c>
      <c r="I38" s="302">
        <v>0</v>
      </c>
      <c r="J38" s="303">
        <f>F38+G38</f>
        <v>17160617.258046843</v>
      </c>
      <c r="K38" s="294"/>
      <c r="L38" s="295"/>
      <c r="M38" s="295"/>
      <c r="N38" s="295"/>
      <c r="O38" s="295"/>
    </row>
    <row r="39" spans="1:16" outlineLevel="1" x14ac:dyDescent="0.2">
      <c r="A39" s="264"/>
      <c r="B39" s="265"/>
      <c r="C39" s="265"/>
      <c r="D39" s="264"/>
      <c r="E39" s="292"/>
      <c r="F39" s="267"/>
      <c r="G39" s="293">
        <f>SUM(G37:G38)</f>
        <v>268784.25804684317</v>
      </c>
      <c r="H39" s="268"/>
      <c r="I39" s="290"/>
      <c r="J39" s="269"/>
      <c r="K39" s="294"/>
      <c r="L39" s="295"/>
      <c r="M39" s="295"/>
      <c r="N39" s="295"/>
      <c r="O39" s="295"/>
    </row>
    <row r="40" spans="1:16" outlineLevel="1" x14ac:dyDescent="0.2">
      <c r="A40" s="67" t="s">
        <v>62</v>
      </c>
      <c r="B40" s="83">
        <v>41456</v>
      </c>
      <c r="C40" s="83">
        <v>41547</v>
      </c>
      <c r="D40" s="67">
        <f t="shared" si="1"/>
        <v>92</v>
      </c>
      <c r="E40" s="291">
        <v>3.2500000000000001E-2</v>
      </c>
      <c r="F40" s="182">
        <f>J38</f>
        <v>17160617.258046843</v>
      </c>
      <c r="G40" s="177">
        <f>D40/365*E40*F40</f>
        <v>140576.01534673991</v>
      </c>
      <c r="H40" s="177">
        <f>C30/20</f>
        <v>844591.65</v>
      </c>
      <c r="I40" s="317">
        <f>$G$39</f>
        <v>268784.25804684317</v>
      </c>
      <c r="J40" s="176">
        <f>F40-H40-SUM(G37:G38)</f>
        <v>16047241.35</v>
      </c>
      <c r="K40" s="506" t="s">
        <v>155</v>
      </c>
      <c r="L40" s="497"/>
      <c r="M40" s="497"/>
      <c r="N40" s="497"/>
      <c r="O40" s="497"/>
      <c r="P40" s="497"/>
    </row>
    <row r="41" spans="1:16" outlineLevel="1" x14ac:dyDescent="0.2">
      <c r="A41" s="67" t="s">
        <v>63</v>
      </c>
      <c r="B41" s="83">
        <f t="shared" ref="B41:B59" si="3">C40+1</f>
        <v>41548</v>
      </c>
      <c r="C41" s="83">
        <v>41639</v>
      </c>
      <c r="D41" s="85">
        <f t="shared" si="1"/>
        <v>92</v>
      </c>
      <c r="E41" s="291">
        <v>3.2500000000000001E-2</v>
      </c>
      <c r="F41" s="182">
        <f t="shared" si="2"/>
        <v>16047241.35</v>
      </c>
      <c r="G41" s="177">
        <f t="shared" ref="G41:G60" si="4">D41/365*E41*F41</f>
        <v>131455.48393561644</v>
      </c>
      <c r="H41" s="176">
        <f>H40</f>
        <v>844591.65</v>
      </c>
      <c r="I41" s="170">
        <v>0</v>
      </c>
      <c r="J41" s="176">
        <f t="shared" ref="J41:J59" si="5">J40-H41</f>
        <v>15202649.699999999</v>
      </c>
      <c r="K41" s="506"/>
      <c r="L41" s="497"/>
      <c r="M41" s="497"/>
      <c r="N41" s="497"/>
      <c r="O41" s="497"/>
      <c r="P41" s="497"/>
    </row>
    <row r="42" spans="1:16" outlineLevel="1" x14ac:dyDescent="0.2">
      <c r="A42" s="67" t="s">
        <v>65</v>
      </c>
      <c r="B42" s="83">
        <f t="shared" si="3"/>
        <v>41640</v>
      </c>
      <c r="C42" s="83">
        <v>41729</v>
      </c>
      <c r="D42" s="85">
        <f t="shared" si="1"/>
        <v>90</v>
      </c>
      <c r="E42" s="291">
        <v>3.2500000000000001E-2</v>
      </c>
      <c r="F42" s="182">
        <f t="shared" si="2"/>
        <v>15202649.699999999</v>
      </c>
      <c r="G42" s="177">
        <f t="shared" si="4"/>
        <v>121829.45307534245</v>
      </c>
      <c r="H42" s="176">
        <f>H41</f>
        <v>844591.65</v>
      </c>
      <c r="I42" s="170">
        <v>0</v>
      </c>
      <c r="J42" s="176">
        <f t="shared" si="5"/>
        <v>14358058.049999999</v>
      </c>
      <c r="K42" s="506"/>
      <c r="L42" s="497"/>
      <c r="M42" s="497"/>
      <c r="N42" s="497"/>
      <c r="O42" s="497"/>
      <c r="P42" s="497"/>
    </row>
    <row r="43" spans="1:16" outlineLevel="1" x14ac:dyDescent="0.2">
      <c r="A43" s="67" t="s">
        <v>66</v>
      </c>
      <c r="B43" s="83">
        <f t="shared" si="3"/>
        <v>41730</v>
      </c>
      <c r="C43" s="83">
        <v>41820</v>
      </c>
      <c r="D43" s="85">
        <f t="shared" si="1"/>
        <v>91</v>
      </c>
      <c r="E43" s="291">
        <v>3.2500000000000001E-2</v>
      </c>
      <c r="F43" s="182">
        <f t="shared" si="2"/>
        <v>14358058.049999999</v>
      </c>
      <c r="G43" s="177">
        <f t="shared" si="4"/>
        <v>116339.60735034246</v>
      </c>
      <c r="H43" s="176">
        <f>H42</f>
        <v>844591.65</v>
      </c>
      <c r="I43" s="170">
        <v>0</v>
      </c>
      <c r="J43" s="176">
        <f t="shared" si="5"/>
        <v>13513466.399999999</v>
      </c>
      <c r="K43" s="179"/>
    </row>
    <row r="44" spans="1:16" outlineLevel="1" x14ac:dyDescent="0.2">
      <c r="A44" s="67" t="s">
        <v>67</v>
      </c>
      <c r="B44" s="83">
        <f t="shared" si="3"/>
        <v>41821</v>
      </c>
      <c r="C44" s="83">
        <v>41912</v>
      </c>
      <c r="D44" s="85">
        <f t="shared" si="1"/>
        <v>92</v>
      </c>
      <c r="E44" s="291">
        <v>3.2500000000000001E-2</v>
      </c>
      <c r="F44" s="182">
        <f t="shared" si="2"/>
        <v>13513466.399999999</v>
      </c>
      <c r="G44" s="177">
        <f t="shared" si="4"/>
        <v>110699.35489315068</v>
      </c>
      <c r="H44" s="176">
        <f t="shared" ref="H44:H58" si="6">H43</f>
        <v>844591.65</v>
      </c>
      <c r="I44" s="170">
        <v>0</v>
      </c>
      <c r="J44" s="176">
        <f t="shared" si="5"/>
        <v>12668874.749999998</v>
      </c>
    </row>
    <row r="45" spans="1:16" outlineLevel="1" x14ac:dyDescent="0.2">
      <c r="A45" s="67" t="s">
        <v>68</v>
      </c>
      <c r="B45" s="83">
        <f t="shared" si="3"/>
        <v>41913</v>
      </c>
      <c r="C45" s="83">
        <v>42004</v>
      </c>
      <c r="D45" s="85">
        <f t="shared" si="1"/>
        <v>92</v>
      </c>
      <c r="E45" s="291">
        <v>3.2500000000000001E-2</v>
      </c>
      <c r="F45" s="182">
        <f t="shared" si="2"/>
        <v>12668874.749999998</v>
      </c>
      <c r="G45" s="177">
        <f t="shared" si="4"/>
        <v>103780.64521232876</v>
      </c>
      <c r="H45" s="176">
        <f t="shared" si="6"/>
        <v>844591.65</v>
      </c>
      <c r="I45" s="170">
        <v>0</v>
      </c>
      <c r="J45" s="176">
        <f t="shared" si="5"/>
        <v>11824283.099999998</v>
      </c>
    </row>
    <row r="46" spans="1:16" outlineLevel="1" x14ac:dyDescent="0.2">
      <c r="A46" s="67" t="s">
        <v>69</v>
      </c>
      <c r="B46" s="83">
        <f t="shared" si="3"/>
        <v>42005</v>
      </c>
      <c r="C46" s="83">
        <v>42094</v>
      </c>
      <c r="D46" s="85">
        <f t="shared" si="1"/>
        <v>90</v>
      </c>
      <c r="E46" s="291">
        <v>3.2500000000000001E-2</v>
      </c>
      <c r="F46" s="182">
        <f t="shared" si="2"/>
        <v>11824283.099999998</v>
      </c>
      <c r="G46" s="177">
        <f t="shared" si="4"/>
        <v>94756.241280821894</v>
      </c>
      <c r="H46" s="176">
        <f t="shared" si="6"/>
        <v>844591.65</v>
      </c>
      <c r="I46" s="170">
        <v>0</v>
      </c>
      <c r="J46" s="176">
        <f t="shared" si="5"/>
        <v>10979691.449999997</v>
      </c>
    </row>
    <row r="47" spans="1:16" outlineLevel="1" x14ac:dyDescent="0.2">
      <c r="A47" s="67" t="s">
        <v>70</v>
      </c>
      <c r="B47" s="83">
        <f t="shared" si="3"/>
        <v>42095</v>
      </c>
      <c r="C47" s="83">
        <v>42185</v>
      </c>
      <c r="D47" s="85">
        <f t="shared" si="1"/>
        <v>91</v>
      </c>
      <c r="E47" s="291">
        <v>3.2500000000000001E-2</v>
      </c>
      <c r="F47" s="182">
        <f t="shared" si="2"/>
        <v>10979691.449999997</v>
      </c>
      <c r="G47" s="177">
        <f t="shared" si="4"/>
        <v>88965.582091438337</v>
      </c>
      <c r="H47" s="176">
        <f t="shared" si="6"/>
        <v>844591.65</v>
      </c>
      <c r="I47" s="170">
        <v>0</v>
      </c>
      <c r="J47" s="176">
        <f t="shared" si="5"/>
        <v>10135099.799999997</v>
      </c>
    </row>
    <row r="48" spans="1:16" outlineLevel="1" x14ac:dyDescent="0.2">
      <c r="A48" s="67" t="s">
        <v>71</v>
      </c>
      <c r="B48" s="83">
        <f t="shared" si="3"/>
        <v>42186</v>
      </c>
      <c r="C48" s="83">
        <v>42277</v>
      </c>
      <c r="D48" s="85">
        <f t="shared" si="1"/>
        <v>92</v>
      </c>
      <c r="E48" s="291">
        <v>3.2500000000000001E-2</v>
      </c>
      <c r="F48" s="182">
        <f t="shared" si="2"/>
        <v>10135099.799999997</v>
      </c>
      <c r="G48" s="177">
        <f t="shared" si="4"/>
        <v>83024.516169862996</v>
      </c>
      <c r="H48" s="176">
        <f t="shared" si="6"/>
        <v>844591.65</v>
      </c>
      <c r="I48" s="170">
        <v>0</v>
      </c>
      <c r="J48" s="176">
        <f t="shared" si="5"/>
        <v>9290508.1499999966</v>
      </c>
    </row>
    <row r="49" spans="1:10" outlineLevel="1" x14ac:dyDescent="0.2">
      <c r="A49" s="67" t="s">
        <v>72</v>
      </c>
      <c r="B49" s="83">
        <f t="shared" si="3"/>
        <v>42278</v>
      </c>
      <c r="C49" s="83">
        <v>42369</v>
      </c>
      <c r="D49" s="85">
        <f t="shared" si="1"/>
        <v>92</v>
      </c>
      <c r="E49" s="291">
        <v>3.2500000000000001E-2</v>
      </c>
      <c r="F49" s="182">
        <f t="shared" si="2"/>
        <v>9290508.1499999966</v>
      </c>
      <c r="G49" s="177">
        <f t="shared" si="4"/>
        <v>76105.806489041075</v>
      </c>
      <c r="H49" s="176">
        <f t="shared" si="6"/>
        <v>844591.65</v>
      </c>
      <c r="I49" s="170">
        <v>0</v>
      </c>
      <c r="J49" s="176">
        <f t="shared" si="5"/>
        <v>8445916.4999999963</v>
      </c>
    </row>
    <row r="50" spans="1:10" outlineLevel="1" x14ac:dyDescent="0.2">
      <c r="A50" s="67" t="s">
        <v>77</v>
      </c>
      <c r="B50" s="83">
        <f t="shared" si="3"/>
        <v>42370</v>
      </c>
      <c r="C50" s="83">
        <v>42460</v>
      </c>
      <c r="D50" s="85">
        <f t="shared" si="1"/>
        <v>91</v>
      </c>
      <c r="E50" s="291">
        <v>3.2500000000000001E-2</v>
      </c>
      <c r="F50" s="182">
        <f t="shared" si="2"/>
        <v>8445916.4999999963</v>
      </c>
      <c r="G50" s="177">
        <f t="shared" si="4"/>
        <v>68435.06314726024</v>
      </c>
      <c r="H50" s="176">
        <f t="shared" si="6"/>
        <v>844591.65</v>
      </c>
      <c r="I50" s="170">
        <v>0</v>
      </c>
      <c r="J50" s="176">
        <f t="shared" si="5"/>
        <v>7601324.8499999959</v>
      </c>
    </row>
    <row r="51" spans="1:10" outlineLevel="1" x14ac:dyDescent="0.2">
      <c r="A51" s="67" t="s">
        <v>78</v>
      </c>
      <c r="B51" s="83">
        <f t="shared" si="3"/>
        <v>42461</v>
      </c>
      <c r="C51" s="83">
        <v>42551</v>
      </c>
      <c r="D51" s="85">
        <f t="shared" si="1"/>
        <v>91</v>
      </c>
      <c r="E51" s="291">
        <v>3.2500000000000001E-2</v>
      </c>
      <c r="F51" s="182">
        <f t="shared" si="2"/>
        <v>7601324.8499999959</v>
      </c>
      <c r="G51" s="177">
        <f t="shared" si="4"/>
        <v>61591.556832534217</v>
      </c>
      <c r="H51" s="176">
        <f t="shared" si="6"/>
        <v>844591.65</v>
      </c>
      <c r="I51" s="170">
        <v>0</v>
      </c>
      <c r="J51" s="176">
        <f t="shared" si="5"/>
        <v>6756733.1999999955</v>
      </c>
    </row>
    <row r="52" spans="1:10" outlineLevel="1" x14ac:dyDescent="0.2">
      <c r="A52" s="67" t="s">
        <v>79</v>
      </c>
      <c r="B52" s="83">
        <f t="shared" si="3"/>
        <v>42552</v>
      </c>
      <c r="C52" s="83">
        <v>42643</v>
      </c>
      <c r="D52" s="85">
        <f t="shared" si="1"/>
        <v>92</v>
      </c>
      <c r="E52" s="291">
        <v>3.2500000000000001E-2</v>
      </c>
      <c r="F52" s="182">
        <f t="shared" si="2"/>
        <v>6756733.1999999955</v>
      </c>
      <c r="G52" s="177">
        <f t="shared" si="4"/>
        <v>55349.677446575311</v>
      </c>
      <c r="H52" s="176">
        <f t="shared" si="6"/>
        <v>844591.65</v>
      </c>
      <c r="I52" s="170">
        <v>0</v>
      </c>
      <c r="J52" s="176">
        <f t="shared" si="5"/>
        <v>5912141.5499999952</v>
      </c>
    </row>
    <row r="53" spans="1:10" outlineLevel="1" x14ac:dyDescent="0.2">
      <c r="A53" s="67" t="s">
        <v>80</v>
      </c>
      <c r="B53" s="83">
        <f t="shared" si="3"/>
        <v>42644</v>
      </c>
      <c r="C53" s="83">
        <v>42735</v>
      </c>
      <c r="D53" s="85">
        <f t="shared" si="1"/>
        <v>92</v>
      </c>
      <c r="E53" s="291">
        <v>3.2500000000000001E-2</v>
      </c>
      <c r="F53" s="182">
        <f t="shared" si="2"/>
        <v>5912141.5499999952</v>
      </c>
      <c r="G53" s="177">
        <f t="shared" si="4"/>
        <v>48430.96776575339</v>
      </c>
      <c r="H53" s="176">
        <f t="shared" si="6"/>
        <v>844591.65</v>
      </c>
      <c r="I53" s="170">
        <v>0</v>
      </c>
      <c r="J53" s="176">
        <f t="shared" si="5"/>
        <v>5067549.8999999948</v>
      </c>
    </row>
    <row r="54" spans="1:10" outlineLevel="1" x14ac:dyDescent="0.2">
      <c r="A54" s="67" t="s">
        <v>81</v>
      </c>
      <c r="B54" s="83">
        <f t="shared" si="3"/>
        <v>42736</v>
      </c>
      <c r="C54" s="83">
        <v>42825</v>
      </c>
      <c r="D54" s="85">
        <f t="shared" si="1"/>
        <v>90</v>
      </c>
      <c r="E54" s="291">
        <v>3.2500000000000001E-2</v>
      </c>
      <c r="F54" s="182">
        <f t="shared" si="2"/>
        <v>5067549.8999999948</v>
      </c>
      <c r="G54" s="177">
        <f t="shared" si="4"/>
        <v>40609.81769178078</v>
      </c>
      <c r="H54" s="176">
        <f t="shared" si="6"/>
        <v>844591.65</v>
      </c>
      <c r="I54" s="170">
        <v>0</v>
      </c>
      <c r="J54" s="176">
        <f t="shared" si="5"/>
        <v>4222958.2499999944</v>
      </c>
    </row>
    <row r="55" spans="1:10" outlineLevel="1" x14ac:dyDescent="0.2">
      <c r="A55" s="67" t="s">
        <v>82</v>
      </c>
      <c r="B55" s="83">
        <f t="shared" si="3"/>
        <v>42826</v>
      </c>
      <c r="C55" s="83">
        <v>42916</v>
      </c>
      <c r="D55" s="85">
        <f t="shared" si="1"/>
        <v>91</v>
      </c>
      <c r="E55" s="291">
        <v>3.2500000000000001E-2</v>
      </c>
      <c r="F55" s="182">
        <f t="shared" si="2"/>
        <v>4222958.2499999944</v>
      </c>
      <c r="G55" s="177">
        <f t="shared" si="4"/>
        <v>34217.531573630091</v>
      </c>
      <c r="H55" s="176">
        <f t="shared" si="6"/>
        <v>844591.65</v>
      </c>
      <c r="I55" s="170">
        <v>0</v>
      </c>
      <c r="J55" s="176">
        <f t="shared" si="5"/>
        <v>3378366.5999999945</v>
      </c>
    </row>
    <row r="56" spans="1:10" outlineLevel="1" x14ac:dyDescent="0.2">
      <c r="A56" s="67" t="s">
        <v>83</v>
      </c>
      <c r="B56" s="83">
        <f t="shared" si="3"/>
        <v>42917</v>
      </c>
      <c r="C56" s="83">
        <v>43008</v>
      </c>
      <c r="D56" s="85">
        <f t="shared" si="1"/>
        <v>92</v>
      </c>
      <c r="E56" s="291">
        <v>3.2500000000000001E-2</v>
      </c>
      <c r="F56" s="182">
        <f t="shared" si="2"/>
        <v>3378366.5999999945</v>
      </c>
      <c r="G56" s="177">
        <f t="shared" si="4"/>
        <v>27674.83872328763</v>
      </c>
      <c r="H56" s="176">
        <f t="shared" si="6"/>
        <v>844591.65</v>
      </c>
      <c r="I56" s="170">
        <v>0</v>
      </c>
      <c r="J56" s="176">
        <f t="shared" si="5"/>
        <v>2533774.9499999946</v>
      </c>
    </row>
    <row r="57" spans="1:10" outlineLevel="1" x14ac:dyDescent="0.2">
      <c r="A57" s="67" t="s">
        <v>84</v>
      </c>
      <c r="B57" s="83">
        <f t="shared" si="3"/>
        <v>43009</v>
      </c>
      <c r="C57" s="83">
        <v>43100</v>
      </c>
      <c r="D57" s="85">
        <f t="shared" si="1"/>
        <v>92</v>
      </c>
      <c r="E57" s="291">
        <v>3.2500000000000001E-2</v>
      </c>
      <c r="F57" s="182">
        <f t="shared" si="2"/>
        <v>2533774.9499999946</v>
      </c>
      <c r="G57" s="177">
        <f t="shared" si="4"/>
        <v>20756.129042465713</v>
      </c>
      <c r="H57" s="176">
        <f t="shared" si="6"/>
        <v>844591.65</v>
      </c>
      <c r="I57" s="170">
        <v>0</v>
      </c>
      <c r="J57" s="176">
        <f t="shared" si="5"/>
        <v>1689183.2999999947</v>
      </c>
    </row>
    <row r="58" spans="1:10" outlineLevel="1" x14ac:dyDescent="0.2">
      <c r="A58" s="67" t="s">
        <v>85</v>
      </c>
      <c r="B58" s="83">
        <f t="shared" si="3"/>
        <v>43101</v>
      </c>
      <c r="C58" s="83">
        <v>43190</v>
      </c>
      <c r="D58" s="85">
        <f t="shared" si="1"/>
        <v>90</v>
      </c>
      <c r="E58" s="291">
        <v>3.2500000000000001E-2</v>
      </c>
      <c r="F58" s="182">
        <f t="shared" si="2"/>
        <v>1689183.2999999947</v>
      </c>
      <c r="G58" s="177">
        <f t="shared" si="4"/>
        <v>13536.60589726023</v>
      </c>
      <c r="H58" s="176">
        <f t="shared" si="6"/>
        <v>844591.65</v>
      </c>
      <c r="I58" s="170">
        <v>0</v>
      </c>
      <c r="J58" s="176">
        <f t="shared" si="5"/>
        <v>844591.64999999467</v>
      </c>
    </row>
    <row r="59" spans="1:10" outlineLevel="1" x14ac:dyDescent="0.2">
      <c r="A59" s="67" t="s">
        <v>86</v>
      </c>
      <c r="B59" s="83">
        <f t="shared" si="3"/>
        <v>43191</v>
      </c>
      <c r="C59" s="83">
        <v>43281</v>
      </c>
      <c r="D59" s="85">
        <f t="shared" si="1"/>
        <v>91</v>
      </c>
      <c r="E59" s="291">
        <v>3.2500000000000001E-2</v>
      </c>
      <c r="F59" s="182">
        <f t="shared" si="2"/>
        <v>844591.64999999467</v>
      </c>
      <c r="G59" s="177">
        <f t="shared" si="4"/>
        <v>6843.5063147259843</v>
      </c>
      <c r="H59" s="177">
        <f>H58</f>
        <v>844591.65</v>
      </c>
      <c r="I59" s="170">
        <v>0</v>
      </c>
      <c r="J59" s="176">
        <f t="shared" si="5"/>
        <v>-5.3551048040390015E-9</v>
      </c>
    </row>
    <row r="60" spans="1:10" outlineLevel="1" x14ac:dyDescent="0.2">
      <c r="A60" s="67" t="s">
        <v>87</v>
      </c>
      <c r="B60" s="83">
        <f>C59+1</f>
        <v>43282</v>
      </c>
      <c r="C60" s="83">
        <v>43373</v>
      </c>
      <c r="D60" s="85">
        <f t="shared" si="1"/>
        <v>92</v>
      </c>
      <c r="E60" s="291">
        <v>3.2500000000000001E-2</v>
      </c>
      <c r="F60" s="182">
        <f t="shared" si="2"/>
        <v>-5.3551048040390015E-9</v>
      </c>
      <c r="G60" s="177">
        <f t="shared" si="4"/>
        <v>-4.386784483308662E-11</v>
      </c>
      <c r="H60" s="176">
        <v>0</v>
      </c>
      <c r="I60" s="170">
        <v>0</v>
      </c>
      <c r="J60" s="176">
        <f>F60-H60-G60</f>
        <v>-5.3112369592059145E-9</v>
      </c>
    </row>
    <row r="62" spans="1:10" x14ac:dyDescent="0.2">
      <c r="A62" s="503" t="s">
        <v>117</v>
      </c>
      <c r="B62" s="504"/>
      <c r="C62" s="504"/>
      <c r="D62" s="504"/>
      <c r="E62" s="504"/>
      <c r="F62" s="504"/>
      <c r="G62" s="504"/>
      <c r="H62" s="504"/>
      <c r="I62" s="504"/>
      <c r="J62" s="505"/>
    </row>
    <row r="63" spans="1:10" hidden="1" outlineLevel="1" x14ac:dyDescent="0.2">
      <c r="A63" s="199" t="s">
        <v>7</v>
      </c>
      <c r="B63" s="199" t="s">
        <v>8</v>
      </c>
      <c r="C63" s="199" t="s">
        <v>9</v>
      </c>
      <c r="D63" s="199" t="s">
        <v>10</v>
      </c>
      <c r="E63" s="199" t="s">
        <v>11</v>
      </c>
      <c r="F63" s="199" t="s">
        <v>12</v>
      </c>
      <c r="G63" s="199" t="s">
        <v>13</v>
      </c>
      <c r="H63" s="199"/>
      <c r="I63" s="199"/>
      <c r="J63" s="199" t="s">
        <v>14</v>
      </c>
    </row>
    <row r="64" spans="1:10" ht="38.25" hidden="1" outlineLevel="1" x14ac:dyDescent="0.2">
      <c r="A64" s="77" t="s">
        <v>15</v>
      </c>
      <c r="B64" s="77" t="s">
        <v>16</v>
      </c>
      <c r="C64" s="77" t="s">
        <v>17</v>
      </c>
      <c r="D64" s="77" t="s">
        <v>18</v>
      </c>
      <c r="E64" s="77" t="s">
        <v>19</v>
      </c>
      <c r="F64" s="77" t="s">
        <v>20</v>
      </c>
      <c r="G64" s="77" t="s">
        <v>49</v>
      </c>
      <c r="H64" s="77" t="s">
        <v>22</v>
      </c>
      <c r="I64" s="77" t="s">
        <v>50</v>
      </c>
      <c r="J64" s="77" t="s">
        <v>21</v>
      </c>
    </row>
    <row r="65" spans="1:11" s="169" customFormat="1" hidden="1" outlineLevel="1" x14ac:dyDescent="0.2">
      <c r="A65" s="172" t="s">
        <v>32</v>
      </c>
      <c r="B65" s="173">
        <f>B18</f>
        <v>0</v>
      </c>
      <c r="C65" s="174">
        <v>40908</v>
      </c>
      <c r="D65" s="172">
        <f>+C65-B65+1</f>
        <v>40909</v>
      </c>
      <c r="E65" s="175">
        <v>3.25</v>
      </c>
      <c r="F65" s="195">
        <f>E18</f>
        <v>0</v>
      </c>
      <c r="G65" s="188">
        <f>+D65/365*E65/100*F65</f>
        <v>0</v>
      </c>
      <c r="H65" s="188"/>
      <c r="I65" s="188"/>
      <c r="J65" s="189">
        <f>F65+G65</f>
        <v>0</v>
      </c>
    </row>
    <row r="66" spans="1:11" s="169" customFormat="1" hidden="1" outlineLevel="1" x14ac:dyDescent="0.2">
      <c r="A66" s="172" t="s">
        <v>38</v>
      </c>
      <c r="B66" s="173">
        <f>C65+1</f>
        <v>40909</v>
      </c>
      <c r="C66" s="174">
        <v>40999</v>
      </c>
      <c r="D66" s="172">
        <f>+C66-B66+1</f>
        <v>91</v>
      </c>
      <c r="E66" s="175">
        <v>3.25</v>
      </c>
      <c r="F66" s="195">
        <f>+J65</f>
        <v>0</v>
      </c>
      <c r="G66" s="188">
        <f>+D66/365*E66/100*F66</f>
        <v>0</v>
      </c>
      <c r="H66" s="188"/>
      <c r="I66" s="188"/>
      <c r="J66" s="189">
        <f>+F66+G66</f>
        <v>0</v>
      </c>
    </row>
    <row r="67" spans="1:11" s="169" customFormat="1" hidden="1" outlineLevel="1" x14ac:dyDescent="0.2">
      <c r="A67" s="172" t="s">
        <v>46</v>
      </c>
      <c r="B67" s="173">
        <f>C66+1</f>
        <v>41000</v>
      </c>
      <c r="C67" s="173">
        <v>41090</v>
      </c>
      <c r="D67" s="183">
        <f>+C67-B67+1</f>
        <v>91</v>
      </c>
      <c r="E67" s="175">
        <v>3.25</v>
      </c>
      <c r="F67" s="190">
        <f>+J66</f>
        <v>0</v>
      </c>
      <c r="G67" s="188">
        <f>+D67/365*E67/100*F67</f>
        <v>0</v>
      </c>
      <c r="H67" s="190"/>
      <c r="I67" s="190"/>
      <c r="J67" s="189">
        <f>+F67+G67</f>
        <v>0</v>
      </c>
    </row>
    <row r="68" spans="1:11" s="169" customFormat="1" hidden="1" outlineLevel="1" x14ac:dyDescent="0.2">
      <c r="A68" s="172" t="s">
        <v>47</v>
      </c>
      <c r="B68" s="173">
        <f>C67+1</f>
        <v>41091</v>
      </c>
      <c r="C68" s="173">
        <v>41182</v>
      </c>
      <c r="D68" s="183">
        <f>+C68-B68+1</f>
        <v>92</v>
      </c>
      <c r="E68" s="175">
        <v>3.25</v>
      </c>
      <c r="F68" s="190">
        <f>+J67</f>
        <v>0</v>
      </c>
      <c r="G68" s="188">
        <f>+D68/365*E68/100*F68</f>
        <v>0</v>
      </c>
      <c r="H68" s="190"/>
      <c r="I68" s="190"/>
      <c r="J68" s="189">
        <f>+F68+G68</f>
        <v>0</v>
      </c>
    </row>
    <row r="69" spans="1:11" s="169" customFormat="1" hidden="1" outlineLevel="1" x14ac:dyDescent="0.2">
      <c r="A69" s="172" t="s">
        <v>33</v>
      </c>
      <c r="B69" s="173">
        <f>C68+1</f>
        <v>41183</v>
      </c>
      <c r="C69" s="173">
        <v>41274</v>
      </c>
      <c r="D69" s="183">
        <f>+C69-B69+1</f>
        <v>92</v>
      </c>
      <c r="E69" s="175">
        <v>3.25</v>
      </c>
      <c r="F69" s="190">
        <f>+J68</f>
        <v>0</v>
      </c>
      <c r="G69" s="190">
        <f>+D69/366*E69/100*F69</f>
        <v>0</v>
      </c>
      <c r="H69" s="190">
        <f>F65/20</f>
        <v>0</v>
      </c>
      <c r="I69" s="190">
        <f>$G$70/20</f>
        <v>0</v>
      </c>
      <c r="J69" s="189">
        <f>+F69+G69</f>
        <v>0</v>
      </c>
      <c r="K69" s="197" t="s">
        <v>118</v>
      </c>
    </row>
    <row r="70" spans="1:11" s="169" customFormat="1" hidden="1" outlineLevel="1" x14ac:dyDescent="0.2">
      <c r="A70" s="184"/>
      <c r="B70" s="185"/>
      <c r="C70" s="185"/>
      <c r="D70" s="186"/>
      <c r="E70" s="187"/>
      <c r="F70" s="196" t="s">
        <v>51</v>
      </c>
      <c r="G70" s="191">
        <f>SUM(G65:G69)</f>
        <v>0</v>
      </c>
      <c r="H70" s="192"/>
      <c r="I70" s="192"/>
      <c r="J70" s="193"/>
    </row>
    <row r="71" spans="1:11" s="169" customFormat="1" hidden="1" outlineLevel="1" x14ac:dyDescent="0.2">
      <c r="A71" s="67" t="s">
        <v>60</v>
      </c>
      <c r="B71" s="83">
        <f>C69+1</f>
        <v>41275</v>
      </c>
      <c r="C71" s="83">
        <v>41364</v>
      </c>
      <c r="D71" s="85">
        <f t="shared" ref="D71:D80" si="7">+C71-B71+1</f>
        <v>90</v>
      </c>
      <c r="E71" s="86">
        <v>3.25</v>
      </c>
      <c r="F71" s="176">
        <f>F65-H69</f>
        <v>0</v>
      </c>
      <c r="G71" s="176">
        <f t="shared" ref="G71:G80" si="8">+D71/366*E71/100*F71</f>
        <v>0</v>
      </c>
      <c r="H71" s="176">
        <f t="shared" ref="H71:H82" si="9">F$65/20</f>
        <v>0</v>
      </c>
      <c r="I71" s="176">
        <f>$I$69</f>
        <v>0</v>
      </c>
      <c r="J71" s="194"/>
    </row>
    <row r="72" spans="1:11" s="169" customFormat="1" hidden="1" outlineLevel="1" x14ac:dyDescent="0.2">
      <c r="A72" s="67" t="s">
        <v>61</v>
      </c>
      <c r="B72" s="83">
        <f t="shared" ref="B72:B80" si="10">C71+1</f>
        <v>41365</v>
      </c>
      <c r="C72" s="83">
        <v>41455</v>
      </c>
      <c r="D72" s="85">
        <f t="shared" si="7"/>
        <v>91</v>
      </c>
      <c r="E72" s="86">
        <v>3.25</v>
      </c>
      <c r="F72" s="176">
        <f t="shared" ref="F72:F90" si="11">F71-H71</f>
        <v>0</v>
      </c>
      <c r="G72" s="176">
        <f t="shared" si="8"/>
        <v>0</v>
      </c>
      <c r="H72" s="176">
        <f t="shared" si="9"/>
        <v>0</v>
      </c>
      <c r="I72" s="176">
        <f t="shared" ref="I72:I89" si="12">$I$69</f>
        <v>0</v>
      </c>
      <c r="J72" s="194"/>
    </row>
    <row r="73" spans="1:11" s="169" customFormat="1" hidden="1" outlineLevel="1" x14ac:dyDescent="0.2">
      <c r="A73" s="67" t="s">
        <v>62</v>
      </c>
      <c r="B73" s="83">
        <f t="shared" si="10"/>
        <v>41456</v>
      </c>
      <c r="C73" s="83">
        <v>41547</v>
      </c>
      <c r="D73" s="85">
        <f t="shared" si="7"/>
        <v>92</v>
      </c>
      <c r="E73" s="86">
        <v>3.25</v>
      </c>
      <c r="F73" s="176">
        <f t="shared" si="11"/>
        <v>0</v>
      </c>
      <c r="G73" s="176">
        <f t="shared" si="8"/>
        <v>0</v>
      </c>
      <c r="H73" s="176">
        <f t="shared" si="9"/>
        <v>0</v>
      </c>
      <c r="I73" s="176">
        <f t="shared" si="12"/>
        <v>0</v>
      </c>
      <c r="J73" s="194"/>
    </row>
    <row r="74" spans="1:11" s="169" customFormat="1" hidden="1" outlineLevel="1" x14ac:dyDescent="0.2">
      <c r="A74" s="67" t="s">
        <v>63</v>
      </c>
      <c r="B74" s="83">
        <f t="shared" si="10"/>
        <v>41548</v>
      </c>
      <c r="C74" s="83">
        <v>41639</v>
      </c>
      <c r="D74" s="85">
        <f t="shared" si="7"/>
        <v>92</v>
      </c>
      <c r="E74" s="86">
        <v>3.25</v>
      </c>
      <c r="F74" s="176">
        <f t="shared" si="11"/>
        <v>0</v>
      </c>
      <c r="G74" s="176">
        <f t="shared" si="8"/>
        <v>0</v>
      </c>
      <c r="H74" s="176">
        <f t="shared" si="9"/>
        <v>0</v>
      </c>
      <c r="I74" s="176">
        <f t="shared" si="12"/>
        <v>0</v>
      </c>
      <c r="J74" s="194"/>
    </row>
    <row r="75" spans="1:11" s="169" customFormat="1" hidden="1" outlineLevel="1" x14ac:dyDescent="0.2">
      <c r="A75" s="98" t="s">
        <v>65</v>
      </c>
      <c r="B75" s="99">
        <f t="shared" si="10"/>
        <v>41640</v>
      </c>
      <c r="C75" s="99">
        <v>41729</v>
      </c>
      <c r="D75" s="100">
        <f t="shared" si="7"/>
        <v>90</v>
      </c>
      <c r="E75" s="101">
        <v>3.25</v>
      </c>
      <c r="F75" s="178">
        <f t="shared" si="11"/>
        <v>0</v>
      </c>
      <c r="G75" s="178">
        <f t="shared" si="8"/>
        <v>0</v>
      </c>
      <c r="H75" s="178">
        <f t="shared" si="9"/>
        <v>0</v>
      </c>
      <c r="I75" s="178">
        <f t="shared" si="12"/>
        <v>0</v>
      </c>
      <c r="J75" s="194"/>
    </row>
    <row r="76" spans="1:11" s="169" customFormat="1" hidden="1" outlineLevel="1" x14ac:dyDescent="0.2">
      <c r="A76" s="98" t="s">
        <v>66</v>
      </c>
      <c r="B76" s="99">
        <f t="shared" si="10"/>
        <v>41730</v>
      </c>
      <c r="C76" s="99">
        <v>41820</v>
      </c>
      <c r="D76" s="100">
        <f t="shared" si="7"/>
        <v>91</v>
      </c>
      <c r="E76" s="101">
        <v>3.25</v>
      </c>
      <c r="F76" s="178">
        <f t="shared" si="11"/>
        <v>0</v>
      </c>
      <c r="G76" s="178">
        <f t="shared" si="8"/>
        <v>0</v>
      </c>
      <c r="H76" s="178">
        <f t="shared" si="9"/>
        <v>0</v>
      </c>
      <c r="I76" s="178">
        <f t="shared" si="12"/>
        <v>0</v>
      </c>
      <c r="J76" s="194"/>
    </row>
    <row r="77" spans="1:11" s="169" customFormat="1" hidden="1" outlineLevel="1" x14ac:dyDescent="0.2">
      <c r="A77" s="98" t="s">
        <v>67</v>
      </c>
      <c r="B77" s="99">
        <f t="shared" si="10"/>
        <v>41821</v>
      </c>
      <c r="C77" s="99">
        <v>41912</v>
      </c>
      <c r="D77" s="100">
        <f t="shared" si="7"/>
        <v>92</v>
      </c>
      <c r="E77" s="101">
        <v>3.25</v>
      </c>
      <c r="F77" s="178">
        <f t="shared" si="11"/>
        <v>0</v>
      </c>
      <c r="G77" s="178">
        <f t="shared" si="8"/>
        <v>0</v>
      </c>
      <c r="H77" s="178">
        <f t="shared" si="9"/>
        <v>0</v>
      </c>
      <c r="I77" s="178">
        <f t="shared" si="12"/>
        <v>0</v>
      </c>
      <c r="J77" s="194"/>
    </row>
    <row r="78" spans="1:11" s="169" customFormat="1" hidden="1" outlineLevel="1" x14ac:dyDescent="0.2">
      <c r="A78" s="98" t="s">
        <v>68</v>
      </c>
      <c r="B78" s="99">
        <f t="shared" si="10"/>
        <v>41913</v>
      </c>
      <c r="C78" s="99">
        <v>42004</v>
      </c>
      <c r="D78" s="100">
        <f t="shared" si="7"/>
        <v>92</v>
      </c>
      <c r="E78" s="101">
        <v>3.25</v>
      </c>
      <c r="F78" s="178">
        <f t="shared" si="11"/>
        <v>0</v>
      </c>
      <c r="G78" s="178">
        <f t="shared" si="8"/>
        <v>0</v>
      </c>
      <c r="H78" s="178">
        <f t="shared" si="9"/>
        <v>0</v>
      </c>
      <c r="I78" s="178">
        <f t="shared" si="12"/>
        <v>0</v>
      </c>
      <c r="J78" s="194"/>
    </row>
    <row r="79" spans="1:11" s="169" customFormat="1" hidden="1" outlineLevel="1" x14ac:dyDescent="0.2">
      <c r="A79" s="67" t="s">
        <v>69</v>
      </c>
      <c r="B79" s="83">
        <f t="shared" si="10"/>
        <v>42005</v>
      </c>
      <c r="C79" s="83">
        <v>42094</v>
      </c>
      <c r="D79" s="85">
        <f t="shared" si="7"/>
        <v>90</v>
      </c>
      <c r="E79" s="86">
        <v>3.25</v>
      </c>
      <c r="F79" s="176">
        <f t="shared" si="11"/>
        <v>0</v>
      </c>
      <c r="G79" s="176">
        <f t="shared" si="8"/>
        <v>0</v>
      </c>
      <c r="H79" s="176">
        <f t="shared" si="9"/>
        <v>0</v>
      </c>
      <c r="I79" s="176">
        <f t="shared" si="12"/>
        <v>0</v>
      </c>
      <c r="J79" s="194"/>
    </row>
    <row r="80" spans="1:11" s="169" customFormat="1" hidden="1" outlineLevel="1" x14ac:dyDescent="0.2">
      <c r="A80" s="67" t="s">
        <v>70</v>
      </c>
      <c r="B80" s="83">
        <f t="shared" si="10"/>
        <v>42095</v>
      </c>
      <c r="C80" s="83">
        <v>42185</v>
      </c>
      <c r="D80" s="85">
        <f t="shared" si="7"/>
        <v>91</v>
      </c>
      <c r="E80" s="86">
        <v>3.25</v>
      </c>
      <c r="F80" s="176">
        <f t="shared" si="11"/>
        <v>0</v>
      </c>
      <c r="G80" s="176">
        <f t="shared" si="8"/>
        <v>0</v>
      </c>
      <c r="H80" s="176">
        <f t="shared" si="9"/>
        <v>0</v>
      </c>
      <c r="I80" s="176">
        <f t="shared" si="12"/>
        <v>0</v>
      </c>
      <c r="J80" s="194"/>
    </row>
    <row r="81" spans="1:10" s="169" customFormat="1" hidden="1" outlineLevel="1" x14ac:dyDescent="0.2">
      <c r="A81" s="67" t="s">
        <v>71</v>
      </c>
      <c r="B81" s="83">
        <f>C80+1</f>
        <v>42186</v>
      </c>
      <c r="C81" s="83">
        <v>42277</v>
      </c>
      <c r="D81" s="85">
        <f>+C81-B81+1</f>
        <v>92</v>
      </c>
      <c r="E81" s="86">
        <v>3.25</v>
      </c>
      <c r="F81" s="176">
        <f t="shared" si="11"/>
        <v>0</v>
      </c>
      <c r="G81" s="176">
        <f>+D81/366*E81/100*F81</f>
        <v>0</v>
      </c>
      <c r="H81" s="176">
        <f t="shared" si="9"/>
        <v>0</v>
      </c>
      <c r="I81" s="176">
        <f t="shared" si="12"/>
        <v>0</v>
      </c>
      <c r="J81" s="194"/>
    </row>
    <row r="82" spans="1:10" s="169" customFormat="1" hidden="1" outlineLevel="1" x14ac:dyDescent="0.2">
      <c r="A82" s="67" t="s">
        <v>72</v>
      </c>
      <c r="B82" s="83">
        <f t="shared" ref="B82:B88" si="13">C81+1</f>
        <v>42278</v>
      </c>
      <c r="C82" s="83">
        <v>42369</v>
      </c>
      <c r="D82" s="85">
        <f t="shared" ref="D82:D88" si="14">+C82-B82+1</f>
        <v>92</v>
      </c>
      <c r="E82" s="86">
        <v>3.25</v>
      </c>
      <c r="F82" s="176">
        <f t="shared" si="11"/>
        <v>0</v>
      </c>
      <c r="G82" s="176">
        <f>+D82/366*E82/100*F82</f>
        <v>0</v>
      </c>
      <c r="H82" s="176">
        <f t="shared" si="9"/>
        <v>0</v>
      </c>
      <c r="I82" s="176">
        <f t="shared" si="12"/>
        <v>0</v>
      </c>
      <c r="J82" s="194"/>
    </row>
    <row r="83" spans="1:10" s="169" customFormat="1" hidden="1" outlineLevel="1" x14ac:dyDescent="0.2">
      <c r="A83" s="98" t="s">
        <v>77</v>
      </c>
      <c r="B83" s="99">
        <f t="shared" si="13"/>
        <v>42370</v>
      </c>
      <c r="C83" s="99">
        <v>42460</v>
      </c>
      <c r="D83" s="100">
        <f t="shared" si="14"/>
        <v>91</v>
      </c>
      <c r="E83" s="101">
        <v>3.25</v>
      </c>
      <c r="F83" s="178">
        <f t="shared" si="11"/>
        <v>0</v>
      </c>
      <c r="G83" s="178">
        <f t="shared" ref="G83:G88" si="15">+D83/366*E83/100*F83</f>
        <v>0</v>
      </c>
      <c r="H83" s="178">
        <f t="shared" ref="H83:H89" si="16">F$65/20</f>
        <v>0</v>
      </c>
      <c r="I83" s="178">
        <f t="shared" si="12"/>
        <v>0</v>
      </c>
      <c r="J83" s="194"/>
    </row>
    <row r="84" spans="1:10" s="169" customFormat="1" hidden="1" outlineLevel="1" x14ac:dyDescent="0.2">
      <c r="A84" s="98" t="s">
        <v>78</v>
      </c>
      <c r="B84" s="99">
        <f t="shared" si="13"/>
        <v>42461</v>
      </c>
      <c r="C84" s="99">
        <v>42551</v>
      </c>
      <c r="D84" s="100">
        <f t="shared" si="14"/>
        <v>91</v>
      </c>
      <c r="E84" s="101">
        <v>3.25</v>
      </c>
      <c r="F84" s="178">
        <f t="shared" si="11"/>
        <v>0</v>
      </c>
      <c r="G84" s="178">
        <f t="shared" si="15"/>
        <v>0</v>
      </c>
      <c r="H84" s="178">
        <f t="shared" si="16"/>
        <v>0</v>
      </c>
      <c r="I84" s="178">
        <f t="shared" si="12"/>
        <v>0</v>
      </c>
      <c r="J84" s="194"/>
    </row>
    <row r="85" spans="1:10" s="169" customFormat="1" hidden="1" outlineLevel="1" x14ac:dyDescent="0.2">
      <c r="A85" s="98" t="s">
        <v>79</v>
      </c>
      <c r="B85" s="99">
        <f t="shared" si="13"/>
        <v>42552</v>
      </c>
      <c r="C85" s="99">
        <v>42643</v>
      </c>
      <c r="D85" s="100">
        <f t="shared" si="14"/>
        <v>92</v>
      </c>
      <c r="E85" s="101">
        <v>3.25</v>
      </c>
      <c r="F85" s="178">
        <f t="shared" si="11"/>
        <v>0</v>
      </c>
      <c r="G85" s="178">
        <f t="shared" si="15"/>
        <v>0</v>
      </c>
      <c r="H85" s="178">
        <f t="shared" si="16"/>
        <v>0</v>
      </c>
      <c r="I85" s="178">
        <f t="shared" si="12"/>
        <v>0</v>
      </c>
      <c r="J85" s="194"/>
    </row>
    <row r="86" spans="1:10" s="169" customFormat="1" hidden="1" outlineLevel="1" x14ac:dyDescent="0.2">
      <c r="A86" s="98" t="s">
        <v>80</v>
      </c>
      <c r="B86" s="99">
        <f t="shared" si="13"/>
        <v>42644</v>
      </c>
      <c r="C86" s="99">
        <v>42735</v>
      </c>
      <c r="D86" s="100">
        <f t="shared" si="14"/>
        <v>92</v>
      </c>
      <c r="E86" s="101">
        <v>3.25</v>
      </c>
      <c r="F86" s="178">
        <f t="shared" si="11"/>
        <v>0</v>
      </c>
      <c r="G86" s="178">
        <f t="shared" si="15"/>
        <v>0</v>
      </c>
      <c r="H86" s="178">
        <f t="shared" si="16"/>
        <v>0</v>
      </c>
      <c r="I86" s="178">
        <f t="shared" si="12"/>
        <v>0</v>
      </c>
      <c r="J86" s="194"/>
    </row>
    <row r="87" spans="1:10" s="169" customFormat="1" hidden="1" outlineLevel="1" x14ac:dyDescent="0.2">
      <c r="A87" s="67" t="s">
        <v>81</v>
      </c>
      <c r="B87" s="83">
        <f t="shared" si="13"/>
        <v>42736</v>
      </c>
      <c r="C87" s="83">
        <v>42825</v>
      </c>
      <c r="D87" s="85">
        <f t="shared" si="14"/>
        <v>90</v>
      </c>
      <c r="E87" s="86">
        <v>3.25</v>
      </c>
      <c r="F87" s="176">
        <f t="shared" si="11"/>
        <v>0</v>
      </c>
      <c r="G87" s="176">
        <f t="shared" si="15"/>
        <v>0</v>
      </c>
      <c r="H87" s="176">
        <f t="shared" si="16"/>
        <v>0</v>
      </c>
      <c r="I87" s="176">
        <f t="shared" si="12"/>
        <v>0</v>
      </c>
      <c r="J87" s="194"/>
    </row>
    <row r="88" spans="1:10" s="169" customFormat="1" hidden="1" outlineLevel="1" x14ac:dyDescent="0.2">
      <c r="A88" s="67" t="s">
        <v>82</v>
      </c>
      <c r="B88" s="83">
        <f t="shared" si="13"/>
        <v>42826</v>
      </c>
      <c r="C88" s="83">
        <v>42916</v>
      </c>
      <c r="D88" s="85">
        <f t="shared" si="14"/>
        <v>91</v>
      </c>
      <c r="E88" s="86">
        <v>3.25</v>
      </c>
      <c r="F88" s="176">
        <f t="shared" si="11"/>
        <v>0</v>
      </c>
      <c r="G88" s="176">
        <f t="shared" si="15"/>
        <v>0</v>
      </c>
      <c r="H88" s="176">
        <f t="shared" si="16"/>
        <v>0</v>
      </c>
      <c r="I88" s="176">
        <f t="shared" si="12"/>
        <v>0</v>
      </c>
      <c r="J88" s="194"/>
    </row>
    <row r="89" spans="1:10" s="169" customFormat="1" hidden="1" outlineLevel="1" x14ac:dyDescent="0.2">
      <c r="A89" s="67" t="s">
        <v>83</v>
      </c>
      <c r="B89" s="83">
        <f>C88+1</f>
        <v>42917</v>
      </c>
      <c r="C89" s="83">
        <v>43008</v>
      </c>
      <c r="D89" s="85">
        <f>+C89-B89+1</f>
        <v>92</v>
      </c>
      <c r="E89" s="86">
        <v>3.25</v>
      </c>
      <c r="F89" s="176">
        <f t="shared" si="11"/>
        <v>0</v>
      </c>
      <c r="G89" s="176">
        <f>+D89/366*E89/100*F89</f>
        <v>0</v>
      </c>
      <c r="H89" s="176">
        <f t="shared" si="16"/>
        <v>0</v>
      </c>
      <c r="I89" s="176">
        <f t="shared" si="12"/>
        <v>0</v>
      </c>
      <c r="J89" s="194"/>
    </row>
    <row r="90" spans="1:10" s="169" customFormat="1" hidden="1" outlineLevel="1" x14ac:dyDescent="0.2">
      <c r="A90" s="67" t="s">
        <v>84</v>
      </c>
      <c r="B90" s="83">
        <f>C89+1</f>
        <v>43009</v>
      </c>
      <c r="C90" s="83">
        <v>43100</v>
      </c>
      <c r="D90" s="85">
        <f>+C90-B90+1</f>
        <v>92</v>
      </c>
      <c r="E90" s="86">
        <v>3.25</v>
      </c>
      <c r="F90" s="176">
        <f t="shared" si="11"/>
        <v>0</v>
      </c>
      <c r="G90" s="176">
        <f>+D90/366*E90/100*F90</f>
        <v>0</v>
      </c>
      <c r="H90" s="176">
        <v>0</v>
      </c>
      <c r="I90" s="176">
        <v>0</v>
      </c>
      <c r="J90" s="194"/>
    </row>
    <row r="91" spans="1:10" collapsed="1" x14ac:dyDescent="0.2"/>
    <row r="92" spans="1:10" x14ac:dyDescent="0.2">
      <c r="A92" s="503" t="s">
        <v>119</v>
      </c>
      <c r="B92" s="504"/>
      <c r="C92" s="504"/>
      <c r="D92" s="504"/>
      <c r="E92" s="504"/>
      <c r="F92" s="504"/>
      <c r="G92" s="504"/>
      <c r="H92" s="504"/>
      <c r="I92" s="504"/>
      <c r="J92" s="505"/>
    </row>
    <row r="93" spans="1:10" hidden="1" outlineLevel="1" x14ac:dyDescent="0.2">
      <c r="A93" s="199" t="s">
        <v>7</v>
      </c>
      <c r="B93" s="199" t="s">
        <v>8</v>
      </c>
      <c r="C93" s="199" t="s">
        <v>9</v>
      </c>
      <c r="D93" s="199" t="s">
        <v>10</v>
      </c>
      <c r="E93" s="199" t="s">
        <v>11</v>
      </c>
      <c r="F93" s="199" t="s">
        <v>12</v>
      </c>
      <c r="G93" s="199" t="s">
        <v>13</v>
      </c>
      <c r="H93" s="199"/>
      <c r="I93" s="199"/>
      <c r="J93" s="199" t="s">
        <v>14</v>
      </c>
    </row>
    <row r="94" spans="1:10" ht="38.25" hidden="1" outlineLevel="1" x14ac:dyDescent="0.2">
      <c r="A94" s="6" t="s">
        <v>15</v>
      </c>
      <c r="B94" s="6" t="s">
        <v>16</v>
      </c>
      <c r="C94" s="6" t="s">
        <v>17</v>
      </c>
      <c r="D94" s="6" t="s">
        <v>18</v>
      </c>
      <c r="E94" s="6" t="s">
        <v>19</v>
      </c>
      <c r="F94" s="6" t="s">
        <v>20</v>
      </c>
      <c r="G94" s="6" t="s">
        <v>49</v>
      </c>
      <c r="H94" s="6" t="s">
        <v>22</v>
      </c>
      <c r="I94" s="6" t="s">
        <v>50</v>
      </c>
      <c r="J94" s="6" t="s">
        <v>21</v>
      </c>
    </row>
    <row r="95" spans="1:10" hidden="1" outlineLevel="1" x14ac:dyDescent="0.2">
      <c r="A95" s="172" t="s">
        <v>32</v>
      </c>
      <c r="B95" s="173">
        <f>B19</f>
        <v>0</v>
      </c>
      <c r="C95" s="174">
        <v>40908</v>
      </c>
      <c r="D95" s="172">
        <f>+C95-B95+1</f>
        <v>40909</v>
      </c>
      <c r="E95" s="175">
        <v>3.25</v>
      </c>
      <c r="F95" s="195">
        <f>E19</f>
        <v>0</v>
      </c>
      <c r="G95" s="188">
        <f>+D95/365*E95/100*F95</f>
        <v>0</v>
      </c>
      <c r="H95" s="188"/>
      <c r="I95" s="188"/>
      <c r="J95" s="189">
        <f>+F95+G95</f>
        <v>0</v>
      </c>
    </row>
    <row r="96" spans="1:10" hidden="1" outlineLevel="1" x14ac:dyDescent="0.2">
      <c r="A96" s="172" t="s">
        <v>38</v>
      </c>
      <c r="B96" s="173">
        <f>C95+1</f>
        <v>40909</v>
      </c>
      <c r="C96" s="173">
        <v>40999</v>
      </c>
      <c r="D96" s="183">
        <f>+C96-B96+1</f>
        <v>91</v>
      </c>
      <c r="E96" s="175">
        <v>3.25</v>
      </c>
      <c r="F96" s="190">
        <f>+J95</f>
        <v>0</v>
      </c>
      <c r="G96" s="188">
        <f>+D96/365*E96/100*F96</f>
        <v>0</v>
      </c>
      <c r="H96" s="190"/>
      <c r="I96" s="190"/>
      <c r="J96" s="189">
        <f>+F96+G96</f>
        <v>0</v>
      </c>
    </row>
    <row r="97" spans="1:10" hidden="1" outlineLevel="1" x14ac:dyDescent="0.2">
      <c r="A97" s="172" t="s">
        <v>46</v>
      </c>
      <c r="B97" s="173">
        <f>C96+1</f>
        <v>41000</v>
      </c>
      <c r="C97" s="173">
        <v>41090</v>
      </c>
      <c r="D97" s="183">
        <f>+C97-B97+1</f>
        <v>91</v>
      </c>
      <c r="E97" s="175">
        <v>3.25</v>
      </c>
      <c r="F97" s="190">
        <f>+J96</f>
        <v>0</v>
      </c>
      <c r="G97" s="188">
        <f>+D97/365*E97/100*F97</f>
        <v>0</v>
      </c>
      <c r="H97" s="190"/>
      <c r="I97" s="190"/>
      <c r="J97" s="189">
        <f>+F97+G97</f>
        <v>0</v>
      </c>
    </row>
    <row r="98" spans="1:10" hidden="1" outlineLevel="1" x14ac:dyDescent="0.2">
      <c r="A98" s="172" t="s">
        <v>47</v>
      </c>
      <c r="B98" s="173">
        <f>C97+1</f>
        <v>41091</v>
      </c>
      <c r="C98" s="173">
        <v>41182</v>
      </c>
      <c r="D98" s="183">
        <f>+C98-B98+1</f>
        <v>92</v>
      </c>
      <c r="E98" s="175">
        <v>3.25</v>
      </c>
      <c r="F98" s="190">
        <f>+J97</f>
        <v>0</v>
      </c>
      <c r="G98" s="190">
        <f>+D98/366*E98/100*F98</f>
        <v>0</v>
      </c>
      <c r="H98" s="190"/>
      <c r="I98" s="190"/>
      <c r="J98" s="189">
        <f>+F98+G98</f>
        <v>0</v>
      </c>
    </row>
    <row r="99" spans="1:10" hidden="1" outlineLevel="1" x14ac:dyDescent="0.2">
      <c r="A99" s="172" t="s">
        <v>33</v>
      </c>
      <c r="B99" s="173">
        <f>C98+1</f>
        <v>41183</v>
      </c>
      <c r="C99" s="173">
        <v>41274</v>
      </c>
      <c r="D99" s="183">
        <f>+C99-B99+1</f>
        <v>92</v>
      </c>
      <c r="E99" s="175">
        <v>3.25</v>
      </c>
      <c r="F99" s="190">
        <f>+J98</f>
        <v>0</v>
      </c>
      <c r="G99" s="190">
        <f>+D99/366*E99/100*F99</f>
        <v>0</v>
      </c>
      <c r="H99" s="190">
        <f>F95/20</f>
        <v>0</v>
      </c>
      <c r="I99" s="190">
        <f>G100/20</f>
        <v>0</v>
      </c>
      <c r="J99" s="189">
        <f>+F99+G99</f>
        <v>0</v>
      </c>
    </row>
    <row r="100" spans="1:10" hidden="1" outlineLevel="1" x14ac:dyDescent="0.2">
      <c r="A100" s="198"/>
      <c r="B100" s="198"/>
      <c r="C100" s="198"/>
      <c r="D100" s="198"/>
      <c r="E100" s="500" t="s">
        <v>51</v>
      </c>
      <c r="F100" s="500"/>
      <c r="G100" s="191">
        <f>SUM(G95:G99)</f>
        <v>0</v>
      </c>
      <c r="H100" s="198"/>
      <c r="I100" s="198"/>
      <c r="J100" s="47"/>
    </row>
    <row r="101" spans="1:10" hidden="1" outlineLevel="1" x14ac:dyDescent="0.2">
      <c r="A101" s="67" t="s">
        <v>60</v>
      </c>
      <c r="B101" s="83">
        <f>C99+1</f>
        <v>41275</v>
      </c>
      <c r="C101" s="83">
        <v>41364</v>
      </c>
      <c r="D101" s="85">
        <f t="shared" ref="D101:D110" si="17">+C101-B101+1</f>
        <v>90</v>
      </c>
      <c r="E101" s="86">
        <v>3.25</v>
      </c>
      <c r="F101" s="176">
        <f>F95-H99</f>
        <v>0</v>
      </c>
      <c r="G101" s="176">
        <f t="shared" ref="G101:G110" si="18">+D101/366*E101/100*F101</f>
        <v>0</v>
      </c>
      <c r="H101" s="176">
        <f t="shared" ref="H101:H119" si="19">F$95/20</f>
        <v>0</v>
      </c>
      <c r="I101" s="176">
        <f>$I$99</f>
        <v>0</v>
      </c>
    </row>
    <row r="102" spans="1:10" hidden="1" outlineLevel="1" x14ac:dyDescent="0.2">
      <c r="A102" s="67" t="s">
        <v>61</v>
      </c>
      <c r="B102" s="83">
        <f t="shared" ref="B102:B110" si="20">C101+1</f>
        <v>41365</v>
      </c>
      <c r="C102" s="83">
        <v>41455</v>
      </c>
      <c r="D102" s="85">
        <f t="shared" si="17"/>
        <v>91</v>
      </c>
      <c r="E102" s="86">
        <v>3.25</v>
      </c>
      <c r="F102" s="176">
        <f t="shared" ref="F102:F120" si="21">F101-H101</f>
        <v>0</v>
      </c>
      <c r="G102" s="176">
        <f t="shared" si="18"/>
        <v>0</v>
      </c>
      <c r="H102" s="176">
        <f t="shared" si="19"/>
        <v>0</v>
      </c>
      <c r="I102" s="176">
        <f t="shared" ref="I102:I119" si="22">$I$99</f>
        <v>0</v>
      </c>
    </row>
    <row r="103" spans="1:10" hidden="1" outlineLevel="1" x14ac:dyDescent="0.2">
      <c r="A103" s="67" t="s">
        <v>62</v>
      </c>
      <c r="B103" s="83">
        <f t="shared" si="20"/>
        <v>41456</v>
      </c>
      <c r="C103" s="83">
        <v>41547</v>
      </c>
      <c r="D103" s="85">
        <f t="shared" si="17"/>
        <v>92</v>
      </c>
      <c r="E103" s="86">
        <v>3.25</v>
      </c>
      <c r="F103" s="176">
        <f t="shared" si="21"/>
        <v>0</v>
      </c>
      <c r="G103" s="176">
        <f t="shared" si="18"/>
        <v>0</v>
      </c>
      <c r="H103" s="176">
        <f t="shared" si="19"/>
        <v>0</v>
      </c>
      <c r="I103" s="176">
        <f t="shared" si="22"/>
        <v>0</v>
      </c>
    </row>
    <row r="104" spans="1:10" hidden="1" outlineLevel="1" x14ac:dyDescent="0.2">
      <c r="A104" s="67" t="s">
        <v>63</v>
      </c>
      <c r="B104" s="83">
        <f t="shared" si="20"/>
        <v>41548</v>
      </c>
      <c r="C104" s="83">
        <v>41639</v>
      </c>
      <c r="D104" s="85">
        <f t="shared" si="17"/>
        <v>92</v>
      </c>
      <c r="E104" s="86">
        <v>3.25</v>
      </c>
      <c r="F104" s="176">
        <f t="shared" si="21"/>
        <v>0</v>
      </c>
      <c r="G104" s="176">
        <f t="shared" si="18"/>
        <v>0</v>
      </c>
      <c r="H104" s="176">
        <f t="shared" si="19"/>
        <v>0</v>
      </c>
      <c r="I104" s="176">
        <f t="shared" si="22"/>
        <v>0</v>
      </c>
    </row>
    <row r="105" spans="1:10" hidden="1" outlineLevel="1" x14ac:dyDescent="0.2">
      <c r="A105" s="98" t="s">
        <v>65</v>
      </c>
      <c r="B105" s="99">
        <f t="shared" si="20"/>
        <v>41640</v>
      </c>
      <c r="C105" s="99">
        <v>41729</v>
      </c>
      <c r="D105" s="100">
        <f t="shared" si="17"/>
        <v>90</v>
      </c>
      <c r="E105" s="101">
        <v>3.25</v>
      </c>
      <c r="F105" s="178">
        <f t="shared" si="21"/>
        <v>0</v>
      </c>
      <c r="G105" s="178">
        <f t="shared" si="18"/>
        <v>0</v>
      </c>
      <c r="H105" s="178">
        <f t="shared" si="19"/>
        <v>0</v>
      </c>
      <c r="I105" s="178">
        <f t="shared" si="22"/>
        <v>0</v>
      </c>
    </row>
    <row r="106" spans="1:10" hidden="1" outlineLevel="1" x14ac:dyDescent="0.2">
      <c r="A106" s="98" t="s">
        <v>66</v>
      </c>
      <c r="B106" s="99">
        <f t="shared" si="20"/>
        <v>41730</v>
      </c>
      <c r="C106" s="99">
        <v>41820</v>
      </c>
      <c r="D106" s="100">
        <f t="shared" si="17"/>
        <v>91</v>
      </c>
      <c r="E106" s="101">
        <v>3.25</v>
      </c>
      <c r="F106" s="178">
        <f t="shared" si="21"/>
        <v>0</v>
      </c>
      <c r="G106" s="178">
        <f t="shared" si="18"/>
        <v>0</v>
      </c>
      <c r="H106" s="178">
        <f t="shared" si="19"/>
        <v>0</v>
      </c>
      <c r="I106" s="178">
        <f t="shared" si="22"/>
        <v>0</v>
      </c>
    </row>
    <row r="107" spans="1:10" hidden="1" outlineLevel="1" x14ac:dyDescent="0.2">
      <c r="A107" s="98" t="s">
        <v>67</v>
      </c>
      <c r="B107" s="99">
        <f t="shared" si="20"/>
        <v>41821</v>
      </c>
      <c r="C107" s="99">
        <v>41912</v>
      </c>
      <c r="D107" s="100">
        <f t="shared" si="17"/>
        <v>92</v>
      </c>
      <c r="E107" s="101">
        <v>3.25</v>
      </c>
      <c r="F107" s="178">
        <f t="shared" si="21"/>
        <v>0</v>
      </c>
      <c r="G107" s="178">
        <f t="shared" si="18"/>
        <v>0</v>
      </c>
      <c r="H107" s="178">
        <f t="shared" si="19"/>
        <v>0</v>
      </c>
      <c r="I107" s="178">
        <f t="shared" si="22"/>
        <v>0</v>
      </c>
    </row>
    <row r="108" spans="1:10" hidden="1" outlineLevel="1" x14ac:dyDescent="0.2">
      <c r="A108" s="98" t="s">
        <v>68</v>
      </c>
      <c r="B108" s="99">
        <f t="shared" si="20"/>
        <v>41913</v>
      </c>
      <c r="C108" s="99">
        <v>42004</v>
      </c>
      <c r="D108" s="100">
        <f t="shared" si="17"/>
        <v>92</v>
      </c>
      <c r="E108" s="101">
        <v>3.25</v>
      </c>
      <c r="F108" s="178">
        <f t="shared" si="21"/>
        <v>0</v>
      </c>
      <c r="G108" s="178">
        <f t="shared" si="18"/>
        <v>0</v>
      </c>
      <c r="H108" s="178">
        <f t="shared" si="19"/>
        <v>0</v>
      </c>
      <c r="I108" s="178">
        <f t="shared" si="22"/>
        <v>0</v>
      </c>
    </row>
    <row r="109" spans="1:10" hidden="1" outlineLevel="1" x14ac:dyDescent="0.2">
      <c r="A109" s="67" t="s">
        <v>69</v>
      </c>
      <c r="B109" s="83">
        <f t="shared" si="20"/>
        <v>42005</v>
      </c>
      <c r="C109" s="83">
        <v>42094</v>
      </c>
      <c r="D109" s="85">
        <f t="shared" si="17"/>
        <v>90</v>
      </c>
      <c r="E109" s="86">
        <v>3.25</v>
      </c>
      <c r="F109" s="176">
        <f t="shared" si="21"/>
        <v>0</v>
      </c>
      <c r="G109" s="176">
        <f t="shared" si="18"/>
        <v>0</v>
      </c>
      <c r="H109" s="176">
        <f t="shared" si="19"/>
        <v>0</v>
      </c>
      <c r="I109" s="176">
        <f t="shared" si="22"/>
        <v>0</v>
      </c>
    </row>
    <row r="110" spans="1:10" hidden="1" outlineLevel="1" x14ac:dyDescent="0.2">
      <c r="A110" s="67" t="s">
        <v>70</v>
      </c>
      <c r="B110" s="83">
        <f t="shared" si="20"/>
        <v>42095</v>
      </c>
      <c r="C110" s="83">
        <v>42185</v>
      </c>
      <c r="D110" s="85">
        <f t="shared" si="17"/>
        <v>91</v>
      </c>
      <c r="E110" s="86">
        <v>3.25</v>
      </c>
      <c r="F110" s="176">
        <f t="shared" si="21"/>
        <v>0</v>
      </c>
      <c r="G110" s="176">
        <f t="shared" si="18"/>
        <v>0</v>
      </c>
      <c r="H110" s="176">
        <f t="shared" si="19"/>
        <v>0</v>
      </c>
      <c r="I110" s="176">
        <f t="shared" si="22"/>
        <v>0</v>
      </c>
    </row>
    <row r="111" spans="1:10" hidden="1" outlineLevel="1" x14ac:dyDescent="0.2">
      <c r="A111" s="67" t="s">
        <v>71</v>
      </c>
      <c r="B111" s="83">
        <f>C110+1</f>
        <v>42186</v>
      </c>
      <c r="C111" s="83">
        <v>42277</v>
      </c>
      <c r="D111" s="85">
        <f>+C111-B111+1</f>
        <v>92</v>
      </c>
      <c r="E111" s="86">
        <v>3.25</v>
      </c>
      <c r="F111" s="176">
        <f t="shared" si="21"/>
        <v>0</v>
      </c>
      <c r="G111" s="176">
        <f>+D111/366*E111/100*F111</f>
        <v>0</v>
      </c>
      <c r="H111" s="176">
        <f t="shared" si="19"/>
        <v>0</v>
      </c>
      <c r="I111" s="176">
        <f t="shared" si="22"/>
        <v>0</v>
      </c>
    </row>
    <row r="112" spans="1:10" hidden="1" outlineLevel="1" x14ac:dyDescent="0.2">
      <c r="A112" s="67" t="s">
        <v>72</v>
      </c>
      <c r="B112" s="83">
        <f t="shared" ref="B112:B118" si="23">C111+1</f>
        <v>42278</v>
      </c>
      <c r="C112" s="83">
        <v>42369</v>
      </c>
      <c r="D112" s="85">
        <f t="shared" ref="D112:D118" si="24">+C112-B112+1</f>
        <v>92</v>
      </c>
      <c r="E112" s="86">
        <v>3.25</v>
      </c>
      <c r="F112" s="176">
        <f t="shared" si="21"/>
        <v>0</v>
      </c>
      <c r="G112" s="176">
        <f>+D112/366*E112/100*F112</f>
        <v>0</v>
      </c>
      <c r="H112" s="176">
        <f t="shared" si="19"/>
        <v>0</v>
      </c>
      <c r="I112" s="176">
        <f t="shared" si="22"/>
        <v>0</v>
      </c>
    </row>
    <row r="113" spans="1:10" hidden="1" outlineLevel="1" x14ac:dyDescent="0.2">
      <c r="A113" s="98" t="s">
        <v>77</v>
      </c>
      <c r="B113" s="99">
        <f t="shared" si="23"/>
        <v>42370</v>
      </c>
      <c r="C113" s="99">
        <v>42460</v>
      </c>
      <c r="D113" s="100">
        <f t="shared" si="24"/>
        <v>91</v>
      </c>
      <c r="E113" s="101">
        <v>3.25</v>
      </c>
      <c r="F113" s="178">
        <f t="shared" si="21"/>
        <v>0</v>
      </c>
      <c r="G113" s="178">
        <f t="shared" ref="G113:G118" si="25">+D113/366*E113/100*F113</f>
        <v>0</v>
      </c>
      <c r="H113" s="178">
        <f t="shared" si="19"/>
        <v>0</v>
      </c>
      <c r="I113" s="178">
        <f t="shared" si="22"/>
        <v>0</v>
      </c>
    </row>
    <row r="114" spans="1:10" hidden="1" outlineLevel="1" x14ac:dyDescent="0.2">
      <c r="A114" s="98" t="s">
        <v>78</v>
      </c>
      <c r="B114" s="99">
        <f t="shared" si="23"/>
        <v>42461</v>
      </c>
      <c r="C114" s="99">
        <v>42551</v>
      </c>
      <c r="D114" s="100">
        <f t="shared" si="24"/>
        <v>91</v>
      </c>
      <c r="E114" s="101">
        <v>3.25</v>
      </c>
      <c r="F114" s="178">
        <f t="shared" si="21"/>
        <v>0</v>
      </c>
      <c r="G114" s="178">
        <f t="shared" si="25"/>
        <v>0</v>
      </c>
      <c r="H114" s="178">
        <f t="shared" si="19"/>
        <v>0</v>
      </c>
      <c r="I114" s="178">
        <f t="shared" si="22"/>
        <v>0</v>
      </c>
    </row>
    <row r="115" spans="1:10" hidden="1" outlineLevel="1" x14ac:dyDescent="0.2">
      <c r="A115" s="98" t="s">
        <v>79</v>
      </c>
      <c r="B115" s="99">
        <f t="shared" si="23"/>
        <v>42552</v>
      </c>
      <c r="C115" s="99">
        <v>42643</v>
      </c>
      <c r="D115" s="100">
        <f t="shared" si="24"/>
        <v>92</v>
      </c>
      <c r="E115" s="101">
        <v>3.25</v>
      </c>
      <c r="F115" s="178">
        <f t="shared" si="21"/>
        <v>0</v>
      </c>
      <c r="G115" s="178">
        <f t="shared" si="25"/>
        <v>0</v>
      </c>
      <c r="H115" s="178">
        <f t="shared" si="19"/>
        <v>0</v>
      </c>
      <c r="I115" s="178">
        <f t="shared" si="22"/>
        <v>0</v>
      </c>
    </row>
    <row r="116" spans="1:10" hidden="1" outlineLevel="1" x14ac:dyDescent="0.2">
      <c r="A116" s="98" t="s">
        <v>80</v>
      </c>
      <c r="B116" s="99">
        <f t="shared" si="23"/>
        <v>42644</v>
      </c>
      <c r="C116" s="99">
        <v>42735</v>
      </c>
      <c r="D116" s="100">
        <f t="shared" si="24"/>
        <v>92</v>
      </c>
      <c r="E116" s="101">
        <v>3.25</v>
      </c>
      <c r="F116" s="178">
        <f t="shared" si="21"/>
        <v>0</v>
      </c>
      <c r="G116" s="178">
        <f t="shared" si="25"/>
        <v>0</v>
      </c>
      <c r="H116" s="178">
        <f t="shared" si="19"/>
        <v>0</v>
      </c>
      <c r="I116" s="178">
        <f t="shared" si="22"/>
        <v>0</v>
      </c>
    </row>
    <row r="117" spans="1:10" hidden="1" outlineLevel="1" x14ac:dyDescent="0.2">
      <c r="A117" s="67" t="s">
        <v>81</v>
      </c>
      <c r="B117" s="83">
        <f t="shared" si="23"/>
        <v>42736</v>
      </c>
      <c r="C117" s="83">
        <v>42825</v>
      </c>
      <c r="D117" s="85">
        <f t="shared" si="24"/>
        <v>90</v>
      </c>
      <c r="E117" s="86">
        <v>3.25</v>
      </c>
      <c r="F117" s="176">
        <f t="shared" si="21"/>
        <v>0</v>
      </c>
      <c r="G117" s="176">
        <f t="shared" si="25"/>
        <v>0</v>
      </c>
      <c r="H117" s="176">
        <f t="shared" si="19"/>
        <v>0</v>
      </c>
      <c r="I117" s="176">
        <f t="shared" si="22"/>
        <v>0</v>
      </c>
    </row>
    <row r="118" spans="1:10" hidden="1" outlineLevel="1" x14ac:dyDescent="0.2">
      <c r="A118" s="67" t="s">
        <v>82</v>
      </c>
      <c r="B118" s="83">
        <f t="shared" si="23"/>
        <v>42826</v>
      </c>
      <c r="C118" s="83">
        <v>42916</v>
      </c>
      <c r="D118" s="85">
        <f t="shared" si="24"/>
        <v>91</v>
      </c>
      <c r="E118" s="86">
        <v>3.25</v>
      </c>
      <c r="F118" s="176">
        <f t="shared" si="21"/>
        <v>0</v>
      </c>
      <c r="G118" s="176">
        <f t="shared" si="25"/>
        <v>0</v>
      </c>
      <c r="H118" s="176">
        <f t="shared" si="19"/>
        <v>0</v>
      </c>
      <c r="I118" s="176">
        <f t="shared" si="22"/>
        <v>0</v>
      </c>
    </row>
    <row r="119" spans="1:10" hidden="1" outlineLevel="1" x14ac:dyDescent="0.2">
      <c r="A119" s="67" t="s">
        <v>83</v>
      </c>
      <c r="B119" s="83">
        <f>C118+1</f>
        <v>42917</v>
      </c>
      <c r="C119" s="83">
        <v>43008</v>
      </c>
      <c r="D119" s="85">
        <f>+C119-B119+1</f>
        <v>92</v>
      </c>
      <c r="E119" s="86">
        <v>3.25</v>
      </c>
      <c r="F119" s="176">
        <f t="shared" si="21"/>
        <v>0</v>
      </c>
      <c r="G119" s="176">
        <f>+D119/366*E119/100*F119</f>
        <v>0</v>
      </c>
      <c r="H119" s="176">
        <f t="shared" si="19"/>
        <v>0</v>
      </c>
      <c r="I119" s="176">
        <f t="shared" si="22"/>
        <v>0</v>
      </c>
    </row>
    <row r="120" spans="1:10" hidden="1" outlineLevel="1" x14ac:dyDescent="0.2">
      <c r="A120" s="67" t="s">
        <v>84</v>
      </c>
      <c r="B120" s="83">
        <f>C119+1</f>
        <v>43009</v>
      </c>
      <c r="C120" s="83">
        <v>43100</v>
      </c>
      <c r="D120" s="85">
        <f>+C120-B120+1</f>
        <v>92</v>
      </c>
      <c r="E120" s="86">
        <v>3.25</v>
      </c>
      <c r="F120" s="176">
        <f t="shared" si="21"/>
        <v>0</v>
      </c>
      <c r="G120" s="176">
        <f>+D120/366*E120/100*F120</f>
        <v>0</v>
      </c>
      <c r="H120" s="176">
        <v>0</v>
      </c>
      <c r="I120" s="176">
        <v>0</v>
      </c>
    </row>
    <row r="121" spans="1:10" collapsed="1" x14ac:dyDescent="0.2">
      <c r="A121" s="8"/>
      <c r="B121" s="92"/>
      <c r="C121" s="92"/>
      <c r="D121" s="93"/>
      <c r="E121" s="94"/>
      <c r="F121" s="96"/>
      <c r="G121" s="96"/>
      <c r="H121" s="96"/>
      <c r="I121" s="95"/>
    </row>
    <row r="122" spans="1:10" x14ac:dyDescent="0.2">
      <c r="A122" s="503" t="s">
        <v>120</v>
      </c>
      <c r="B122" s="504"/>
      <c r="C122" s="504"/>
      <c r="D122" s="504"/>
      <c r="E122" s="504"/>
      <c r="F122" s="504"/>
      <c r="G122" s="504"/>
      <c r="H122" s="504"/>
      <c r="I122" s="504"/>
      <c r="J122" s="505"/>
    </row>
    <row r="123" spans="1:10" hidden="1" outlineLevel="1" x14ac:dyDescent="0.2">
      <c r="A123" s="199" t="s">
        <v>7</v>
      </c>
      <c r="B123" s="199" t="s">
        <v>8</v>
      </c>
      <c r="C123" s="199" t="s">
        <v>9</v>
      </c>
      <c r="D123" s="199" t="s">
        <v>10</v>
      </c>
      <c r="E123" s="199" t="s">
        <v>11</v>
      </c>
      <c r="F123" s="199" t="s">
        <v>12</v>
      </c>
      <c r="G123" s="199" t="s">
        <v>13</v>
      </c>
      <c r="H123" s="199"/>
      <c r="I123" s="199"/>
      <c r="J123" s="199" t="s">
        <v>14</v>
      </c>
    </row>
    <row r="124" spans="1:10" ht="38.25" hidden="1" outlineLevel="1" x14ac:dyDescent="0.2">
      <c r="A124" s="6" t="s">
        <v>15</v>
      </c>
      <c r="B124" s="6" t="s">
        <v>16</v>
      </c>
      <c r="C124" s="6" t="s">
        <v>17</v>
      </c>
      <c r="D124" s="6" t="s">
        <v>18</v>
      </c>
      <c r="E124" s="6" t="s">
        <v>19</v>
      </c>
      <c r="F124" s="6" t="s">
        <v>20</v>
      </c>
      <c r="G124" s="6" t="s">
        <v>49</v>
      </c>
      <c r="H124" s="6" t="s">
        <v>22</v>
      </c>
      <c r="I124" s="6" t="s">
        <v>50</v>
      </c>
      <c r="J124" s="6" t="s">
        <v>21</v>
      </c>
    </row>
    <row r="125" spans="1:10" hidden="1" outlineLevel="1" x14ac:dyDescent="0.2">
      <c r="A125" s="172" t="s">
        <v>32</v>
      </c>
      <c r="B125" s="173">
        <f>B20</f>
        <v>0</v>
      </c>
      <c r="C125" s="174">
        <v>40908</v>
      </c>
      <c r="D125" s="172">
        <f>+C125-B125+1</f>
        <v>40909</v>
      </c>
      <c r="E125" s="175">
        <v>3.25</v>
      </c>
      <c r="F125" s="195">
        <f>E20</f>
        <v>0</v>
      </c>
      <c r="G125" s="188">
        <f>+D125/365*E125/100*F125</f>
        <v>0</v>
      </c>
      <c r="H125" s="188"/>
      <c r="I125" s="188"/>
      <c r="J125" s="189">
        <f>+F125+G125</f>
        <v>0</v>
      </c>
    </row>
    <row r="126" spans="1:10" hidden="1" outlineLevel="1" x14ac:dyDescent="0.2">
      <c r="A126" s="172" t="s">
        <v>38</v>
      </c>
      <c r="B126" s="173">
        <f>C125+1</f>
        <v>40909</v>
      </c>
      <c r="C126" s="173">
        <v>40999</v>
      </c>
      <c r="D126" s="183">
        <f>+C126-B126+1</f>
        <v>91</v>
      </c>
      <c r="E126" s="175">
        <v>3.25</v>
      </c>
      <c r="F126" s="190">
        <f>+J125</f>
        <v>0</v>
      </c>
      <c r="G126" s="188">
        <f>+D126/365*E126/100*F126</f>
        <v>0</v>
      </c>
      <c r="H126" s="190"/>
      <c r="I126" s="190"/>
      <c r="J126" s="189">
        <f>+F126+G126</f>
        <v>0</v>
      </c>
    </row>
    <row r="127" spans="1:10" hidden="1" outlineLevel="1" x14ac:dyDescent="0.2">
      <c r="A127" s="172" t="s">
        <v>46</v>
      </c>
      <c r="B127" s="173">
        <f>C126+1</f>
        <v>41000</v>
      </c>
      <c r="C127" s="173">
        <v>41090</v>
      </c>
      <c r="D127" s="183">
        <f>+C127-B127+1</f>
        <v>91</v>
      </c>
      <c r="E127" s="175">
        <v>3.25</v>
      </c>
      <c r="F127" s="190">
        <f>+J126</f>
        <v>0</v>
      </c>
      <c r="G127" s="188">
        <f>+D127/365*E127/100*F127</f>
        <v>0</v>
      </c>
      <c r="H127" s="190"/>
      <c r="I127" s="190"/>
      <c r="J127" s="189">
        <f>+F127+G127</f>
        <v>0</v>
      </c>
    </row>
    <row r="128" spans="1:10" hidden="1" outlineLevel="1" x14ac:dyDescent="0.2">
      <c r="A128" s="172" t="s">
        <v>47</v>
      </c>
      <c r="B128" s="173">
        <f>C127+1</f>
        <v>41091</v>
      </c>
      <c r="C128" s="173">
        <v>41182</v>
      </c>
      <c r="D128" s="183">
        <f>+C128-B128+1</f>
        <v>92</v>
      </c>
      <c r="E128" s="175">
        <v>3.25</v>
      </c>
      <c r="F128" s="190">
        <f>+J127</f>
        <v>0</v>
      </c>
      <c r="G128" s="190">
        <f>+D128/366*E128/100*F128</f>
        <v>0</v>
      </c>
      <c r="H128" s="190"/>
      <c r="I128" s="190"/>
      <c r="J128" s="189">
        <f>+F128+G128</f>
        <v>0</v>
      </c>
    </row>
    <row r="129" spans="1:10" hidden="1" outlineLevel="1" x14ac:dyDescent="0.2">
      <c r="A129" s="172" t="s">
        <v>33</v>
      </c>
      <c r="B129" s="173">
        <f>C128+1</f>
        <v>41183</v>
      </c>
      <c r="C129" s="173">
        <v>41274</v>
      </c>
      <c r="D129" s="183">
        <f>+C129-B129+1</f>
        <v>92</v>
      </c>
      <c r="E129" s="175">
        <v>3.25</v>
      </c>
      <c r="F129" s="190">
        <f>+J128</f>
        <v>0</v>
      </c>
      <c r="G129" s="190">
        <f>+D129/366*E129/100*F129</f>
        <v>0</v>
      </c>
      <c r="H129" s="190">
        <f>F125/20</f>
        <v>0</v>
      </c>
      <c r="I129" s="190">
        <f>G130/20</f>
        <v>0</v>
      </c>
      <c r="J129" s="189">
        <f>+F129+G129</f>
        <v>0</v>
      </c>
    </row>
    <row r="130" spans="1:10" hidden="1" outlineLevel="1" x14ac:dyDescent="0.2">
      <c r="A130" s="198"/>
      <c r="B130" s="198"/>
      <c r="C130" s="198"/>
      <c r="D130" s="198"/>
      <c r="E130" s="500" t="s">
        <v>51</v>
      </c>
      <c r="F130" s="500"/>
      <c r="G130" s="191">
        <f>SUM(G125:G129)</f>
        <v>0</v>
      </c>
      <c r="H130" s="198"/>
      <c r="I130" s="198"/>
      <c r="J130" s="198"/>
    </row>
    <row r="131" spans="1:10" hidden="1" outlineLevel="1" x14ac:dyDescent="0.2">
      <c r="A131" s="67" t="s">
        <v>60</v>
      </c>
      <c r="B131" s="83">
        <f>C129+1</f>
        <v>41275</v>
      </c>
      <c r="C131" s="83">
        <v>41364</v>
      </c>
      <c r="D131" s="85">
        <f t="shared" ref="D131:D140" si="26">+C131-B131+1</f>
        <v>90</v>
      </c>
      <c r="E131" s="86">
        <v>3.25</v>
      </c>
      <c r="F131" s="176">
        <f>F125-H129</f>
        <v>0</v>
      </c>
      <c r="G131" s="176">
        <f t="shared" ref="G131:G140" si="27">+D131/366*E131/100*F131</f>
        <v>0</v>
      </c>
      <c r="H131" s="176">
        <f>H129</f>
        <v>0</v>
      </c>
      <c r="I131" s="176">
        <f>G130/20</f>
        <v>0</v>
      </c>
    </row>
    <row r="132" spans="1:10" hidden="1" outlineLevel="1" x14ac:dyDescent="0.2">
      <c r="A132" s="67" t="s">
        <v>61</v>
      </c>
      <c r="B132" s="83">
        <f t="shared" ref="B132:B140" si="28">C131+1</f>
        <v>41365</v>
      </c>
      <c r="C132" s="83">
        <v>41455</v>
      </c>
      <c r="D132" s="85">
        <f t="shared" si="26"/>
        <v>91</v>
      </c>
      <c r="E132" s="86">
        <v>3.25</v>
      </c>
      <c r="F132" s="176">
        <f t="shared" ref="F132:F150" si="29">F131-H131</f>
        <v>0</v>
      </c>
      <c r="G132" s="176">
        <f t="shared" si="27"/>
        <v>0</v>
      </c>
      <c r="H132" s="176">
        <f>H131</f>
        <v>0</v>
      </c>
      <c r="I132" s="176">
        <f>I131</f>
        <v>0</v>
      </c>
    </row>
    <row r="133" spans="1:10" hidden="1" outlineLevel="1" x14ac:dyDescent="0.2">
      <c r="A133" s="67" t="s">
        <v>62</v>
      </c>
      <c r="B133" s="83">
        <f t="shared" si="28"/>
        <v>41456</v>
      </c>
      <c r="C133" s="83">
        <v>41547</v>
      </c>
      <c r="D133" s="85">
        <f t="shared" si="26"/>
        <v>92</v>
      </c>
      <c r="E133" s="86">
        <v>3.25</v>
      </c>
      <c r="F133" s="176">
        <f t="shared" si="29"/>
        <v>0</v>
      </c>
      <c r="G133" s="176">
        <f t="shared" si="27"/>
        <v>0</v>
      </c>
      <c r="H133" s="176">
        <f t="shared" ref="H133:H149" si="30">H132</f>
        <v>0</v>
      </c>
      <c r="I133" s="176">
        <f t="shared" ref="I133:I149" si="31">I132</f>
        <v>0</v>
      </c>
    </row>
    <row r="134" spans="1:10" hidden="1" outlineLevel="1" x14ac:dyDescent="0.2">
      <c r="A134" s="67" t="s">
        <v>63</v>
      </c>
      <c r="B134" s="83">
        <f t="shared" si="28"/>
        <v>41548</v>
      </c>
      <c r="C134" s="83">
        <v>41639</v>
      </c>
      <c r="D134" s="85">
        <f t="shared" si="26"/>
        <v>92</v>
      </c>
      <c r="E134" s="86">
        <v>3.25</v>
      </c>
      <c r="F134" s="176">
        <f t="shared" si="29"/>
        <v>0</v>
      </c>
      <c r="G134" s="176">
        <f t="shared" si="27"/>
        <v>0</v>
      </c>
      <c r="H134" s="176">
        <f t="shared" si="30"/>
        <v>0</v>
      </c>
      <c r="I134" s="176">
        <f t="shared" si="31"/>
        <v>0</v>
      </c>
    </row>
    <row r="135" spans="1:10" hidden="1" outlineLevel="1" x14ac:dyDescent="0.2">
      <c r="A135" s="98" t="s">
        <v>65</v>
      </c>
      <c r="B135" s="99">
        <f t="shared" si="28"/>
        <v>41640</v>
      </c>
      <c r="C135" s="99">
        <v>41729</v>
      </c>
      <c r="D135" s="100">
        <f t="shared" si="26"/>
        <v>90</v>
      </c>
      <c r="E135" s="101">
        <v>3.25</v>
      </c>
      <c r="F135" s="178">
        <f t="shared" si="29"/>
        <v>0</v>
      </c>
      <c r="G135" s="178">
        <f t="shared" si="27"/>
        <v>0</v>
      </c>
      <c r="H135" s="178">
        <f t="shared" si="30"/>
        <v>0</v>
      </c>
      <c r="I135" s="178">
        <f t="shared" si="31"/>
        <v>0</v>
      </c>
    </row>
    <row r="136" spans="1:10" hidden="1" outlineLevel="1" x14ac:dyDescent="0.2">
      <c r="A136" s="98" t="s">
        <v>66</v>
      </c>
      <c r="B136" s="99">
        <f t="shared" si="28"/>
        <v>41730</v>
      </c>
      <c r="C136" s="99">
        <v>41820</v>
      </c>
      <c r="D136" s="100">
        <f t="shared" si="26"/>
        <v>91</v>
      </c>
      <c r="E136" s="101">
        <v>3.25</v>
      </c>
      <c r="F136" s="178">
        <f t="shared" si="29"/>
        <v>0</v>
      </c>
      <c r="G136" s="178">
        <f t="shared" si="27"/>
        <v>0</v>
      </c>
      <c r="H136" s="178">
        <f t="shared" si="30"/>
        <v>0</v>
      </c>
      <c r="I136" s="178">
        <f t="shared" si="31"/>
        <v>0</v>
      </c>
    </row>
    <row r="137" spans="1:10" hidden="1" outlineLevel="1" x14ac:dyDescent="0.2">
      <c r="A137" s="98" t="s">
        <v>67</v>
      </c>
      <c r="B137" s="99">
        <f t="shared" si="28"/>
        <v>41821</v>
      </c>
      <c r="C137" s="99">
        <v>41912</v>
      </c>
      <c r="D137" s="100">
        <f t="shared" si="26"/>
        <v>92</v>
      </c>
      <c r="E137" s="101">
        <v>3.25</v>
      </c>
      <c r="F137" s="178">
        <f t="shared" si="29"/>
        <v>0</v>
      </c>
      <c r="G137" s="178">
        <f t="shared" si="27"/>
        <v>0</v>
      </c>
      <c r="H137" s="178">
        <f t="shared" si="30"/>
        <v>0</v>
      </c>
      <c r="I137" s="178">
        <f t="shared" si="31"/>
        <v>0</v>
      </c>
    </row>
    <row r="138" spans="1:10" hidden="1" outlineLevel="1" x14ac:dyDescent="0.2">
      <c r="A138" s="98" t="s">
        <v>68</v>
      </c>
      <c r="B138" s="99">
        <f t="shared" si="28"/>
        <v>41913</v>
      </c>
      <c r="C138" s="99">
        <v>42004</v>
      </c>
      <c r="D138" s="100">
        <f t="shared" si="26"/>
        <v>92</v>
      </c>
      <c r="E138" s="101">
        <v>3.25</v>
      </c>
      <c r="F138" s="178">
        <f t="shared" si="29"/>
        <v>0</v>
      </c>
      <c r="G138" s="178">
        <f t="shared" si="27"/>
        <v>0</v>
      </c>
      <c r="H138" s="178">
        <f t="shared" si="30"/>
        <v>0</v>
      </c>
      <c r="I138" s="178">
        <f t="shared" si="31"/>
        <v>0</v>
      </c>
    </row>
    <row r="139" spans="1:10" hidden="1" outlineLevel="1" x14ac:dyDescent="0.2">
      <c r="A139" s="67" t="s">
        <v>69</v>
      </c>
      <c r="B139" s="83">
        <f t="shared" si="28"/>
        <v>42005</v>
      </c>
      <c r="C139" s="83">
        <v>42094</v>
      </c>
      <c r="D139" s="85">
        <f t="shared" si="26"/>
        <v>90</v>
      </c>
      <c r="E139" s="86">
        <v>3.25</v>
      </c>
      <c r="F139" s="176">
        <f t="shared" si="29"/>
        <v>0</v>
      </c>
      <c r="G139" s="176">
        <f t="shared" si="27"/>
        <v>0</v>
      </c>
      <c r="H139" s="176">
        <f t="shared" si="30"/>
        <v>0</v>
      </c>
      <c r="I139" s="176">
        <f t="shared" si="31"/>
        <v>0</v>
      </c>
    </row>
    <row r="140" spans="1:10" hidden="1" outlineLevel="1" x14ac:dyDescent="0.2">
      <c r="A140" s="67" t="s">
        <v>70</v>
      </c>
      <c r="B140" s="83">
        <f t="shared" si="28"/>
        <v>42095</v>
      </c>
      <c r="C140" s="83">
        <v>42185</v>
      </c>
      <c r="D140" s="85">
        <f t="shared" si="26"/>
        <v>91</v>
      </c>
      <c r="E140" s="86">
        <v>3.25</v>
      </c>
      <c r="F140" s="176">
        <f t="shared" si="29"/>
        <v>0</v>
      </c>
      <c r="G140" s="176">
        <f t="shared" si="27"/>
        <v>0</v>
      </c>
      <c r="H140" s="176">
        <f t="shared" si="30"/>
        <v>0</v>
      </c>
      <c r="I140" s="176">
        <f t="shared" si="31"/>
        <v>0</v>
      </c>
    </row>
    <row r="141" spans="1:10" hidden="1" outlineLevel="1" x14ac:dyDescent="0.2">
      <c r="A141" s="67" t="s">
        <v>71</v>
      </c>
      <c r="B141" s="83">
        <f>C140+1</f>
        <v>42186</v>
      </c>
      <c r="C141" s="83">
        <v>42277</v>
      </c>
      <c r="D141" s="85">
        <f>+C141-B141+1</f>
        <v>92</v>
      </c>
      <c r="E141" s="86">
        <v>3.25</v>
      </c>
      <c r="F141" s="176">
        <f t="shared" si="29"/>
        <v>0</v>
      </c>
      <c r="G141" s="176">
        <f>+D141/366*E141/100*F141</f>
        <v>0</v>
      </c>
      <c r="H141" s="176">
        <f t="shared" si="30"/>
        <v>0</v>
      </c>
      <c r="I141" s="176">
        <f t="shared" si="31"/>
        <v>0</v>
      </c>
    </row>
    <row r="142" spans="1:10" hidden="1" outlineLevel="1" x14ac:dyDescent="0.2">
      <c r="A142" s="67" t="s">
        <v>72</v>
      </c>
      <c r="B142" s="83">
        <f t="shared" ref="B142:B148" si="32">C141+1</f>
        <v>42278</v>
      </c>
      <c r="C142" s="83">
        <v>42369</v>
      </c>
      <c r="D142" s="85">
        <f t="shared" ref="D142:D148" si="33">+C142-B142+1</f>
        <v>92</v>
      </c>
      <c r="E142" s="86">
        <v>3.25</v>
      </c>
      <c r="F142" s="176">
        <f t="shared" si="29"/>
        <v>0</v>
      </c>
      <c r="G142" s="176">
        <f>+D142/366*E142/100*F142</f>
        <v>0</v>
      </c>
      <c r="H142" s="176">
        <f t="shared" si="30"/>
        <v>0</v>
      </c>
      <c r="I142" s="176">
        <f t="shared" si="31"/>
        <v>0</v>
      </c>
    </row>
    <row r="143" spans="1:10" hidden="1" outlineLevel="1" x14ac:dyDescent="0.2">
      <c r="A143" s="98" t="s">
        <v>77</v>
      </c>
      <c r="B143" s="99">
        <f t="shared" si="32"/>
        <v>42370</v>
      </c>
      <c r="C143" s="99">
        <v>42460</v>
      </c>
      <c r="D143" s="100">
        <f t="shared" si="33"/>
        <v>91</v>
      </c>
      <c r="E143" s="101">
        <v>3.25</v>
      </c>
      <c r="F143" s="178">
        <f t="shared" si="29"/>
        <v>0</v>
      </c>
      <c r="G143" s="178">
        <f t="shared" ref="G143:G148" si="34">+D143/366*E143/100*F143</f>
        <v>0</v>
      </c>
      <c r="H143" s="178">
        <f t="shared" si="30"/>
        <v>0</v>
      </c>
      <c r="I143" s="178">
        <f t="shared" si="31"/>
        <v>0</v>
      </c>
    </row>
    <row r="144" spans="1:10" hidden="1" outlineLevel="1" x14ac:dyDescent="0.2">
      <c r="A144" s="98" t="s">
        <v>78</v>
      </c>
      <c r="B144" s="99">
        <f t="shared" si="32"/>
        <v>42461</v>
      </c>
      <c r="C144" s="99">
        <v>42551</v>
      </c>
      <c r="D144" s="100">
        <f t="shared" si="33"/>
        <v>91</v>
      </c>
      <c r="E144" s="101">
        <v>3.25</v>
      </c>
      <c r="F144" s="178">
        <f t="shared" si="29"/>
        <v>0</v>
      </c>
      <c r="G144" s="178">
        <f t="shared" si="34"/>
        <v>0</v>
      </c>
      <c r="H144" s="178">
        <f t="shared" si="30"/>
        <v>0</v>
      </c>
      <c r="I144" s="178">
        <f t="shared" si="31"/>
        <v>0</v>
      </c>
    </row>
    <row r="145" spans="1:10" hidden="1" outlineLevel="1" x14ac:dyDescent="0.2">
      <c r="A145" s="98" t="s">
        <v>79</v>
      </c>
      <c r="B145" s="99">
        <f t="shared" si="32"/>
        <v>42552</v>
      </c>
      <c r="C145" s="99">
        <v>42643</v>
      </c>
      <c r="D145" s="100">
        <f t="shared" si="33"/>
        <v>92</v>
      </c>
      <c r="E145" s="101">
        <v>3.25</v>
      </c>
      <c r="F145" s="178">
        <f t="shared" si="29"/>
        <v>0</v>
      </c>
      <c r="G145" s="178">
        <f t="shared" si="34"/>
        <v>0</v>
      </c>
      <c r="H145" s="178">
        <f t="shared" si="30"/>
        <v>0</v>
      </c>
      <c r="I145" s="178">
        <f t="shared" si="31"/>
        <v>0</v>
      </c>
    </row>
    <row r="146" spans="1:10" hidden="1" outlineLevel="1" x14ac:dyDescent="0.2">
      <c r="A146" s="98" t="s">
        <v>80</v>
      </c>
      <c r="B146" s="99">
        <f t="shared" si="32"/>
        <v>42644</v>
      </c>
      <c r="C146" s="99">
        <v>42735</v>
      </c>
      <c r="D146" s="100">
        <f t="shared" si="33"/>
        <v>92</v>
      </c>
      <c r="E146" s="101">
        <v>3.25</v>
      </c>
      <c r="F146" s="178">
        <f t="shared" si="29"/>
        <v>0</v>
      </c>
      <c r="G146" s="178">
        <f t="shared" si="34"/>
        <v>0</v>
      </c>
      <c r="H146" s="178">
        <f t="shared" si="30"/>
        <v>0</v>
      </c>
      <c r="I146" s="178">
        <f t="shared" si="31"/>
        <v>0</v>
      </c>
    </row>
    <row r="147" spans="1:10" hidden="1" outlineLevel="1" x14ac:dyDescent="0.2">
      <c r="A147" s="67" t="s">
        <v>81</v>
      </c>
      <c r="B147" s="83">
        <f t="shared" si="32"/>
        <v>42736</v>
      </c>
      <c r="C147" s="83">
        <v>42825</v>
      </c>
      <c r="D147" s="85">
        <f t="shared" si="33"/>
        <v>90</v>
      </c>
      <c r="E147" s="86">
        <v>3.25</v>
      </c>
      <c r="F147" s="176">
        <f t="shared" si="29"/>
        <v>0</v>
      </c>
      <c r="G147" s="176">
        <f t="shared" si="34"/>
        <v>0</v>
      </c>
      <c r="H147" s="176">
        <f t="shared" si="30"/>
        <v>0</v>
      </c>
      <c r="I147" s="176">
        <f t="shared" si="31"/>
        <v>0</v>
      </c>
    </row>
    <row r="148" spans="1:10" hidden="1" outlineLevel="1" x14ac:dyDescent="0.2">
      <c r="A148" s="67" t="s">
        <v>82</v>
      </c>
      <c r="B148" s="83">
        <f t="shared" si="32"/>
        <v>42826</v>
      </c>
      <c r="C148" s="83">
        <v>42916</v>
      </c>
      <c r="D148" s="85">
        <f t="shared" si="33"/>
        <v>91</v>
      </c>
      <c r="E148" s="86">
        <v>3.25</v>
      </c>
      <c r="F148" s="176">
        <f t="shared" si="29"/>
        <v>0</v>
      </c>
      <c r="G148" s="176">
        <f t="shared" si="34"/>
        <v>0</v>
      </c>
      <c r="H148" s="176">
        <f t="shared" si="30"/>
        <v>0</v>
      </c>
      <c r="I148" s="176">
        <f t="shared" si="31"/>
        <v>0</v>
      </c>
    </row>
    <row r="149" spans="1:10" hidden="1" outlineLevel="1" x14ac:dyDescent="0.2">
      <c r="A149" s="67" t="s">
        <v>83</v>
      </c>
      <c r="B149" s="83">
        <f>C148+1</f>
        <v>42917</v>
      </c>
      <c r="C149" s="83">
        <v>43008</v>
      </c>
      <c r="D149" s="85">
        <f>+C149-B149+1</f>
        <v>92</v>
      </c>
      <c r="E149" s="86">
        <v>3.25</v>
      </c>
      <c r="F149" s="176">
        <f t="shared" si="29"/>
        <v>0</v>
      </c>
      <c r="G149" s="176">
        <f>+D149/366*E149/100*F149</f>
        <v>0</v>
      </c>
      <c r="H149" s="176">
        <f t="shared" si="30"/>
        <v>0</v>
      </c>
      <c r="I149" s="176">
        <f t="shared" si="31"/>
        <v>0</v>
      </c>
    </row>
    <row r="150" spans="1:10" hidden="1" outlineLevel="1" x14ac:dyDescent="0.2">
      <c r="A150" s="67" t="s">
        <v>84</v>
      </c>
      <c r="B150" s="83">
        <f>C149+1</f>
        <v>43009</v>
      </c>
      <c r="C150" s="83">
        <v>43100</v>
      </c>
      <c r="D150" s="85">
        <f>+C150-B150+1</f>
        <v>92</v>
      </c>
      <c r="E150" s="86">
        <v>3.25</v>
      </c>
      <c r="F150" s="176">
        <f t="shared" si="29"/>
        <v>0</v>
      </c>
      <c r="G150" s="176">
        <f>+D150/366*E150/100*F150</f>
        <v>0</v>
      </c>
      <c r="H150" s="176">
        <v>0</v>
      </c>
      <c r="I150" s="176">
        <v>0</v>
      </c>
    </row>
    <row r="151" spans="1:10" collapsed="1" x14ac:dyDescent="0.2">
      <c r="A151" s="8"/>
      <c r="B151" s="92"/>
      <c r="C151" s="92"/>
      <c r="D151" s="93"/>
      <c r="E151" s="94"/>
      <c r="F151" s="96"/>
      <c r="G151" s="96"/>
      <c r="H151" s="96"/>
      <c r="I151" s="95"/>
    </row>
    <row r="152" spans="1:10" x14ac:dyDescent="0.2">
      <c r="A152" s="503" t="s">
        <v>121</v>
      </c>
      <c r="B152" s="504"/>
      <c r="C152" s="504"/>
      <c r="D152" s="504"/>
      <c r="E152" s="504"/>
      <c r="F152" s="504"/>
      <c r="G152" s="504"/>
      <c r="H152" s="504"/>
      <c r="I152" s="504"/>
      <c r="J152" s="505"/>
    </row>
    <row r="153" spans="1:10" hidden="1" outlineLevel="1" x14ac:dyDescent="0.2">
      <c r="A153" s="199" t="s">
        <v>7</v>
      </c>
      <c r="B153" s="199" t="s">
        <v>8</v>
      </c>
      <c r="C153" s="199" t="s">
        <v>9</v>
      </c>
      <c r="D153" s="199" t="s">
        <v>10</v>
      </c>
      <c r="E153" s="199" t="s">
        <v>11</v>
      </c>
      <c r="F153" s="199" t="s">
        <v>12</v>
      </c>
      <c r="G153" s="199" t="s">
        <v>13</v>
      </c>
      <c r="H153" s="199"/>
      <c r="I153" s="199"/>
      <c r="J153" s="199" t="s">
        <v>14</v>
      </c>
    </row>
    <row r="154" spans="1:10" ht="38.25" hidden="1" outlineLevel="1" x14ac:dyDescent="0.2">
      <c r="A154" s="6" t="s">
        <v>15</v>
      </c>
      <c r="B154" s="6" t="s">
        <v>16</v>
      </c>
      <c r="C154" s="6" t="s">
        <v>17</v>
      </c>
      <c r="D154" s="6" t="s">
        <v>18</v>
      </c>
      <c r="E154" s="6" t="s">
        <v>19</v>
      </c>
      <c r="F154" s="6" t="s">
        <v>20</v>
      </c>
      <c r="G154" s="6" t="s">
        <v>49</v>
      </c>
      <c r="H154" s="6" t="s">
        <v>22</v>
      </c>
      <c r="I154" s="6" t="s">
        <v>50</v>
      </c>
      <c r="J154" s="6" t="s">
        <v>21</v>
      </c>
    </row>
    <row r="155" spans="1:10" hidden="1" outlineLevel="1" x14ac:dyDescent="0.2">
      <c r="A155" s="172" t="s">
        <v>38</v>
      </c>
      <c r="B155" s="173">
        <f>B21</f>
        <v>0</v>
      </c>
      <c r="C155" s="173">
        <v>40999</v>
      </c>
      <c r="D155" s="183">
        <f>+C155-B155+1</f>
        <v>41000</v>
      </c>
      <c r="E155" s="175">
        <v>3.25</v>
      </c>
      <c r="F155" s="190">
        <f>E21</f>
        <v>0</v>
      </c>
      <c r="G155" s="188">
        <f>+D155/365*E155/100*F155</f>
        <v>0</v>
      </c>
      <c r="H155" s="190"/>
      <c r="I155" s="190"/>
      <c r="J155" s="189">
        <f>+F155+G155</f>
        <v>0</v>
      </c>
    </row>
    <row r="156" spans="1:10" hidden="1" outlineLevel="1" x14ac:dyDescent="0.2">
      <c r="A156" s="172" t="s">
        <v>46</v>
      </c>
      <c r="B156" s="173">
        <f>C155+1</f>
        <v>41000</v>
      </c>
      <c r="C156" s="173">
        <v>41090</v>
      </c>
      <c r="D156" s="183">
        <f>+C156-B156+1</f>
        <v>91</v>
      </c>
      <c r="E156" s="175">
        <v>3.25</v>
      </c>
      <c r="F156" s="190">
        <f>+J155</f>
        <v>0</v>
      </c>
      <c r="G156" s="188">
        <f>+D156/365*E156/100*F156</f>
        <v>0</v>
      </c>
      <c r="H156" s="190"/>
      <c r="I156" s="190"/>
      <c r="J156" s="189">
        <f>+F156+G156</f>
        <v>0</v>
      </c>
    </row>
    <row r="157" spans="1:10" hidden="1" outlineLevel="1" x14ac:dyDescent="0.2">
      <c r="A157" s="172" t="s">
        <v>47</v>
      </c>
      <c r="B157" s="173">
        <f>C156+1</f>
        <v>41091</v>
      </c>
      <c r="C157" s="173">
        <v>41182</v>
      </c>
      <c r="D157" s="183">
        <f>+C157-B157+1</f>
        <v>92</v>
      </c>
      <c r="E157" s="175">
        <v>3.25</v>
      </c>
      <c r="F157" s="190">
        <f>+J156</f>
        <v>0</v>
      </c>
      <c r="G157" s="190">
        <f>+D157/366*E157/100*F157</f>
        <v>0</v>
      </c>
      <c r="H157" s="190"/>
      <c r="I157" s="190"/>
      <c r="J157" s="189">
        <f>+F157+G157</f>
        <v>0</v>
      </c>
    </row>
    <row r="158" spans="1:10" hidden="1" outlineLevel="1" x14ac:dyDescent="0.2">
      <c r="A158" s="172" t="s">
        <v>33</v>
      </c>
      <c r="B158" s="173">
        <f>C157+1</f>
        <v>41183</v>
      </c>
      <c r="C158" s="173">
        <v>41274</v>
      </c>
      <c r="D158" s="183">
        <f>+C158-B158+1</f>
        <v>92</v>
      </c>
      <c r="E158" s="175">
        <v>3.25</v>
      </c>
      <c r="F158" s="190">
        <f>+J157</f>
        <v>0</v>
      </c>
      <c r="G158" s="190">
        <f>+D158/366*E158/100*F158</f>
        <v>0</v>
      </c>
      <c r="H158" s="190">
        <f>F155/20</f>
        <v>0</v>
      </c>
      <c r="I158" s="190">
        <f>G159/20</f>
        <v>0</v>
      </c>
      <c r="J158" s="189">
        <f>+F158+G158</f>
        <v>0</v>
      </c>
    </row>
    <row r="159" spans="1:10" hidden="1" outlineLevel="1" x14ac:dyDescent="0.2">
      <c r="A159" s="198"/>
      <c r="B159" s="198"/>
      <c r="C159" s="198"/>
      <c r="D159" s="198"/>
      <c r="E159" s="500" t="s">
        <v>51</v>
      </c>
      <c r="F159" s="500"/>
      <c r="G159" s="191">
        <f>SUM(G155:G158)</f>
        <v>0</v>
      </c>
      <c r="H159" s="198"/>
      <c r="I159" s="198"/>
      <c r="J159" s="198"/>
    </row>
    <row r="160" spans="1:10" hidden="1" outlineLevel="1" x14ac:dyDescent="0.2">
      <c r="A160" s="67" t="s">
        <v>60</v>
      </c>
      <c r="B160" s="83">
        <f>C158+1</f>
        <v>41275</v>
      </c>
      <c r="C160" s="83">
        <v>41364</v>
      </c>
      <c r="D160" s="85">
        <f t="shared" ref="D160:D169" si="35">+C160-B160+1</f>
        <v>90</v>
      </c>
      <c r="E160" s="86">
        <v>3.25</v>
      </c>
      <c r="F160" s="176">
        <f>F155-H158</f>
        <v>0</v>
      </c>
      <c r="G160" s="176">
        <f t="shared" ref="G160:G169" si="36">+D160/366*E160/100*F160</f>
        <v>0</v>
      </c>
      <c r="H160" s="176">
        <f>H158</f>
        <v>0</v>
      </c>
      <c r="I160" s="176">
        <f>G159/20</f>
        <v>0</v>
      </c>
    </row>
    <row r="161" spans="1:9" hidden="1" outlineLevel="1" x14ac:dyDescent="0.2">
      <c r="A161" s="67" t="s">
        <v>61</v>
      </c>
      <c r="B161" s="83">
        <f t="shared" ref="B161:B169" si="37">C160+1</f>
        <v>41365</v>
      </c>
      <c r="C161" s="83">
        <v>41455</v>
      </c>
      <c r="D161" s="85">
        <f t="shared" si="35"/>
        <v>91</v>
      </c>
      <c r="E161" s="86">
        <v>3.25</v>
      </c>
      <c r="F161" s="176">
        <f t="shared" ref="F161:F179" si="38">F160-H160</f>
        <v>0</v>
      </c>
      <c r="G161" s="176">
        <f t="shared" si="36"/>
        <v>0</v>
      </c>
      <c r="H161" s="176">
        <f>H160</f>
        <v>0</v>
      </c>
      <c r="I161" s="176">
        <f>I160</f>
        <v>0</v>
      </c>
    </row>
    <row r="162" spans="1:9" hidden="1" outlineLevel="1" x14ac:dyDescent="0.2">
      <c r="A162" s="67" t="s">
        <v>62</v>
      </c>
      <c r="B162" s="83">
        <f t="shared" si="37"/>
        <v>41456</v>
      </c>
      <c r="C162" s="83">
        <v>41547</v>
      </c>
      <c r="D162" s="85">
        <f t="shared" si="35"/>
        <v>92</v>
      </c>
      <c r="E162" s="86">
        <v>3.25</v>
      </c>
      <c r="F162" s="176">
        <f t="shared" si="38"/>
        <v>0</v>
      </c>
      <c r="G162" s="176">
        <f t="shared" si="36"/>
        <v>0</v>
      </c>
      <c r="H162" s="176">
        <f t="shared" ref="H162:H178" si="39">H161</f>
        <v>0</v>
      </c>
      <c r="I162" s="176">
        <f t="shared" ref="I162:I178" si="40">I161</f>
        <v>0</v>
      </c>
    </row>
    <row r="163" spans="1:9" hidden="1" outlineLevel="1" x14ac:dyDescent="0.2">
      <c r="A163" s="67" t="s">
        <v>63</v>
      </c>
      <c r="B163" s="83">
        <f t="shared" si="37"/>
        <v>41548</v>
      </c>
      <c r="C163" s="83">
        <v>41639</v>
      </c>
      <c r="D163" s="85">
        <f t="shared" si="35"/>
        <v>92</v>
      </c>
      <c r="E163" s="86">
        <v>3.25</v>
      </c>
      <c r="F163" s="176">
        <f t="shared" si="38"/>
        <v>0</v>
      </c>
      <c r="G163" s="176">
        <f t="shared" si="36"/>
        <v>0</v>
      </c>
      <c r="H163" s="176">
        <f t="shared" si="39"/>
        <v>0</v>
      </c>
      <c r="I163" s="176">
        <f t="shared" si="40"/>
        <v>0</v>
      </c>
    </row>
    <row r="164" spans="1:9" hidden="1" outlineLevel="1" x14ac:dyDescent="0.2">
      <c r="A164" s="98" t="s">
        <v>65</v>
      </c>
      <c r="B164" s="99">
        <f t="shared" si="37"/>
        <v>41640</v>
      </c>
      <c r="C164" s="99">
        <v>41729</v>
      </c>
      <c r="D164" s="100">
        <f t="shared" si="35"/>
        <v>90</v>
      </c>
      <c r="E164" s="101">
        <v>3.25</v>
      </c>
      <c r="F164" s="178">
        <f t="shared" si="38"/>
        <v>0</v>
      </c>
      <c r="G164" s="178">
        <f t="shared" si="36"/>
        <v>0</v>
      </c>
      <c r="H164" s="178">
        <f t="shared" si="39"/>
        <v>0</v>
      </c>
      <c r="I164" s="178">
        <f t="shared" si="40"/>
        <v>0</v>
      </c>
    </row>
    <row r="165" spans="1:9" hidden="1" outlineLevel="1" x14ac:dyDescent="0.2">
      <c r="A165" s="98" t="s">
        <v>66</v>
      </c>
      <c r="B165" s="99">
        <f t="shared" si="37"/>
        <v>41730</v>
      </c>
      <c r="C165" s="99">
        <v>41820</v>
      </c>
      <c r="D165" s="100">
        <f t="shared" si="35"/>
        <v>91</v>
      </c>
      <c r="E165" s="101">
        <v>3.25</v>
      </c>
      <c r="F165" s="178">
        <f t="shared" si="38"/>
        <v>0</v>
      </c>
      <c r="G165" s="178">
        <f t="shared" si="36"/>
        <v>0</v>
      </c>
      <c r="H165" s="178">
        <f t="shared" si="39"/>
        <v>0</v>
      </c>
      <c r="I165" s="178">
        <f t="shared" si="40"/>
        <v>0</v>
      </c>
    </row>
    <row r="166" spans="1:9" hidden="1" outlineLevel="1" x14ac:dyDescent="0.2">
      <c r="A166" s="98" t="s">
        <v>67</v>
      </c>
      <c r="B166" s="99">
        <f t="shared" si="37"/>
        <v>41821</v>
      </c>
      <c r="C166" s="99">
        <v>41912</v>
      </c>
      <c r="D166" s="100">
        <f t="shared" si="35"/>
        <v>92</v>
      </c>
      <c r="E166" s="101">
        <v>3.25</v>
      </c>
      <c r="F166" s="178">
        <f t="shared" si="38"/>
        <v>0</v>
      </c>
      <c r="G166" s="178">
        <f t="shared" si="36"/>
        <v>0</v>
      </c>
      <c r="H166" s="178">
        <f t="shared" si="39"/>
        <v>0</v>
      </c>
      <c r="I166" s="178">
        <f t="shared" si="40"/>
        <v>0</v>
      </c>
    </row>
    <row r="167" spans="1:9" hidden="1" outlineLevel="1" x14ac:dyDescent="0.2">
      <c r="A167" s="98" t="s">
        <v>68</v>
      </c>
      <c r="B167" s="99">
        <f t="shared" si="37"/>
        <v>41913</v>
      </c>
      <c r="C167" s="99">
        <v>42004</v>
      </c>
      <c r="D167" s="100">
        <f t="shared" si="35"/>
        <v>92</v>
      </c>
      <c r="E167" s="101">
        <v>3.25</v>
      </c>
      <c r="F167" s="178">
        <f t="shared" si="38"/>
        <v>0</v>
      </c>
      <c r="G167" s="178">
        <f t="shared" si="36"/>
        <v>0</v>
      </c>
      <c r="H167" s="178">
        <f t="shared" si="39"/>
        <v>0</v>
      </c>
      <c r="I167" s="178">
        <f t="shared" si="40"/>
        <v>0</v>
      </c>
    </row>
    <row r="168" spans="1:9" hidden="1" outlineLevel="1" x14ac:dyDescent="0.2">
      <c r="A168" s="67" t="s">
        <v>69</v>
      </c>
      <c r="B168" s="83">
        <f t="shared" si="37"/>
        <v>42005</v>
      </c>
      <c r="C168" s="83">
        <v>42094</v>
      </c>
      <c r="D168" s="85">
        <f t="shared" si="35"/>
        <v>90</v>
      </c>
      <c r="E168" s="86">
        <v>3.25</v>
      </c>
      <c r="F168" s="176">
        <f t="shared" si="38"/>
        <v>0</v>
      </c>
      <c r="G168" s="176">
        <f t="shared" si="36"/>
        <v>0</v>
      </c>
      <c r="H168" s="176">
        <f t="shared" si="39"/>
        <v>0</v>
      </c>
      <c r="I168" s="176">
        <f t="shared" si="40"/>
        <v>0</v>
      </c>
    </row>
    <row r="169" spans="1:9" hidden="1" outlineLevel="1" x14ac:dyDescent="0.2">
      <c r="A169" s="67" t="s">
        <v>70</v>
      </c>
      <c r="B169" s="83">
        <f t="shared" si="37"/>
        <v>42095</v>
      </c>
      <c r="C169" s="83">
        <v>42185</v>
      </c>
      <c r="D169" s="85">
        <f t="shared" si="35"/>
        <v>91</v>
      </c>
      <c r="E169" s="86">
        <v>3.25</v>
      </c>
      <c r="F169" s="176">
        <f t="shared" si="38"/>
        <v>0</v>
      </c>
      <c r="G169" s="176">
        <f t="shared" si="36"/>
        <v>0</v>
      </c>
      <c r="H169" s="176">
        <f t="shared" si="39"/>
        <v>0</v>
      </c>
      <c r="I169" s="176">
        <f t="shared" si="40"/>
        <v>0</v>
      </c>
    </row>
    <row r="170" spans="1:9" hidden="1" outlineLevel="1" x14ac:dyDescent="0.2">
      <c r="A170" s="67" t="s">
        <v>71</v>
      </c>
      <c r="B170" s="83">
        <f>C169+1</f>
        <v>42186</v>
      </c>
      <c r="C170" s="83">
        <v>42277</v>
      </c>
      <c r="D170" s="85">
        <f>+C170-B170+1</f>
        <v>92</v>
      </c>
      <c r="E170" s="86">
        <v>3.25</v>
      </c>
      <c r="F170" s="176">
        <f t="shared" si="38"/>
        <v>0</v>
      </c>
      <c r="G170" s="176">
        <f>+D170/366*E170/100*F170</f>
        <v>0</v>
      </c>
      <c r="H170" s="176">
        <f t="shared" si="39"/>
        <v>0</v>
      </c>
      <c r="I170" s="176">
        <f t="shared" si="40"/>
        <v>0</v>
      </c>
    </row>
    <row r="171" spans="1:9" hidden="1" outlineLevel="1" x14ac:dyDescent="0.2">
      <c r="A171" s="67" t="s">
        <v>72</v>
      </c>
      <c r="B171" s="83">
        <f t="shared" ref="B171:B177" si="41">C170+1</f>
        <v>42278</v>
      </c>
      <c r="C171" s="83">
        <v>42369</v>
      </c>
      <c r="D171" s="85">
        <f t="shared" ref="D171:D177" si="42">+C171-B171+1</f>
        <v>92</v>
      </c>
      <c r="E171" s="86">
        <v>3.25</v>
      </c>
      <c r="F171" s="176">
        <f t="shared" si="38"/>
        <v>0</v>
      </c>
      <c r="G171" s="176">
        <f>+D171/366*E171/100*F171</f>
        <v>0</v>
      </c>
      <c r="H171" s="176">
        <f t="shared" si="39"/>
        <v>0</v>
      </c>
      <c r="I171" s="176">
        <f t="shared" si="40"/>
        <v>0</v>
      </c>
    </row>
    <row r="172" spans="1:9" hidden="1" outlineLevel="1" x14ac:dyDescent="0.2">
      <c r="A172" s="98" t="s">
        <v>77</v>
      </c>
      <c r="B172" s="99">
        <f t="shared" si="41"/>
        <v>42370</v>
      </c>
      <c r="C172" s="99">
        <v>42460</v>
      </c>
      <c r="D172" s="100">
        <f t="shared" si="42"/>
        <v>91</v>
      </c>
      <c r="E172" s="101">
        <v>3.25</v>
      </c>
      <c r="F172" s="178">
        <f t="shared" si="38"/>
        <v>0</v>
      </c>
      <c r="G172" s="178">
        <f t="shared" ref="G172:G177" si="43">+D172/366*E172/100*F172</f>
        <v>0</v>
      </c>
      <c r="H172" s="178">
        <f t="shared" si="39"/>
        <v>0</v>
      </c>
      <c r="I172" s="178">
        <f t="shared" si="40"/>
        <v>0</v>
      </c>
    </row>
    <row r="173" spans="1:9" hidden="1" outlineLevel="1" x14ac:dyDescent="0.2">
      <c r="A173" s="98" t="s">
        <v>78</v>
      </c>
      <c r="B173" s="99">
        <f t="shared" si="41"/>
        <v>42461</v>
      </c>
      <c r="C173" s="99">
        <v>42551</v>
      </c>
      <c r="D173" s="100">
        <f t="shared" si="42"/>
        <v>91</v>
      </c>
      <c r="E173" s="101">
        <v>3.25</v>
      </c>
      <c r="F173" s="178">
        <f t="shared" si="38"/>
        <v>0</v>
      </c>
      <c r="G173" s="178">
        <f t="shared" si="43"/>
        <v>0</v>
      </c>
      <c r="H173" s="178">
        <f t="shared" si="39"/>
        <v>0</v>
      </c>
      <c r="I173" s="178">
        <f t="shared" si="40"/>
        <v>0</v>
      </c>
    </row>
    <row r="174" spans="1:9" hidden="1" outlineLevel="1" x14ac:dyDescent="0.2">
      <c r="A174" s="98" t="s">
        <v>79</v>
      </c>
      <c r="B174" s="99">
        <f t="shared" si="41"/>
        <v>42552</v>
      </c>
      <c r="C174" s="99">
        <v>42643</v>
      </c>
      <c r="D174" s="100">
        <f t="shared" si="42"/>
        <v>92</v>
      </c>
      <c r="E174" s="101">
        <v>3.25</v>
      </c>
      <c r="F174" s="178">
        <f t="shared" si="38"/>
        <v>0</v>
      </c>
      <c r="G174" s="178">
        <f t="shared" si="43"/>
        <v>0</v>
      </c>
      <c r="H174" s="178">
        <f t="shared" si="39"/>
        <v>0</v>
      </c>
      <c r="I174" s="178">
        <f t="shared" si="40"/>
        <v>0</v>
      </c>
    </row>
    <row r="175" spans="1:9" hidden="1" outlineLevel="1" x14ac:dyDescent="0.2">
      <c r="A175" s="98" t="s">
        <v>80</v>
      </c>
      <c r="B175" s="99">
        <f t="shared" si="41"/>
        <v>42644</v>
      </c>
      <c r="C175" s="99">
        <v>42735</v>
      </c>
      <c r="D175" s="100">
        <f t="shared" si="42"/>
        <v>92</v>
      </c>
      <c r="E175" s="101">
        <v>3.25</v>
      </c>
      <c r="F175" s="178">
        <f t="shared" si="38"/>
        <v>0</v>
      </c>
      <c r="G175" s="178">
        <f t="shared" si="43"/>
        <v>0</v>
      </c>
      <c r="H175" s="178">
        <f t="shared" si="39"/>
        <v>0</v>
      </c>
      <c r="I175" s="178">
        <f t="shared" si="40"/>
        <v>0</v>
      </c>
    </row>
    <row r="176" spans="1:9" hidden="1" outlineLevel="1" x14ac:dyDescent="0.2">
      <c r="A176" s="67" t="s">
        <v>81</v>
      </c>
      <c r="B176" s="83">
        <f t="shared" si="41"/>
        <v>42736</v>
      </c>
      <c r="C176" s="83">
        <v>42825</v>
      </c>
      <c r="D176" s="85">
        <f t="shared" si="42"/>
        <v>90</v>
      </c>
      <c r="E176" s="86">
        <v>3.25</v>
      </c>
      <c r="F176" s="176">
        <f t="shared" si="38"/>
        <v>0</v>
      </c>
      <c r="G176" s="176">
        <f t="shared" si="43"/>
        <v>0</v>
      </c>
      <c r="H176" s="176">
        <f t="shared" si="39"/>
        <v>0</v>
      </c>
      <c r="I176" s="176">
        <f t="shared" si="40"/>
        <v>0</v>
      </c>
    </row>
    <row r="177" spans="1:10" hidden="1" outlineLevel="1" x14ac:dyDescent="0.2">
      <c r="A177" s="67" t="s">
        <v>82</v>
      </c>
      <c r="B177" s="83">
        <f t="shared" si="41"/>
        <v>42826</v>
      </c>
      <c r="C177" s="83">
        <v>42916</v>
      </c>
      <c r="D177" s="85">
        <f t="shared" si="42"/>
        <v>91</v>
      </c>
      <c r="E177" s="86">
        <v>3.25</v>
      </c>
      <c r="F177" s="176">
        <f t="shared" si="38"/>
        <v>0</v>
      </c>
      <c r="G177" s="176">
        <f t="shared" si="43"/>
        <v>0</v>
      </c>
      <c r="H177" s="176">
        <f t="shared" si="39"/>
        <v>0</v>
      </c>
      <c r="I177" s="176">
        <f t="shared" si="40"/>
        <v>0</v>
      </c>
    </row>
    <row r="178" spans="1:10" hidden="1" outlineLevel="1" x14ac:dyDescent="0.2">
      <c r="A178" s="67" t="s">
        <v>83</v>
      </c>
      <c r="B178" s="83">
        <f>C177+1</f>
        <v>42917</v>
      </c>
      <c r="C178" s="83">
        <v>43008</v>
      </c>
      <c r="D178" s="85">
        <f>+C178-B178+1</f>
        <v>92</v>
      </c>
      <c r="E178" s="86">
        <v>3.25</v>
      </c>
      <c r="F178" s="176">
        <f t="shared" si="38"/>
        <v>0</v>
      </c>
      <c r="G178" s="176">
        <f>+D178/366*E178/100*F178</f>
        <v>0</v>
      </c>
      <c r="H178" s="176">
        <f t="shared" si="39"/>
        <v>0</v>
      </c>
      <c r="I178" s="176">
        <f t="shared" si="40"/>
        <v>0</v>
      </c>
    </row>
    <row r="179" spans="1:10" hidden="1" outlineLevel="1" x14ac:dyDescent="0.2">
      <c r="A179" s="67" t="s">
        <v>84</v>
      </c>
      <c r="B179" s="83">
        <f>C178+1</f>
        <v>43009</v>
      </c>
      <c r="C179" s="83">
        <v>43100</v>
      </c>
      <c r="D179" s="85">
        <f>+C179-B179+1</f>
        <v>92</v>
      </c>
      <c r="E179" s="86">
        <v>3.25</v>
      </c>
      <c r="F179" s="176">
        <f t="shared" si="38"/>
        <v>0</v>
      </c>
      <c r="G179" s="176">
        <f>+D179/366*E179/100*F179</f>
        <v>0</v>
      </c>
      <c r="H179" s="176">
        <v>0</v>
      </c>
      <c r="I179" s="176">
        <v>0</v>
      </c>
    </row>
    <row r="180" spans="1:10" collapsed="1" x14ac:dyDescent="0.2">
      <c r="A180" s="8"/>
      <c r="B180" s="92"/>
      <c r="C180" s="92"/>
      <c r="D180" s="93"/>
      <c r="E180" s="94"/>
      <c r="F180" s="96"/>
      <c r="G180" s="96"/>
      <c r="H180" s="96"/>
      <c r="I180" s="95"/>
    </row>
    <row r="181" spans="1:10" x14ac:dyDescent="0.2">
      <c r="A181" s="503" t="s">
        <v>122</v>
      </c>
      <c r="B181" s="504"/>
      <c r="C181" s="504"/>
      <c r="D181" s="504"/>
      <c r="E181" s="504"/>
      <c r="F181" s="504"/>
      <c r="G181" s="504"/>
      <c r="H181" s="504"/>
      <c r="I181" s="504"/>
      <c r="J181" s="505"/>
    </row>
    <row r="182" spans="1:10" hidden="1" outlineLevel="1" x14ac:dyDescent="0.2">
      <c r="A182" s="199" t="s">
        <v>7</v>
      </c>
      <c r="B182" s="199" t="s">
        <v>8</v>
      </c>
      <c r="C182" s="199" t="s">
        <v>9</v>
      </c>
      <c r="D182" s="199" t="s">
        <v>10</v>
      </c>
      <c r="E182" s="199" t="s">
        <v>11</v>
      </c>
      <c r="F182" s="199" t="s">
        <v>12</v>
      </c>
      <c r="G182" s="199" t="s">
        <v>13</v>
      </c>
      <c r="H182" s="199"/>
      <c r="I182" s="199"/>
      <c r="J182" s="199" t="s">
        <v>14</v>
      </c>
    </row>
    <row r="183" spans="1:10" ht="38.25" hidden="1" outlineLevel="1" x14ac:dyDescent="0.2">
      <c r="A183" s="6" t="s">
        <v>15</v>
      </c>
      <c r="B183" s="6" t="s">
        <v>16</v>
      </c>
      <c r="C183" s="6" t="s">
        <v>17</v>
      </c>
      <c r="D183" s="6" t="s">
        <v>18</v>
      </c>
      <c r="E183" s="6" t="s">
        <v>19</v>
      </c>
      <c r="F183" s="6" t="s">
        <v>20</v>
      </c>
      <c r="G183" s="6" t="s">
        <v>49</v>
      </c>
      <c r="H183" s="6" t="s">
        <v>22</v>
      </c>
      <c r="I183" s="6" t="s">
        <v>50</v>
      </c>
      <c r="J183" s="6" t="s">
        <v>21</v>
      </c>
    </row>
    <row r="184" spans="1:10" hidden="1" outlineLevel="1" x14ac:dyDescent="0.2">
      <c r="A184" s="172" t="s">
        <v>38</v>
      </c>
      <c r="B184" s="173">
        <f>B22</f>
        <v>0</v>
      </c>
      <c r="C184" s="173">
        <v>40999</v>
      </c>
      <c r="D184" s="183">
        <f>+C184-B184+1</f>
        <v>41000</v>
      </c>
      <c r="E184" s="175">
        <v>3.25</v>
      </c>
      <c r="F184" s="190">
        <f>E22</f>
        <v>0</v>
      </c>
      <c r="G184" s="188">
        <f>+D184/365*E184/100*F184</f>
        <v>0</v>
      </c>
      <c r="H184" s="190"/>
      <c r="I184" s="190"/>
      <c r="J184" s="189">
        <f>+F184+G184</f>
        <v>0</v>
      </c>
    </row>
    <row r="185" spans="1:10" hidden="1" outlineLevel="1" x14ac:dyDescent="0.2">
      <c r="A185" s="172" t="s">
        <v>46</v>
      </c>
      <c r="B185" s="173">
        <f>C184+1</f>
        <v>41000</v>
      </c>
      <c r="C185" s="173">
        <v>41090</v>
      </c>
      <c r="D185" s="183">
        <f>+C185-B185+1</f>
        <v>91</v>
      </c>
      <c r="E185" s="175">
        <v>3.25</v>
      </c>
      <c r="F185" s="190">
        <f>+J184</f>
        <v>0</v>
      </c>
      <c r="G185" s="188">
        <f>+D185/365*E185/100*F185</f>
        <v>0</v>
      </c>
      <c r="H185" s="190"/>
      <c r="I185" s="190"/>
      <c r="J185" s="189">
        <f>+F185+G185</f>
        <v>0</v>
      </c>
    </row>
    <row r="186" spans="1:10" hidden="1" outlineLevel="1" x14ac:dyDescent="0.2">
      <c r="A186" s="172" t="s">
        <v>47</v>
      </c>
      <c r="B186" s="173">
        <f>C185+1</f>
        <v>41091</v>
      </c>
      <c r="C186" s="173">
        <v>41182</v>
      </c>
      <c r="D186" s="183">
        <f>+C186-B186+1</f>
        <v>92</v>
      </c>
      <c r="E186" s="175">
        <v>3.25</v>
      </c>
      <c r="F186" s="190">
        <f>+J185</f>
        <v>0</v>
      </c>
      <c r="G186" s="190">
        <f>+D186/366*E186/100*F186</f>
        <v>0</v>
      </c>
      <c r="H186" s="190"/>
      <c r="I186" s="190"/>
      <c r="J186" s="189">
        <f>+F186+G186</f>
        <v>0</v>
      </c>
    </row>
    <row r="187" spans="1:10" hidden="1" outlineLevel="1" x14ac:dyDescent="0.2">
      <c r="A187" s="172" t="s">
        <v>33</v>
      </c>
      <c r="B187" s="173">
        <f>C186+1</f>
        <v>41183</v>
      </c>
      <c r="C187" s="173">
        <v>41274</v>
      </c>
      <c r="D187" s="183">
        <f>+C187-B187+1</f>
        <v>92</v>
      </c>
      <c r="E187" s="175">
        <v>3.25</v>
      </c>
      <c r="F187" s="190">
        <f>+J186</f>
        <v>0</v>
      </c>
      <c r="G187" s="190">
        <f>+D187/366*E187/100*F187</f>
        <v>0</v>
      </c>
      <c r="H187" s="190">
        <f>F184/20</f>
        <v>0</v>
      </c>
      <c r="I187" s="190">
        <f>G188/20</f>
        <v>0</v>
      </c>
      <c r="J187" s="189">
        <f>+F187+G187</f>
        <v>0</v>
      </c>
    </row>
    <row r="188" spans="1:10" hidden="1" outlineLevel="1" x14ac:dyDescent="0.2">
      <c r="A188" s="198"/>
      <c r="B188" s="198"/>
      <c r="C188" s="198"/>
      <c r="D188" s="198"/>
      <c r="E188" s="500" t="s">
        <v>51</v>
      </c>
      <c r="F188" s="500"/>
      <c r="G188" s="191">
        <f>SUM(G184:G187)</f>
        <v>0</v>
      </c>
      <c r="H188" s="198"/>
      <c r="I188" s="198"/>
      <c r="J188" s="198"/>
    </row>
    <row r="189" spans="1:10" hidden="1" outlineLevel="1" x14ac:dyDescent="0.2">
      <c r="A189" s="67" t="s">
        <v>60</v>
      </c>
      <c r="B189" s="83">
        <f>C187+1</f>
        <v>41275</v>
      </c>
      <c r="C189" s="83">
        <v>41364</v>
      </c>
      <c r="D189" s="85">
        <f t="shared" ref="D189:D198" si="44">+C189-B189+1</f>
        <v>90</v>
      </c>
      <c r="E189" s="86">
        <v>3.25</v>
      </c>
      <c r="F189" s="176">
        <f>F184-H187</f>
        <v>0</v>
      </c>
      <c r="G189" s="176">
        <f t="shared" ref="G189:G198" si="45">+D189/366*E189/100*F189</f>
        <v>0</v>
      </c>
      <c r="H189" s="176">
        <f>H187</f>
        <v>0</v>
      </c>
      <c r="I189" s="176">
        <f>G188/20</f>
        <v>0</v>
      </c>
    </row>
    <row r="190" spans="1:10" hidden="1" outlineLevel="1" x14ac:dyDescent="0.2">
      <c r="A190" s="67" t="s">
        <v>61</v>
      </c>
      <c r="B190" s="83">
        <f t="shared" ref="B190:B198" si="46">C189+1</f>
        <v>41365</v>
      </c>
      <c r="C190" s="83">
        <v>41455</v>
      </c>
      <c r="D190" s="85">
        <f t="shared" si="44"/>
        <v>91</v>
      </c>
      <c r="E190" s="86">
        <v>3.25</v>
      </c>
      <c r="F190" s="176">
        <f t="shared" ref="F190:F208" si="47">F189-H189</f>
        <v>0</v>
      </c>
      <c r="G190" s="176">
        <f t="shared" si="45"/>
        <v>0</v>
      </c>
      <c r="H190" s="176">
        <f>H189</f>
        <v>0</v>
      </c>
      <c r="I190" s="176">
        <f>I189</f>
        <v>0</v>
      </c>
    </row>
    <row r="191" spans="1:10" hidden="1" outlineLevel="1" x14ac:dyDescent="0.2">
      <c r="A191" s="67" t="s">
        <v>62</v>
      </c>
      <c r="B191" s="83">
        <f t="shared" si="46"/>
        <v>41456</v>
      </c>
      <c r="C191" s="83">
        <v>41547</v>
      </c>
      <c r="D191" s="85">
        <f t="shared" si="44"/>
        <v>92</v>
      </c>
      <c r="E191" s="86">
        <v>3.25</v>
      </c>
      <c r="F191" s="176">
        <f t="shared" si="47"/>
        <v>0</v>
      </c>
      <c r="G191" s="176">
        <f t="shared" si="45"/>
        <v>0</v>
      </c>
      <c r="H191" s="176">
        <f t="shared" ref="H191:H207" si="48">H190</f>
        <v>0</v>
      </c>
      <c r="I191" s="176">
        <f t="shared" ref="I191:I207" si="49">I190</f>
        <v>0</v>
      </c>
    </row>
    <row r="192" spans="1:10" hidden="1" outlineLevel="1" x14ac:dyDescent="0.2">
      <c r="A192" s="67" t="s">
        <v>63</v>
      </c>
      <c r="B192" s="83">
        <f t="shared" si="46"/>
        <v>41548</v>
      </c>
      <c r="C192" s="83">
        <v>41639</v>
      </c>
      <c r="D192" s="85">
        <f t="shared" si="44"/>
        <v>92</v>
      </c>
      <c r="E192" s="86">
        <v>3.25</v>
      </c>
      <c r="F192" s="176">
        <f t="shared" si="47"/>
        <v>0</v>
      </c>
      <c r="G192" s="176">
        <f t="shared" si="45"/>
        <v>0</v>
      </c>
      <c r="H192" s="176">
        <f t="shared" si="48"/>
        <v>0</v>
      </c>
      <c r="I192" s="176">
        <f t="shared" si="49"/>
        <v>0</v>
      </c>
    </row>
    <row r="193" spans="1:9" hidden="1" outlineLevel="1" x14ac:dyDescent="0.2">
      <c r="A193" s="98" t="s">
        <v>65</v>
      </c>
      <c r="B193" s="99">
        <f t="shared" si="46"/>
        <v>41640</v>
      </c>
      <c r="C193" s="99">
        <v>41729</v>
      </c>
      <c r="D193" s="100">
        <f t="shared" si="44"/>
        <v>90</v>
      </c>
      <c r="E193" s="101">
        <v>3.25</v>
      </c>
      <c r="F193" s="178">
        <f t="shared" si="47"/>
        <v>0</v>
      </c>
      <c r="G193" s="178">
        <f t="shared" si="45"/>
        <v>0</v>
      </c>
      <c r="H193" s="178">
        <f t="shared" si="48"/>
        <v>0</v>
      </c>
      <c r="I193" s="178">
        <f t="shared" si="49"/>
        <v>0</v>
      </c>
    </row>
    <row r="194" spans="1:9" hidden="1" outlineLevel="1" x14ac:dyDescent="0.2">
      <c r="A194" s="98" t="s">
        <v>66</v>
      </c>
      <c r="B194" s="99">
        <f t="shared" si="46"/>
        <v>41730</v>
      </c>
      <c r="C194" s="99">
        <v>41820</v>
      </c>
      <c r="D194" s="100">
        <f t="shared" si="44"/>
        <v>91</v>
      </c>
      <c r="E194" s="101">
        <v>3.25</v>
      </c>
      <c r="F194" s="178">
        <f t="shared" si="47"/>
        <v>0</v>
      </c>
      <c r="G194" s="178">
        <f t="shared" si="45"/>
        <v>0</v>
      </c>
      <c r="H194" s="178">
        <f t="shared" si="48"/>
        <v>0</v>
      </c>
      <c r="I194" s="178">
        <f t="shared" si="49"/>
        <v>0</v>
      </c>
    </row>
    <row r="195" spans="1:9" hidden="1" outlineLevel="1" x14ac:dyDescent="0.2">
      <c r="A195" s="98" t="s">
        <v>67</v>
      </c>
      <c r="B195" s="99">
        <f t="shared" si="46"/>
        <v>41821</v>
      </c>
      <c r="C195" s="99">
        <v>41912</v>
      </c>
      <c r="D195" s="100">
        <f t="shared" si="44"/>
        <v>92</v>
      </c>
      <c r="E195" s="101">
        <v>3.25</v>
      </c>
      <c r="F195" s="178">
        <f t="shared" si="47"/>
        <v>0</v>
      </c>
      <c r="G195" s="178">
        <f t="shared" si="45"/>
        <v>0</v>
      </c>
      <c r="H195" s="178">
        <f t="shared" si="48"/>
        <v>0</v>
      </c>
      <c r="I195" s="178">
        <f t="shared" si="49"/>
        <v>0</v>
      </c>
    </row>
    <row r="196" spans="1:9" hidden="1" outlineLevel="1" x14ac:dyDescent="0.2">
      <c r="A196" s="98" t="s">
        <v>68</v>
      </c>
      <c r="B196" s="99">
        <f t="shared" si="46"/>
        <v>41913</v>
      </c>
      <c r="C196" s="99">
        <v>42004</v>
      </c>
      <c r="D196" s="100">
        <f t="shared" si="44"/>
        <v>92</v>
      </c>
      <c r="E196" s="101">
        <v>3.25</v>
      </c>
      <c r="F196" s="178">
        <f t="shared" si="47"/>
        <v>0</v>
      </c>
      <c r="G196" s="178">
        <f t="shared" si="45"/>
        <v>0</v>
      </c>
      <c r="H196" s="178">
        <f t="shared" si="48"/>
        <v>0</v>
      </c>
      <c r="I196" s="178">
        <f t="shared" si="49"/>
        <v>0</v>
      </c>
    </row>
    <row r="197" spans="1:9" hidden="1" outlineLevel="1" x14ac:dyDescent="0.2">
      <c r="A197" s="67" t="s">
        <v>69</v>
      </c>
      <c r="B197" s="83">
        <f t="shared" si="46"/>
        <v>42005</v>
      </c>
      <c r="C197" s="83">
        <v>42094</v>
      </c>
      <c r="D197" s="85">
        <f t="shared" si="44"/>
        <v>90</v>
      </c>
      <c r="E197" s="86">
        <v>3.25</v>
      </c>
      <c r="F197" s="176">
        <f t="shared" si="47"/>
        <v>0</v>
      </c>
      <c r="G197" s="176">
        <f t="shared" si="45"/>
        <v>0</v>
      </c>
      <c r="H197" s="176">
        <f t="shared" si="48"/>
        <v>0</v>
      </c>
      <c r="I197" s="176">
        <f t="shared" si="49"/>
        <v>0</v>
      </c>
    </row>
    <row r="198" spans="1:9" hidden="1" outlineLevel="1" x14ac:dyDescent="0.2">
      <c r="A198" s="67" t="s">
        <v>70</v>
      </c>
      <c r="B198" s="83">
        <f t="shared" si="46"/>
        <v>42095</v>
      </c>
      <c r="C198" s="83">
        <v>42185</v>
      </c>
      <c r="D198" s="85">
        <f t="shared" si="44"/>
        <v>91</v>
      </c>
      <c r="E198" s="86">
        <v>3.25</v>
      </c>
      <c r="F198" s="176">
        <f t="shared" si="47"/>
        <v>0</v>
      </c>
      <c r="G198" s="176">
        <f t="shared" si="45"/>
        <v>0</v>
      </c>
      <c r="H198" s="176">
        <f t="shared" si="48"/>
        <v>0</v>
      </c>
      <c r="I198" s="176">
        <f t="shared" si="49"/>
        <v>0</v>
      </c>
    </row>
    <row r="199" spans="1:9" hidden="1" outlineLevel="1" x14ac:dyDescent="0.2">
      <c r="A199" s="67" t="s">
        <v>71</v>
      </c>
      <c r="B199" s="83">
        <f>C198+1</f>
        <v>42186</v>
      </c>
      <c r="C199" s="83">
        <v>42277</v>
      </c>
      <c r="D199" s="85">
        <f>+C199-B199+1</f>
        <v>92</v>
      </c>
      <c r="E199" s="86">
        <v>3.25</v>
      </c>
      <c r="F199" s="176">
        <f t="shared" si="47"/>
        <v>0</v>
      </c>
      <c r="G199" s="176">
        <f>+D199/366*E199/100*F199</f>
        <v>0</v>
      </c>
      <c r="H199" s="176">
        <f t="shared" si="48"/>
        <v>0</v>
      </c>
      <c r="I199" s="176">
        <f t="shared" si="49"/>
        <v>0</v>
      </c>
    </row>
    <row r="200" spans="1:9" hidden="1" outlineLevel="1" x14ac:dyDescent="0.2">
      <c r="A200" s="67" t="s">
        <v>72</v>
      </c>
      <c r="B200" s="83">
        <f t="shared" ref="B200:B206" si="50">C199+1</f>
        <v>42278</v>
      </c>
      <c r="C200" s="83">
        <v>42369</v>
      </c>
      <c r="D200" s="85">
        <f t="shared" ref="D200:D206" si="51">+C200-B200+1</f>
        <v>92</v>
      </c>
      <c r="E200" s="86">
        <v>3.25</v>
      </c>
      <c r="F200" s="176">
        <f t="shared" si="47"/>
        <v>0</v>
      </c>
      <c r="G200" s="176">
        <f>+D200/366*E200/100*F200</f>
        <v>0</v>
      </c>
      <c r="H200" s="176">
        <f t="shared" si="48"/>
        <v>0</v>
      </c>
      <c r="I200" s="176">
        <f t="shared" si="49"/>
        <v>0</v>
      </c>
    </row>
    <row r="201" spans="1:9" hidden="1" outlineLevel="1" x14ac:dyDescent="0.2">
      <c r="A201" s="98" t="s">
        <v>77</v>
      </c>
      <c r="B201" s="99">
        <f t="shared" si="50"/>
        <v>42370</v>
      </c>
      <c r="C201" s="99">
        <v>42460</v>
      </c>
      <c r="D201" s="100">
        <f t="shared" si="51"/>
        <v>91</v>
      </c>
      <c r="E201" s="101">
        <v>3.25</v>
      </c>
      <c r="F201" s="178">
        <f t="shared" si="47"/>
        <v>0</v>
      </c>
      <c r="G201" s="178">
        <f t="shared" ref="G201:G206" si="52">+D201/366*E201/100*F201</f>
        <v>0</v>
      </c>
      <c r="H201" s="178">
        <f t="shared" si="48"/>
        <v>0</v>
      </c>
      <c r="I201" s="178">
        <f t="shared" si="49"/>
        <v>0</v>
      </c>
    </row>
    <row r="202" spans="1:9" hidden="1" outlineLevel="1" x14ac:dyDescent="0.2">
      <c r="A202" s="98" t="s">
        <v>78</v>
      </c>
      <c r="B202" s="99">
        <f t="shared" si="50"/>
        <v>42461</v>
      </c>
      <c r="C202" s="99">
        <v>42551</v>
      </c>
      <c r="D202" s="100">
        <f t="shared" si="51"/>
        <v>91</v>
      </c>
      <c r="E202" s="101">
        <v>3.25</v>
      </c>
      <c r="F202" s="178">
        <f t="shared" si="47"/>
        <v>0</v>
      </c>
      <c r="G202" s="178">
        <f t="shared" si="52"/>
        <v>0</v>
      </c>
      <c r="H202" s="178">
        <f t="shared" si="48"/>
        <v>0</v>
      </c>
      <c r="I202" s="178">
        <f t="shared" si="49"/>
        <v>0</v>
      </c>
    </row>
    <row r="203" spans="1:9" hidden="1" outlineLevel="1" x14ac:dyDescent="0.2">
      <c r="A203" s="98" t="s">
        <v>79</v>
      </c>
      <c r="B203" s="99">
        <f t="shared" si="50"/>
        <v>42552</v>
      </c>
      <c r="C203" s="99">
        <v>42643</v>
      </c>
      <c r="D203" s="100">
        <f t="shared" si="51"/>
        <v>92</v>
      </c>
      <c r="E203" s="101">
        <v>3.25</v>
      </c>
      <c r="F203" s="178">
        <f t="shared" si="47"/>
        <v>0</v>
      </c>
      <c r="G203" s="178">
        <f t="shared" si="52"/>
        <v>0</v>
      </c>
      <c r="H203" s="178">
        <f t="shared" si="48"/>
        <v>0</v>
      </c>
      <c r="I203" s="178">
        <f t="shared" si="49"/>
        <v>0</v>
      </c>
    </row>
    <row r="204" spans="1:9" hidden="1" outlineLevel="1" x14ac:dyDescent="0.2">
      <c r="A204" s="98" t="s">
        <v>80</v>
      </c>
      <c r="B204" s="99">
        <f t="shared" si="50"/>
        <v>42644</v>
      </c>
      <c r="C204" s="99">
        <v>42735</v>
      </c>
      <c r="D204" s="100">
        <f t="shared" si="51"/>
        <v>92</v>
      </c>
      <c r="E204" s="101">
        <v>3.25</v>
      </c>
      <c r="F204" s="178">
        <f t="shared" si="47"/>
        <v>0</v>
      </c>
      <c r="G204" s="178">
        <f t="shared" si="52"/>
        <v>0</v>
      </c>
      <c r="H204" s="178">
        <f t="shared" si="48"/>
        <v>0</v>
      </c>
      <c r="I204" s="178">
        <f t="shared" si="49"/>
        <v>0</v>
      </c>
    </row>
    <row r="205" spans="1:9" hidden="1" outlineLevel="1" x14ac:dyDescent="0.2">
      <c r="A205" s="67" t="s">
        <v>81</v>
      </c>
      <c r="B205" s="83">
        <f t="shared" si="50"/>
        <v>42736</v>
      </c>
      <c r="C205" s="83">
        <v>42825</v>
      </c>
      <c r="D205" s="85">
        <f t="shared" si="51"/>
        <v>90</v>
      </c>
      <c r="E205" s="86">
        <v>3.25</v>
      </c>
      <c r="F205" s="176">
        <f t="shared" si="47"/>
        <v>0</v>
      </c>
      <c r="G205" s="176">
        <f t="shared" si="52"/>
        <v>0</v>
      </c>
      <c r="H205" s="176">
        <f t="shared" si="48"/>
        <v>0</v>
      </c>
      <c r="I205" s="176">
        <f t="shared" si="49"/>
        <v>0</v>
      </c>
    </row>
    <row r="206" spans="1:9" hidden="1" outlineLevel="1" x14ac:dyDescent="0.2">
      <c r="A206" s="67" t="s">
        <v>82</v>
      </c>
      <c r="B206" s="83">
        <f t="shared" si="50"/>
        <v>42826</v>
      </c>
      <c r="C206" s="83">
        <v>42916</v>
      </c>
      <c r="D206" s="85">
        <f t="shared" si="51"/>
        <v>91</v>
      </c>
      <c r="E206" s="86">
        <v>3.25</v>
      </c>
      <c r="F206" s="176">
        <f t="shared" si="47"/>
        <v>0</v>
      </c>
      <c r="G206" s="176">
        <f t="shared" si="52"/>
        <v>0</v>
      </c>
      <c r="H206" s="176">
        <f t="shared" si="48"/>
        <v>0</v>
      </c>
      <c r="I206" s="176">
        <f t="shared" si="49"/>
        <v>0</v>
      </c>
    </row>
    <row r="207" spans="1:9" hidden="1" outlineLevel="1" x14ac:dyDescent="0.2">
      <c r="A207" s="67" t="s">
        <v>83</v>
      </c>
      <c r="B207" s="83">
        <f>C206+1</f>
        <v>42917</v>
      </c>
      <c r="C207" s="83">
        <v>43008</v>
      </c>
      <c r="D207" s="85">
        <f>+C207-B207+1</f>
        <v>92</v>
      </c>
      <c r="E207" s="86">
        <v>3.25</v>
      </c>
      <c r="F207" s="176">
        <f t="shared" si="47"/>
        <v>0</v>
      </c>
      <c r="G207" s="176">
        <f>+D207/366*E207/100*F207</f>
        <v>0</v>
      </c>
      <c r="H207" s="176">
        <f t="shared" si="48"/>
        <v>0</v>
      </c>
      <c r="I207" s="176">
        <f t="shared" si="49"/>
        <v>0</v>
      </c>
    </row>
    <row r="208" spans="1:9" hidden="1" outlineLevel="1" x14ac:dyDescent="0.2">
      <c r="A208" s="67" t="s">
        <v>84</v>
      </c>
      <c r="B208" s="83">
        <f>C207+1</f>
        <v>43009</v>
      </c>
      <c r="C208" s="83">
        <v>43100</v>
      </c>
      <c r="D208" s="85">
        <f>+C208-B208+1</f>
        <v>92</v>
      </c>
      <c r="E208" s="86">
        <v>3.25</v>
      </c>
      <c r="F208" s="176">
        <f t="shared" si="47"/>
        <v>0</v>
      </c>
      <c r="G208" s="176">
        <f>+D208/366*E208/100*F208</f>
        <v>0</v>
      </c>
      <c r="H208" s="176">
        <v>0</v>
      </c>
      <c r="I208" s="176">
        <v>0</v>
      </c>
    </row>
    <row r="209" spans="1:10" collapsed="1" x14ac:dyDescent="0.2">
      <c r="A209" s="8"/>
      <c r="B209" s="92"/>
      <c r="C209" s="92"/>
      <c r="D209" s="93"/>
      <c r="E209" s="94"/>
      <c r="F209" s="96"/>
      <c r="G209" s="96"/>
      <c r="H209" s="96"/>
      <c r="I209" s="95"/>
    </row>
    <row r="210" spans="1:10" x14ac:dyDescent="0.2">
      <c r="A210" s="503" t="s">
        <v>123</v>
      </c>
      <c r="B210" s="504"/>
      <c r="C210" s="504"/>
      <c r="D210" s="504"/>
      <c r="E210" s="504"/>
      <c r="F210" s="504"/>
      <c r="G210" s="504"/>
      <c r="H210" s="504"/>
      <c r="I210" s="504"/>
      <c r="J210" s="505"/>
    </row>
    <row r="211" spans="1:10" hidden="1" outlineLevel="1" x14ac:dyDescent="0.2">
      <c r="A211" s="199" t="s">
        <v>7</v>
      </c>
      <c r="B211" s="199" t="s">
        <v>8</v>
      </c>
      <c r="C211" s="199" t="s">
        <v>9</v>
      </c>
      <c r="D211" s="199" t="s">
        <v>10</v>
      </c>
      <c r="E211" s="199" t="s">
        <v>11</v>
      </c>
      <c r="F211" s="199" t="s">
        <v>12</v>
      </c>
      <c r="G211" s="199" t="s">
        <v>13</v>
      </c>
      <c r="H211" s="199"/>
      <c r="I211" s="199"/>
      <c r="J211" s="199" t="s">
        <v>14</v>
      </c>
    </row>
    <row r="212" spans="1:10" ht="38.25" hidden="1" outlineLevel="1" x14ac:dyDescent="0.2">
      <c r="A212" s="6" t="s">
        <v>15</v>
      </c>
      <c r="B212" s="6" t="s">
        <v>16</v>
      </c>
      <c r="C212" s="6" t="s">
        <v>17</v>
      </c>
      <c r="D212" s="6" t="s">
        <v>18</v>
      </c>
      <c r="E212" s="6" t="s">
        <v>19</v>
      </c>
      <c r="F212" s="6" t="s">
        <v>20</v>
      </c>
      <c r="G212" s="6" t="s">
        <v>49</v>
      </c>
      <c r="H212" s="6" t="s">
        <v>22</v>
      </c>
      <c r="I212" s="6" t="s">
        <v>50</v>
      </c>
      <c r="J212" s="6" t="s">
        <v>21</v>
      </c>
    </row>
    <row r="213" spans="1:10" hidden="1" outlineLevel="1" x14ac:dyDescent="0.2">
      <c r="A213" s="172" t="s">
        <v>38</v>
      </c>
      <c r="B213" s="173">
        <f>B23</f>
        <v>0</v>
      </c>
      <c r="C213" s="173">
        <v>40999</v>
      </c>
      <c r="D213" s="183">
        <f>+C213-B213+1</f>
        <v>41000</v>
      </c>
      <c r="E213" s="175">
        <v>3.25</v>
      </c>
      <c r="F213" s="190">
        <f>E23</f>
        <v>0</v>
      </c>
      <c r="G213" s="188">
        <f>+D213/365*E213/100*F213</f>
        <v>0</v>
      </c>
      <c r="H213" s="190"/>
      <c r="I213" s="190"/>
      <c r="J213" s="189">
        <f>+F213+G213</f>
        <v>0</v>
      </c>
    </row>
    <row r="214" spans="1:10" hidden="1" outlineLevel="1" x14ac:dyDescent="0.2">
      <c r="A214" s="172" t="s">
        <v>46</v>
      </c>
      <c r="B214" s="173">
        <f>C213+1</f>
        <v>41000</v>
      </c>
      <c r="C214" s="173">
        <v>41090</v>
      </c>
      <c r="D214" s="183">
        <f>+C214-B214+1</f>
        <v>91</v>
      </c>
      <c r="E214" s="175">
        <v>3.25</v>
      </c>
      <c r="F214" s="190">
        <f>+J213</f>
        <v>0</v>
      </c>
      <c r="G214" s="188">
        <f>+D214/365*E214/100*F214</f>
        <v>0</v>
      </c>
      <c r="H214" s="190"/>
      <c r="I214" s="190"/>
      <c r="J214" s="189">
        <f>+F214+G214</f>
        <v>0</v>
      </c>
    </row>
    <row r="215" spans="1:10" hidden="1" outlineLevel="1" x14ac:dyDescent="0.2">
      <c r="A215" s="172" t="s">
        <v>47</v>
      </c>
      <c r="B215" s="173">
        <f>C214+1</f>
        <v>41091</v>
      </c>
      <c r="C215" s="173">
        <v>41182</v>
      </c>
      <c r="D215" s="183">
        <f>+C215-B215+1</f>
        <v>92</v>
      </c>
      <c r="E215" s="175">
        <v>3.25</v>
      </c>
      <c r="F215" s="190">
        <f>+J214</f>
        <v>0</v>
      </c>
      <c r="G215" s="190">
        <f>+D215/366*E215/100*F215</f>
        <v>0</v>
      </c>
      <c r="H215" s="190"/>
      <c r="I215" s="190"/>
      <c r="J215" s="189">
        <f>+F215+G215</f>
        <v>0</v>
      </c>
    </row>
    <row r="216" spans="1:10" hidden="1" outlineLevel="1" x14ac:dyDescent="0.2">
      <c r="A216" s="172" t="s">
        <v>33</v>
      </c>
      <c r="B216" s="173">
        <f>C215+1</f>
        <v>41183</v>
      </c>
      <c r="C216" s="173">
        <v>41274</v>
      </c>
      <c r="D216" s="183">
        <f>+C216-B216+1</f>
        <v>92</v>
      </c>
      <c r="E216" s="175">
        <v>3.25</v>
      </c>
      <c r="F216" s="190">
        <f>+J215</f>
        <v>0</v>
      </c>
      <c r="G216" s="190">
        <f>+D216/366*E216/100*F216</f>
        <v>0</v>
      </c>
      <c r="H216" s="190">
        <f>F213/20</f>
        <v>0</v>
      </c>
      <c r="I216" s="190">
        <f>G217/20</f>
        <v>0</v>
      </c>
      <c r="J216" s="189">
        <f>+F216+G216</f>
        <v>0</v>
      </c>
    </row>
    <row r="217" spans="1:10" hidden="1" outlineLevel="1" x14ac:dyDescent="0.2">
      <c r="A217" s="198"/>
      <c r="B217" s="198"/>
      <c r="C217" s="198"/>
      <c r="D217" s="198"/>
      <c r="E217" s="500" t="s">
        <v>51</v>
      </c>
      <c r="F217" s="500"/>
      <c r="G217" s="191">
        <f>SUM(G213:G216)</f>
        <v>0</v>
      </c>
      <c r="H217" s="198"/>
      <c r="I217" s="198"/>
      <c r="J217" s="198"/>
    </row>
    <row r="218" spans="1:10" hidden="1" outlineLevel="1" x14ac:dyDescent="0.2">
      <c r="A218" s="67" t="s">
        <v>60</v>
      </c>
      <c r="B218" s="83">
        <f>C216+1</f>
        <v>41275</v>
      </c>
      <c r="C218" s="83">
        <v>41364</v>
      </c>
      <c r="D218" s="85">
        <f t="shared" ref="D218:D227" si="53">+C218-B218+1</f>
        <v>90</v>
      </c>
      <c r="E218" s="86">
        <v>3.25</v>
      </c>
      <c r="F218" s="176">
        <f>F213-H216</f>
        <v>0</v>
      </c>
      <c r="G218" s="176">
        <f t="shared" ref="G218:G227" si="54">+D218/366*E218/100*F218</f>
        <v>0</v>
      </c>
      <c r="H218" s="176">
        <f>H216</f>
        <v>0</v>
      </c>
      <c r="I218" s="176">
        <f>G217/20</f>
        <v>0</v>
      </c>
    </row>
    <row r="219" spans="1:10" hidden="1" outlineLevel="1" x14ac:dyDescent="0.2">
      <c r="A219" s="67" t="s">
        <v>61</v>
      </c>
      <c r="B219" s="83">
        <f t="shared" ref="B219:B227" si="55">C218+1</f>
        <v>41365</v>
      </c>
      <c r="C219" s="83">
        <v>41455</v>
      </c>
      <c r="D219" s="85">
        <f t="shared" si="53"/>
        <v>91</v>
      </c>
      <c r="E219" s="86">
        <v>3.25</v>
      </c>
      <c r="F219" s="176">
        <f t="shared" ref="F219:F237" si="56">F218-H218</f>
        <v>0</v>
      </c>
      <c r="G219" s="176">
        <f t="shared" si="54"/>
        <v>0</v>
      </c>
      <c r="H219" s="176">
        <f>H218</f>
        <v>0</v>
      </c>
      <c r="I219" s="176">
        <f>I218</f>
        <v>0</v>
      </c>
    </row>
    <row r="220" spans="1:10" hidden="1" outlineLevel="1" x14ac:dyDescent="0.2">
      <c r="A220" s="67" t="s">
        <v>62</v>
      </c>
      <c r="B220" s="83">
        <f t="shared" si="55"/>
        <v>41456</v>
      </c>
      <c r="C220" s="83">
        <v>41547</v>
      </c>
      <c r="D220" s="85">
        <f t="shared" si="53"/>
        <v>92</v>
      </c>
      <c r="E220" s="86">
        <v>3.25</v>
      </c>
      <c r="F220" s="176">
        <f t="shared" si="56"/>
        <v>0</v>
      </c>
      <c r="G220" s="176">
        <f t="shared" si="54"/>
        <v>0</v>
      </c>
      <c r="H220" s="176">
        <f t="shared" ref="H220:H236" si="57">H219</f>
        <v>0</v>
      </c>
      <c r="I220" s="176">
        <f t="shared" ref="I220:I236" si="58">I219</f>
        <v>0</v>
      </c>
    </row>
    <row r="221" spans="1:10" hidden="1" outlineLevel="1" x14ac:dyDescent="0.2">
      <c r="A221" s="67" t="s">
        <v>63</v>
      </c>
      <c r="B221" s="83">
        <f t="shared" si="55"/>
        <v>41548</v>
      </c>
      <c r="C221" s="83">
        <v>41639</v>
      </c>
      <c r="D221" s="85">
        <f t="shared" si="53"/>
        <v>92</v>
      </c>
      <c r="E221" s="86">
        <v>3.25</v>
      </c>
      <c r="F221" s="176">
        <f t="shared" si="56"/>
        <v>0</v>
      </c>
      <c r="G221" s="176">
        <f t="shared" si="54"/>
        <v>0</v>
      </c>
      <c r="H221" s="176">
        <f t="shared" si="57"/>
        <v>0</v>
      </c>
      <c r="I221" s="176">
        <f t="shared" si="58"/>
        <v>0</v>
      </c>
    </row>
    <row r="222" spans="1:10" hidden="1" outlineLevel="1" x14ac:dyDescent="0.2">
      <c r="A222" s="98" t="s">
        <v>65</v>
      </c>
      <c r="B222" s="99">
        <f t="shared" si="55"/>
        <v>41640</v>
      </c>
      <c r="C222" s="99">
        <v>41729</v>
      </c>
      <c r="D222" s="100">
        <f t="shared" si="53"/>
        <v>90</v>
      </c>
      <c r="E222" s="101">
        <v>3.25</v>
      </c>
      <c r="F222" s="178">
        <f t="shared" si="56"/>
        <v>0</v>
      </c>
      <c r="G222" s="178">
        <f t="shared" si="54"/>
        <v>0</v>
      </c>
      <c r="H222" s="178">
        <f t="shared" si="57"/>
        <v>0</v>
      </c>
      <c r="I222" s="178">
        <f t="shared" si="58"/>
        <v>0</v>
      </c>
    </row>
    <row r="223" spans="1:10" hidden="1" outlineLevel="1" x14ac:dyDescent="0.2">
      <c r="A223" s="98" t="s">
        <v>66</v>
      </c>
      <c r="B223" s="99">
        <f t="shared" si="55"/>
        <v>41730</v>
      </c>
      <c r="C223" s="99">
        <v>41820</v>
      </c>
      <c r="D223" s="100">
        <f t="shared" si="53"/>
        <v>91</v>
      </c>
      <c r="E223" s="101">
        <v>3.25</v>
      </c>
      <c r="F223" s="178">
        <f t="shared" si="56"/>
        <v>0</v>
      </c>
      <c r="G223" s="178">
        <f t="shared" si="54"/>
        <v>0</v>
      </c>
      <c r="H223" s="178">
        <f t="shared" si="57"/>
        <v>0</v>
      </c>
      <c r="I223" s="178">
        <f t="shared" si="58"/>
        <v>0</v>
      </c>
    </row>
    <row r="224" spans="1:10" hidden="1" outlineLevel="1" x14ac:dyDescent="0.2">
      <c r="A224" s="98" t="s">
        <v>67</v>
      </c>
      <c r="B224" s="99">
        <f t="shared" si="55"/>
        <v>41821</v>
      </c>
      <c r="C224" s="99">
        <v>41912</v>
      </c>
      <c r="D224" s="100">
        <f t="shared" si="53"/>
        <v>92</v>
      </c>
      <c r="E224" s="101">
        <v>3.25</v>
      </c>
      <c r="F224" s="178">
        <f t="shared" si="56"/>
        <v>0</v>
      </c>
      <c r="G224" s="178">
        <f t="shared" si="54"/>
        <v>0</v>
      </c>
      <c r="H224" s="178">
        <f t="shared" si="57"/>
        <v>0</v>
      </c>
      <c r="I224" s="178">
        <f t="shared" si="58"/>
        <v>0</v>
      </c>
    </row>
    <row r="225" spans="1:10" hidden="1" outlineLevel="1" x14ac:dyDescent="0.2">
      <c r="A225" s="98" t="s">
        <v>68</v>
      </c>
      <c r="B225" s="99">
        <f t="shared" si="55"/>
        <v>41913</v>
      </c>
      <c r="C225" s="99">
        <v>42004</v>
      </c>
      <c r="D225" s="100">
        <f t="shared" si="53"/>
        <v>92</v>
      </c>
      <c r="E225" s="101">
        <v>3.25</v>
      </c>
      <c r="F225" s="178">
        <f t="shared" si="56"/>
        <v>0</v>
      </c>
      <c r="G225" s="178">
        <f t="shared" si="54"/>
        <v>0</v>
      </c>
      <c r="H225" s="178">
        <f t="shared" si="57"/>
        <v>0</v>
      </c>
      <c r="I225" s="178">
        <f t="shared" si="58"/>
        <v>0</v>
      </c>
    </row>
    <row r="226" spans="1:10" hidden="1" outlineLevel="1" x14ac:dyDescent="0.2">
      <c r="A226" s="67" t="s">
        <v>69</v>
      </c>
      <c r="B226" s="83">
        <f t="shared" si="55"/>
        <v>42005</v>
      </c>
      <c r="C226" s="83">
        <v>42094</v>
      </c>
      <c r="D226" s="85">
        <f t="shared" si="53"/>
        <v>90</v>
      </c>
      <c r="E226" s="86">
        <v>3.25</v>
      </c>
      <c r="F226" s="176">
        <f t="shared" si="56"/>
        <v>0</v>
      </c>
      <c r="G226" s="176">
        <f t="shared" si="54"/>
        <v>0</v>
      </c>
      <c r="H226" s="176">
        <f t="shared" si="57"/>
        <v>0</v>
      </c>
      <c r="I226" s="176">
        <f t="shared" si="58"/>
        <v>0</v>
      </c>
    </row>
    <row r="227" spans="1:10" hidden="1" outlineLevel="1" x14ac:dyDescent="0.2">
      <c r="A227" s="67" t="s">
        <v>70</v>
      </c>
      <c r="B227" s="83">
        <f t="shared" si="55"/>
        <v>42095</v>
      </c>
      <c r="C227" s="83">
        <v>42185</v>
      </c>
      <c r="D227" s="85">
        <f t="shared" si="53"/>
        <v>91</v>
      </c>
      <c r="E227" s="86">
        <v>3.25</v>
      </c>
      <c r="F227" s="176">
        <f t="shared" si="56"/>
        <v>0</v>
      </c>
      <c r="G227" s="176">
        <f t="shared" si="54"/>
        <v>0</v>
      </c>
      <c r="H227" s="176">
        <f t="shared" si="57"/>
        <v>0</v>
      </c>
      <c r="I227" s="176">
        <f t="shared" si="58"/>
        <v>0</v>
      </c>
    </row>
    <row r="228" spans="1:10" hidden="1" outlineLevel="1" x14ac:dyDescent="0.2">
      <c r="A228" s="67" t="s">
        <v>71</v>
      </c>
      <c r="B228" s="83">
        <f>C227+1</f>
        <v>42186</v>
      </c>
      <c r="C228" s="83">
        <v>42277</v>
      </c>
      <c r="D228" s="85">
        <f>+C228-B228+1</f>
        <v>92</v>
      </c>
      <c r="E228" s="86">
        <v>3.25</v>
      </c>
      <c r="F228" s="176">
        <f t="shared" si="56"/>
        <v>0</v>
      </c>
      <c r="G228" s="176">
        <f>+D228/366*E228/100*F228</f>
        <v>0</v>
      </c>
      <c r="H228" s="176">
        <f t="shared" si="57"/>
        <v>0</v>
      </c>
      <c r="I228" s="176">
        <f t="shared" si="58"/>
        <v>0</v>
      </c>
    </row>
    <row r="229" spans="1:10" hidden="1" outlineLevel="1" x14ac:dyDescent="0.2">
      <c r="A229" s="67" t="s">
        <v>72</v>
      </c>
      <c r="B229" s="83">
        <f t="shared" ref="B229:B235" si="59">C228+1</f>
        <v>42278</v>
      </c>
      <c r="C229" s="83">
        <v>42369</v>
      </c>
      <c r="D229" s="85">
        <f t="shared" ref="D229:D235" si="60">+C229-B229+1</f>
        <v>92</v>
      </c>
      <c r="E229" s="86">
        <v>3.25</v>
      </c>
      <c r="F229" s="176">
        <f t="shared" si="56"/>
        <v>0</v>
      </c>
      <c r="G229" s="176">
        <f>+D229/366*E229/100*F229</f>
        <v>0</v>
      </c>
      <c r="H229" s="176">
        <f t="shared" si="57"/>
        <v>0</v>
      </c>
      <c r="I229" s="176">
        <f t="shared" si="58"/>
        <v>0</v>
      </c>
    </row>
    <row r="230" spans="1:10" hidden="1" outlineLevel="1" x14ac:dyDescent="0.2">
      <c r="A230" s="98" t="s">
        <v>77</v>
      </c>
      <c r="B230" s="99">
        <f t="shared" si="59"/>
        <v>42370</v>
      </c>
      <c r="C230" s="99">
        <v>42460</v>
      </c>
      <c r="D230" s="100">
        <f t="shared" si="60"/>
        <v>91</v>
      </c>
      <c r="E230" s="101">
        <v>3.25</v>
      </c>
      <c r="F230" s="178">
        <f t="shared" si="56"/>
        <v>0</v>
      </c>
      <c r="G230" s="178">
        <f t="shared" ref="G230:G235" si="61">+D230/366*E230/100*F230</f>
        <v>0</v>
      </c>
      <c r="H230" s="178">
        <f t="shared" si="57"/>
        <v>0</v>
      </c>
      <c r="I230" s="178">
        <f t="shared" si="58"/>
        <v>0</v>
      </c>
    </row>
    <row r="231" spans="1:10" hidden="1" outlineLevel="1" x14ac:dyDescent="0.2">
      <c r="A231" s="98" t="s">
        <v>78</v>
      </c>
      <c r="B231" s="99">
        <f t="shared" si="59"/>
        <v>42461</v>
      </c>
      <c r="C231" s="99">
        <v>42551</v>
      </c>
      <c r="D231" s="100">
        <f t="shared" si="60"/>
        <v>91</v>
      </c>
      <c r="E231" s="101">
        <v>3.25</v>
      </c>
      <c r="F231" s="178">
        <f t="shared" si="56"/>
        <v>0</v>
      </c>
      <c r="G231" s="178">
        <f t="shared" si="61"/>
        <v>0</v>
      </c>
      <c r="H231" s="178">
        <f t="shared" si="57"/>
        <v>0</v>
      </c>
      <c r="I231" s="178">
        <f t="shared" si="58"/>
        <v>0</v>
      </c>
    </row>
    <row r="232" spans="1:10" hidden="1" outlineLevel="1" x14ac:dyDescent="0.2">
      <c r="A232" s="98" t="s">
        <v>79</v>
      </c>
      <c r="B232" s="99">
        <f t="shared" si="59"/>
        <v>42552</v>
      </c>
      <c r="C232" s="99">
        <v>42643</v>
      </c>
      <c r="D232" s="100">
        <f t="shared" si="60"/>
        <v>92</v>
      </c>
      <c r="E232" s="101">
        <v>3.25</v>
      </c>
      <c r="F232" s="178">
        <f t="shared" si="56"/>
        <v>0</v>
      </c>
      <c r="G232" s="178">
        <f t="shared" si="61"/>
        <v>0</v>
      </c>
      <c r="H232" s="178">
        <f t="shared" si="57"/>
        <v>0</v>
      </c>
      <c r="I232" s="178">
        <f t="shared" si="58"/>
        <v>0</v>
      </c>
    </row>
    <row r="233" spans="1:10" hidden="1" outlineLevel="1" x14ac:dyDescent="0.2">
      <c r="A233" s="98" t="s">
        <v>80</v>
      </c>
      <c r="B233" s="99">
        <f t="shared" si="59"/>
        <v>42644</v>
      </c>
      <c r="C233" s="99">
        <v>42735</v>
      </c>
      <c r="D233" s="100">
        <f t="shared" si="60"/>
        <v>92</v>
      </c>
      <c r="E233" s="101">
        <v>3.25</v>
      </c>
      <c r="F233" s="178">
        <f t="shared" si="56"/>
        <v>0</v>
      </c>
      <c r="G233" s="178">
        <f t="shared" si="61"/>
        <v>0</v>
      </c>
      <c r="H233" s="178">
        <f t="shared" si="57"/>
        <v>0</v>
      </c>
      <c r="I233" s="178">
        <f t="shared" si="58"/>
        <v>0</v>
      </c>
    </row>
    <row r="234" spans="1:10" hidden="1" outlineLevel="1" x14ac:dyDescent="0.2">
      <c r="A234" s="67" t="s">
        <v>81</v>
      </c>
      <c r="B234" s="83">
        <f t="shared" si="59"/>
        <v>42736</v>
      </c>
      <c r="C234" s="83">
        <v>42825</v>
      </c>
      <c r="D234" s="85">
        <f t="shared" si="60"/>
        <v>90</v>
      </c>
      <c r="E234" s="86">
        <v>3.25</v>
      </c>
      <c r="F234" s="176">
        <f t="shared" si="56"/>
        <v>0</v>
      </c>
      <c r="G234" s="176">
        <f t="shared" si="61"/>
        <v>0</v>
      </c>
      <c r="H234" s="176">
        <f t="shared" si="57"/>
        <v>0</v>
      </c>
      <c r="I234" s="176">
        <f t="shared" si="58"/>
        <v>0</v>
      </c>
    </row>
    <row r="235" spans="1:10" hidden="1" outlineLevel="1" x14ac:dyDescent="0.2">
      <c r="A235" s="67" t="s">
        <v>82</v>
      </c>
      <c r="B235" s="83">
        <f t="shared" si="59"/>
        <v>42826</v>
      </c>
      <c r="C235" s="83">
        <v>42916</v>
      </c>
      <c r="D235" s="85">
        <f t="shared" si="60"/>
        <v>91</v>
      </c>
      <c r="E235" s="86">
        <v>3.25</v>
      </c>
      <c r="F235" s="176">
        <f t="shared" si="56"/>
        <v>0</v>
      </c>
      <c r="G235" s="176">
        <f t="shared" si="61"/>
        <v>0</v>
      </c>
      <c r="H235" s="176">
        <f t="shared" si="57"/>
        <v>0</v>
      </c>
      <c r="I235" s="176">
        <f t="shared" si="58"/>
        <v>0</v>
      </c>
    </row>
    <row r="236" spans="1:10" hidden="1" outlineLevel="1" x14ac:dyDescent="0.2">
      <c r="A236" s="67" t="s">
        <v>83</v>
      </c>
      <c r="B236" s="83">
        <f>C235+1</f>
        <v>42917</v>
      </c>
      <c r="C236" s="83">
        <v>43008</v>
      </c>
      <c r="D236" s="85">
        <f>+C236-B236+1</f>
        <v>92</v>
      </c>
      <c r="E236" s="86">
        <v>3.25</v>
      </c>
      <c r="F236" s="176">
        <f t="shared" si="56"/>
        <v>0</v>
      </c>
      <c r="G236" s="176">
        <f>+D236/366*E236/100*F236</f>
        <v>0</v>
      </c>
      <c r="H236" s="176">
        <f t="shared" si="57"/>
        <v>0</v>
      </c>
      <c r="I236" s="176">
        <f t="shared" si="58"/>
        <v>0</v>
      </c>
    </row>
    <row r="237" spans="1:10" hidden="1" outlineLevel="1" x14ac:dyDescent="0.2">
      <c r="A237" s="67" t="s">
        <v>84</v>
      </c>
      <c r="B237" s="83">
        <f>C236+1</f>
        <v>43009</v>
      </c>
      <c r="C237" s="83">
        <v>43100</v>
      </c>
      <c r="D237" s="85">
        <f>+C237-B237+1</f>
        <v>92</v>
      </c>
      <c r="E237" s="86">
        <v>3.25</v>
      </c>
      <c r="F237" s="176">
        <f t="shared" si="56"/>
        <v>0</v>
      </c>
      <c r="G237" s="176">
        <f>+D237/366*E237/100*F237</f>
        <v>0</v>
      </c>
      <c r="H237" s="176">
        <v>0</v>
      </c>
      <c r="I237" s="176">
        <v>0</v>
      </c>
    </row>
    <row r="238" spans="1:10" collapsed="1" x14ac:dyDescent="0.2">
      <c r="A238" s="8"/>
      <c r="B238" s="92"/>
      <c r="C238" s="92"/>
      <c r="D238" s="93"/>
      <c r="E238" s="94"/>
      <c r="F238" s="96"/>
      <c r="G238" s="96"/>
      <c r="H238" s="96"/>
      <c r="I238" s="95"/>
    </row>
    <row r="239" spans="1:10" x14ac:dyDescent="0.2">
      <c r="A239" s="503" t="s">
        <v>124</v>
      </c>
      <c r="B239" s="504"/>
      <c r="C239" s="504"/>
      <c r="D239" s="504"/>
      <c r="E239" s="504"/>
      <c r="F239" s="504"/>
      <c r="G239" s="504"/>
      <c r="H239" s="504"/>
      <c r="I239" s="504"/>
      <c r="J239" s="505"/>
    </row>
    <row r="240" spans="1:10" hidden="1" outlineLevel="1" x14ac:dyDescent="0.2">
      <c r="A240" s="199" t="s">
        <v>7</v>
      </c>
      <c r="B240" s="199" t="s">
        <v>8</v>
      </c>
      <c r="C240" s="199" t="s">
        <v>9</v>
      </c>
      <c r="D240" s="199" t="s">
        <v>10</v>
      </c>
      <c r="E240" s="199" t="s">
        <v>11</v>
      </c>
      <c r="F240" s="199" t="s">
        <v>12</v>
      </c>
      <c r="G240" s="199" t="s">
        <v>13</v>
      </c>
      <c r="H240" s="199"/>
      <c r="I240" s="199"/>
      <c r="J240" s="199" t="s">
        <v>14</v>
      </c>
    </row>
    <row r="241" spans="1:10" ht="38.25" hidden="1" outlineLevel="1" x14ac:dyDescent="0.2">
      <c r="A241" s="6" t="s">
        <v>15</v>
      </c>
      <c r="B241" s="6" t="s">
        <v>16</v>
      </c>
      <c r="C241" s="6" t="s">
        <v>17</v>
      </c>
      <c r="D241" s="6" t="s">
        <v>18</v>
      </c>
      <c r="E241" s="6" t="s">
        <v>19</v>
      </c>
      <c r="F241" s="6" t="s">
        <v>20</v>
      </c>
      <c r="G241" s="6" t="s">
        <v>49</v>
      </c>
      <c r="H241" s="6" t="s">
        <v>22</v>
      </c>
      <c r="I241" s="6" t="s">
        <v>50</v>
      </c>
      <c r="J241" s="6" t="s">
        <v>21</v>
      </c>
    </row>
    <row r="242" spans="1:10" hidden="1" outlineLevel="1" x14ac:dyDescent="0.2">
      <c r="A242" s="172" t="s">
        <v>46</v>
      </c>
      <c r="B242" s="173">
        <f>B24</f>
        <v>0</v>
      </c>
      <c r="C242" s="173">
        <v>41090</v>
      </c>
      <c r="D242" s="183">
        <f>+C242-B242+1</f>
        <v>41091</v>
      </c>
      <c r="E242" s="175">
        <v>3.25</v>
      </c>
      <c r="F242" s="190">
        <f>E24</f>
        <v>0</v>
      </c>
      <c r="G242" s="188">
        <f>+D242/365*E242/100*F242</f>
        <v>0</v>
      </c>
      <c r="H242" s="190"/>
      <c r="I242" s="190"/>
      <c r="J242" s="189">
        <f>+F242+G242</f>
        <v>0</v>
      </c>
    </row>
    <row r="243" spans="1:10" hidden="1" outlineLevel="1" x14ac:dyDescent="0.2">
      <c r="A243" s="172" t="s">
        <v>47</v>
      </c>
      <c r="B243" s="173">
        <f>C242+1</f>
        <v>41091</v>
      </c>
      <c r="C243" s="173">
        <v>41182</v>
      </c>
      <c r="D243" s="183">
        <f>+C243-B243+1</f>
        <v>92</v>
      </c>
      <c r="E243" s="175">
        <v>3.25</v>
      </c>
      <c r="F243" s="190">
        <f>+J242</f>
        <v>0</v>
      </c>
      <c r="G243" s="190">
        <f>+D243/366*E243/100*F243</f>
        <v>0</v>
      </c>
      <c r="H243" s="190"/>
      <c r="I243" s="190"/>
      <c r="J243" s="189">
        <f>+F243+G243</f>
        <v>0</v>
      </c>
    </row>
    <row r="244" spans="1:10" hidden="1" outlineLevel="1" x14ac:dyDescent="0.2">
      <c r="A244" s="172" t="s">
        <v>33</v>
      </c>
      <c r="B244" s="173">
        <f>C243+1</f>
        <v>41183</v>
      </c>
      <c r="C244" s="173">
        <v>41274</v>
      </c>
      <c r="D244" s="183">
        <f>+C244-B244+1</f>
        <v>92</v>
      </c>
      <c r="E244" s="175">
        <v>3.25</v>
      </c>
      <c r="F244" s="190">
        <f>+J243</f>
        <v>0</v>
      </c>
      <c r="G244" s="190">
        <f>+D244/366*E244/100*F244</f>
        <v>0</v>
      </c>
      <c r="H244" s="190">
        <f>F242/20</f>
        <v>0</v>
      </c>
      <c r="I244" s="190">
        <f>G245/20</f>
        <v>0</v>
      </c>
      <c r="J244" s="189">
        <f>+F244+G244</f>
        <v>0</v>
      </c>
    </row>
    <row r="245" spans="1:10" hidden="1" outlineLevel="1" x14ac:dyDescent="0.2">
      <c r="A245" s="198"/>
      <c r="B245" s="198"/>
      <c r="C245" s="198"/>
      <c r="D245" s="198"/>
      <c r="E245" s="500" t="s">
        <v>51</v>
      </c>
      <c r="F245" s="500"/>
      <c r="G245" s="191">
        <f>SUM(G242:G244)</f>
        <v>0</v>
      </c>
      <c r="H245" s="198"/>
      <c r="I245" s="198"/>
      <c r="J245" s="198"/>
    </row>
    <row r="246" spans="1:10" hidden="1" outlineLevel="1" x14ac:dyDescent="0.2">
      <c r="A246" s="67" t="s">
        <v>60</v>
      </c>
      <c r="B246" s="83">
        <f>C244+1</f>
        <v>41275</v>
      </c>
      <c r="C246" s="83">
        <v>41364</v>
      </c>
      <c r="D246" s="85">
        <f t="shared" ref="D246:D255" si="62">+C246-B246+1</f>
        <v>90</v>
      </c>
      <c r="E246" s="86">
        <v>3.25</v>
      </c>
      <c r="F246" s="176">
        <f>F242-H244</f>
        <v>0</v>
      </c>
      <c r="G246" s="176">
        <f t="shared" ref="G246:G255" si="63">+D246/366*E246/100*F246</f>
        <v>0</v>
      </c>
      <c r="H246" s="176">
        <f>H244</f>
        <v>0</v>
      </c>
      <c r="I246" s="176">
        <f>G245/20</f>
        <v>0</v>
      </c>
    </row>
    <row r="247" spans="1:10" hidden="1" outlineLevel="1" x14ac:dyDescent="0.2">
      <c r="A247" s="67" t="s">
        <v>61</v>
      </c>
      <c r="B247" s="83">
        <f t="shared" ref="B247:B255" si="64">C246+1</f>
        <v>41365</v>
      </c>
      <c r="C247" s="83">
        <v>41455</v>
      </c>
      <c r="D247" s="85">
        <f t="shared" si="62"/>
        <v>91</v>
      </c>
      <c r="E247" s="86">
        <v>3.25</v>
      </c>
      <c r="F247" s="176">
        <f t="shared" ref="F247:F265" si="65">F246-H246</f>
        <v>0</v>
      </c>
      <c r="G247" s="176">
        <f t="shared" si="63"/>
        <v>0</v>
      </c>
      <c r="H247" s="176">
        <f>H246</f>
        <v>0</v>
      </c>
      <c r="I247" s="176">
        <f>I246</f>
        <v>0</v>
      </c>
    </row>
    <row r="248" spans="1:10" hidden="1" outlineLevel="1" x14ac:dyDescent="0.2">
      <c r="A248" s="67" t="s">
        <v>62</v>
      </c>
      <c r="B248" s="83">
        <f t="shared" si="64"/>
        <v>41456</v>
      </c>
      <c r="C248" s="83">
        <v>41547</v>
      </c>
      <c r="D248" s="85">
        <f t="shared" si="62"/>
        <v>92</v>
      </c>
      <c r="E248" s="86">
        <v>3.25</v>
      </c>
      <c r="F248" s="176">
        <f t="shared" si="65"/>
        <v>0</v>
      </c>
      <c r="G248" s="176">
        <f t="shared" si="63"/>
        <v>0</v>
      </c>
      <c r="H248" s="176">
        <f t="shared" ref="H248:H264" si="66">H247</f>
        <v>0</v>
      </c>
      <c r="I248" s="176">
        <f t="shared" ref="I248:I264" si="67">I247</f>
        <v>0</v>
      </c>
    </row>
    <row r="249" spans="1:10" hidden="1" outlineLevel="1" x14ac:dyDescent="0.2">
      <c r="A249" s="67" t="s">
        <v>63</v>
      </c>
      <c r="B249" s="83">
        <f t="shared" si="64"/>
        <v>41548</v>
      </c>
      <c r="C249" s="83">
        <v>41639</v>
      </c>
      <c r="D249" s="85">
        <f t="shared" si="62"/>
        <v>92</v>
      </c>
      <c r="E249" s="86">
        <v>3.25</v>
      </c>
      <c r="F249" s="176">
        <f t="shared" si="65"/>
        <v>0</v>
      </c>
      <c r="G249" s="176">
        <f t="shared" si="63"/>
        <v>0</v>
      </c>
      <c r="H249" s="176">
        <f t="shared" si="66"/>
        <v>0</v>
      </c>
      <c r="I249" s="176">
        <f t="shared" si="67"/>
        <v>0</v>
      </c>
    </row>
    <row r="250" spans="1:10" hidden="1" outlineLevel="1" x14ac:dyDescent="0.2">
      <c r="A250" s="98" t="s">
        <v>65</v>
      </c>
      <c r="B250" s="99">
        <f t="shared" si="64"/>
        <v>41640</v>
      </c>
      <c r="C250" s="99">
        <v>41729</v>
      </c>
      <c r="D250" s="100">
        <f t="shared" si="62"/>
        <v>90</v>
      </c>
      <c r="E250" s="101">
        <v>3.25</v>
      </c>
      <c r="F250" s="178">
        <f t="shared" si="65"/>
        <v>0</v>
      </c>
      <c r="G250" s="178">
        <f t="shared" si="63"/>
        <v>0</v>
      </c>
      <c r="H250" s="178">
        <f t="shared" si="66"/>
        <v>0</v>
      </c>
      <c r="I250" s="178">
        <f t="shared" si="67"/>
        <v>0</v>
      </c>
    </row>
    <row r="251" spans="1:10" hidden="1" outlineLevel="1" x14ac:dyDescent="0.2">
      <c r="A251" s="98" t="s">
        <v>66</v>
      </c>
      <c r="B251" s="99">
        <f t="shared" si="64"/>
        <v>41730</v>
      </c>
      <c r="C251" s="99">
        <v>41820</v>
      </c>
      <c r="D251" s="100">
        <f t="shared" si="62"/>
        <v>91</v>
      </c>
      <c r="E251" s="101">
        <v>3.25</v>
      </c>
      <c r="F251" s="178">
        <f t="shared" si="65"/>
        <v>0</v>
      </c>
      <c r="G251" s="178">
        <f t="shared" si="63"/>
        <v>0</v>
      </c>
      <c r="H251" s="178">
        <f t="shared" si="66"/>
        <v>0</v>
      </c>
      <c r="I251" s="178">
        <f t="shared" si="67"/>
        <v>0</v>
      </c>
    </row>
    <row r="252" spans="1:10" hidden="1" outlineLevel="1" x14ac:dyDescent="0.2">
      <c r="A252" s="98" t="s">
        <v>67</v>
      </c>
      <c r="B252" s="99">
        <f t="shared" si="64"/>
        <v>41821</v>
      </c>
      <c r="C252" s="99">
        <v>41912</v>
      </c>
      <c r="D252" s="100">
        <f t="shared" si="62"/>
        <v>92</v>
      </c>
      <c r="E252" s="101">
        <v>3.25</v>
      </c>
      <c r="F252" s="178">
        <f t="shared" si="65"/>
        <v>0</v>
      </c>
      <c r="G252" s="178">
        <f t="shared" si="63"/>
        <v>0</v>
      </c>
      <c r="H252" s="178">
        <f t="shared" si="66"/>
        <v>0</v>
      </c>
      <c r="I252" s="178">
        <f t="shared" si="67"/>
        <v>0</v>
      </c>
    </row>
    <row r="253" spans="1:10" hidden="1" outlineLevel="1" x14ac:dyDescent="0.2">
      <c r="A253" s="98" t="s">
        <v>68</v>
      </c>
      <c r="B253" s="99">
        <f t="shared" si="64"/>
        <v>41913</v>
      </c>
      <c r="C253" s="99">
        <v>42004</v>
      </c>
      <c r="D253" s="100">
        <f t="shared" si="62"/>
        <v>92</v>
      </c>
      <c r="E253" s="101">
        <v>3.25</v>
      </c>
      <c r="F253" s="178">
        <f t="shared" si="65"/>
        <v>0</v>
      </c>
      <c r="G253" s="178">
        <f t="shared" si="63"/>
        <v>0</v>
      </c>
      <c r="H253" s="178">
        <f t="shared" si="66"/>
        <v>0</v>
      </c>
      <c r="I253" s="178">
        <f t="shared" si="67"/>
        <v>0</v>
      </c>
    </row>
    <row r="254" spans="1:10" hidden="1" outlineLevel="1" x14ac:dyDescent="0.2">
      <c r="A254" s="67" t="s">
        <v>69</v>
      </c>
      <c r="B254" s="83">
        <f t="shared" si="64"/>
        <v>42005</v>
      </c>
      <c r="C254" s="83">
        <v>42094</v>
      </c>
      <c r="D254" s="85">
        <f t="shared" si="62"/>
        <v>90</v>
      </c>
      <c r="E254" s="86">
        <v>3.25</v>
      </c>
      <c r="F254" s="176">
        <f t="shared" si="65"/>
        <v>0</v>
      </c>
      <c r="G254" s="176">
        <f t="shared" si="63"/>
        <v>0</v>
      </c>
      <c r="H254" s="176">
        <f t="shared" si="66"/>
        <v>0</v>
      </c>
      <c r="I254" s="176">
        <f t="shared" si="67"/>
        <v>0</v>
      </c>
    </row>
    <row r="255" spans="1:10" hidden="1" outlineLevel="1" x14ac:dyDescent="0.2">
      <c r="A255" s="67" t="s">
        <v>70</v>
      </c>
      <c r="B255" s="83">
        <f t="shared" si="64"/>
        <v>42095</v>
      </c>
      <c r="C255" s="83">
        <v>42185</v>
      </c>
      <c r="D255" s="85">
        <f t="shared" si="62"/>
        <v>91</v>
      </c>
      <c r="E255" s="86">
        <v>3.25</v>
      </c>
      <c r="F255" s="176">
        <f t="shared" si="65"/>
        <v>0</v>
      </c>
      <c r="G255" s="176">
        <f t="shared" si="63"/>
        <v>0</v>
      </c>
      <c r="H255" s="176">
        <f t="shared" si="66"/>
        <v>0</v>
      </c>
      <c r="I255" s="176">
        <f t="shared" si="67"/>
        <v>0</v>
      </c>
    </row>
    <row r="256" spans="1:10" hidden="1" outlineLevel="1" x14ac:dyDescent="0.2">
      <c r="A256" s="67" t="s">
        <v>71</v>
      </c>
      <c r="B256" s="83">
        <f>C255+1</f>
        <v>42186</v>
      </c>
      <c r="C256" s="83">
        <v>42277</v>
      </c>
      <c r="D256" s="85">
        <f>+C256-B256+1</f>
        <v>92</v>
      </c>
      <c r="E256" s="86">
        <v>3.25</v>
      </c>
      <c r="F256" s="176">
        <f t="shared" si="65"/>
        <v>0</v>
      </c>
      <c r="G256" s="176">
        <f>+D256/366*E256/100*F256</f>
        <v>0</v>
      </c>
      <c r="H256" s="176">
        <f t="shared" si="66"/>
        <v>0</v>
      </c>
      <c r="I256" s="176">
        <f t="shared" si="67"/>
        <v>0</v>
      </c>
    </row>
    <row r="257" spans="1:10" hidden="1" outlineLevel="1" x14ac:dyDescent="0.2">
      <c r="A257" s="67" t="s">
        <v>72</v>
      </c>
      <c r="B257" s="83">
        <f t="shared" ref="B257:B263" si="68">C256+1</f>
        <v>42278</v>
      </c>
      <c r="C257" s="83">
        <v>42369</v>
      </c>
      <c r="D257" s="85">
        <f t="shared" ref="D257:D263" si="69">+C257-B257+1</f>
        <v>92</v>
      </c>
      <c r="E257" s="86">
        <v>3.25</v>
      </c>
      <c r="F257" s="176">
        <f t="shared" si="65"/>
        <v>0</v>
      </c>
      <c r="G257" s="176">
        <f>+D257/366*E257/100*F257</f>
        <v>0</v>
      </c>
      <c r="H257" s="176">
        <f t="shared" si="66"/>
        <v>0</v>
      </c>
      <c r="I257" s="176">
        <f t="shared" si="67"/>
        <v>0</v>
      </c>
    </row>
    <row r="258" spans="1:10" hidden="1" outlineLevel="1" x14ac:dyDescent="0.2">
      <c r="A258" s="98" t="s">
        <v>77</v>
      </c>
      <c r="B258" s="99">
        <f t="shared" si="68"/>
        <v>42370</v>
      </c>
      <c r="C258" s="99">
        <v>42460</v>
      </c>
      <c r="D258" s="100">
        <f t="shared" si="69"/>
        <v>91</v>
      </c>
      <c r="E258" s="101">
        <v>3.25</v>
      </c>
      <c r="F258" s="178">
        <f t="shared" si="65"/>
        <v>0</v>
      </c>
      <c r="G258" s="178">
        <f t="shared" ref="G258:G263" si="70">+D258/366*E258/100*F258</f>
        <v>0</v>
      </c>
      <c r="H258" s="178">
        <f t="shared" si="66"/>
        <v>0</v>
      </c>
      <c r="I258" s="178">
        <f t="shared" si="67"/>
        <v>0</v>
      </c>
    </row>
    <row r="259" spans="1:10" hidden="1" outlineLevel="1" x14ac:dyDescent="0.2">
      <c r="A259" s="98" t="s">
        <v>78</v>
      </c>
      <c r="B259" s="99">
        <f t="shared" si="68"/>
        <v>42461</v>
      </c>
      <c r="C259" s="99">
        <v>42551</v>
      </c>
      <c r="D259" s="100">
        <f t="shared" si="69"/>
        <v>91</v>
      </c>
      <c r="E259" s="101">
        <v>3.25</v>
      </c>
      <c r="F259" s="178">
        <f t="shared" si="65"/>
        <v>0</v>
      </c>
      <c r="G259" s="178">
        <f t="shared" si="70"/>
        <v>0</v>
      </c>
      <c r="H259" s="178">
        <f t="shared" si="66"/>
        <v>0</v>
      </c>
      <c r="I259" s="178">
        <f t="shared" si="67"/>
        <v>0</v>
      </c>
    </row>
    <row r="260" spans="1:10" hidden="1" outlineLevel="1" x14ac:dyDescent="0.2">
      <c r="A260" s="98" t="s">
        <v>79</v>
      </c>
      <c r="B260" s="99">
        <f t="shared" si="68"/>
        <v>42552</v>
      </c>
      <c r="C260" s="99">
        <v>42643</v>
      </c>
      <c r="D260" s="100">
        <f t="shared" si="69"/>
        <v>92</v>
      </c>
      <c r="E260" s="101">
        <v>3.25</v>
      </c>
      <c r="F260" s="178">
        <f t="shared" si="65"/>
        <v>0</v>
      </c>
      <c r="G260" s="178">
        <f t="shared" si="70"/>
        <v>0</v>
      </c>
      <c r="H260" s="178">
        <f t="shared" si="66"/>
        <v>0</v>
      </c>
      <c r="I260" s="178">
        <f t="shared" si="67"/>
        <v>0</v>
      </c>
    </row>
    <row r="261" spans="1:10" hidden="1" outlineLevel="1" x14ac:dyDescent="0.2">
      <c r="A261" s="98" t="s">
        <v>80</v>
      </c>
      <c r="B261" s="99">
        <f t="shared" si="68"/>
        <v>42644</v>
      </c>
      <c r="C261" s="99">
        <v>42735</v>
      </c>
      <c r="D261" s="100">
        <f t="shared" si="69"/>
        <v>92</v>
      </c>
      <c r="E261" s="101">
        <v>3.25</v>
      </c>
      <c r="F261" s="178">
        <f t="shared" si="65"/>
        <v>0</v>
      </c>
      <c r="G261" s="178">
        <f t="shared" si="70"/>
        <v>0</v>
      </c>
      <c r="H261" s="178">
        <f t="shared" si="66"/>
        <v>0</v>
      </c>
      <c r="I261" s="178">
        <f t="shared" si="67"/>
        <v>0</v>
      </c>
    </row>
    <row r="262" spans="1:10" hidden="1" outlineLevel="1" x14ac:dyDescent="0.2">
      <c r="A262" s="67" t="s">
        <v>81</v>
      </c>
      <c r="B262" s="83">
        <f t="shared" si="68"/>
        <v>42736</v>
      </c>
      <c r="C262" s="83">
        <v>42825</v>
      </c>
      <c r="D262" s="85">
        <f t="shared" si="69"/>
        <v>90</v>
      </c>
      <c r="E262" s="86">
        <v>3.25</v>
      </c>
      <c r="F262" s="176">
        <f t="shared" si="65"/>
        <v>0</v>
      </c>
      <c r="G262" s="176">
        <f t="shared" si="70"/>
        <v>0</v>
      </c>
      <c r="H262" s="176">
        <f t="shared" si="66"/>
        <v>0</v>
      </c>
      <c r="I262" s="176">
        <f t="shared" si="67"/>
        <v>0</v>
      </c>
    </row>
    <row r="263" spans="1:10" hidden="1" outlineLevel="1" x14ac:dyDescent="0.2">
      <c r="A263" s="67" t="s">
        <v>82</v>
      </c>
      <c r="B263" s="83">
        <f t="shared" si="68"/>
        <v>42826</v>
      </c>
      <c r="C263" s="83">
        <v>42916</v>
      </c>
      <c r="D263" s="85">
        <f t="shared" si="69"/>
        <v>91</v>
      </c>
      <c r="E263" s="86">
        <v>3.25</v>
      </c>
      <c r="F263" s="176">
        <f t="shared" si="65"/>
        <v>0</v>
      </c>
      <c r="G263" s="176">
        <f t="shared" si="70"/>
        <v>0</v>
      </c>
      <c r="H263" s="176">
        <f t="shared" si="66"/>
        <v>0</v>
      </c>
      <c r="I263" s="176">
        <f t="shared" si="67"/>
        <v>0</v>
      </c>
    </row>
    <row r="264" spans="1:10" hidden="1" outlineLevel="1" x14ac:dyDescent="0.2">
      <c r="A264" s="67" t="s">
        <v>83</v>
      </c>
      <c r="B264" s="83">
        <f>C263+1</f>
        <v>42917</v>
      </c>
      <c r="C264" s="83">
        <v>43008</v>
      </c>
      <c r="D264" s="85">
        <f>+C264-B264+1</f>
        <v>92</v>
      </c>
      <c r="E264" s="86">
        <v>3.25</v>
      </c>
      <c r="F264" s="176">
        <f t="shared" si="65"/>
        <v>0</v>
      </c>
      <c r="G264" s="176">
        <f>+D264/366*E264/100*F264</f>
        <v>0</v>
      </c>
      <c r="H264" s="176">
        <f t="shared" si="66"/>
        <v>0</v>
      </c>
      <c r="I264" s="176">
        <f t="shared" si="67"/>
        <v>0</v>
      </c>
    </row>
    <row r="265" spans="1:10" hidden="1" outlineLevel="1" x14ac:dyDescent="0.2">
      <c r="A265" s="67" t="s">
        <v>84</v>
      </c>
      <c r="B265" s="83">
        <f>C264+1</f>
        <v>43009</v>
      </c>
      <c r="C265" s="83">
        <v>43100</v>
      </c>
      <c r="D265" s="85">
        <f>+C265-B265+1</f>
        <v>92</v>
      </c>
      <c r="E265" s="86">
        <v>3.25</v>
      </c>
      <c r="F265" s="176">
        <f t="shared" si="65"/>
        <v>0</v>
      </c>
      <c r="G265" s="176">
        <f>+D265/366*E265/100*F265</f>
        <v>0</v>
      </c>
      <c r="H265" s="176">
        <v>0</v>
      </c>
      <c r="I265" s="176">
        <v>0</v>
      </c>
    </row>
    <row r="266" spans="1:10" collapsed="1" x14ac:dyDescent="0.2">
      <c r="A266" s="8"/>
      <c r="B266" s="92"/>
      <c r="C266" s="92"/>
      <c r="D266" s="93"/>
      <c r="E266" s="94"/>
      <c r="F266" s="96"/>
      <c r="G266" s="96"/>
      <c r="H266" s="96"/>
      <c r="I266" s="95"/>
    </row>
    <row r="267" spans="1:10" x14ac:dyDescent="0.2">
      <c r="A267" s="503" t="s">
        <v>125</v>
      </c>
      <c r="B267" s="504"/>
      <c r="C267" s="504"/>
      <c r="D267" s="504"/>
      <c r="E267" s="504"/>
      <c r="F267" s="504"/>
      <c r="G267" s="504"/>
      <c r="H267" s="504"/>
      <c r="I267" s="504"/>
      <c r="J267" s="505"/>
    </row>
    <row r="268" spans="1:10" hidden="1" outlineLevel="1" x14ac:dyDescent="0.2">
      <c r="A268" s="199" t="s">
        <v>7</v>
      </c>
      <c r="B268" s="199" t="s">
        <v>8</v>
      </c>
      <c r="C268" s="199" t="s">
        <v>9</v>
      </c>
      <c r="D268" s="199" t="s">
        <v>10</v>
      </c>
      <c r="E268" s="199" t="s">
        <v>11</v>
      </c>
      <c r="F268" s="199" t="s">
        <v>12</v>
      </c>
      <c r="G268" s="199" t="s">
        <v>13</v>
      </c>
      <c r="H268" s="199"/>
      <c r="I268" s="199"/>
      <c r="J268" s="199" t="s">
        <v>14</v>
      </c>
    </row>
    <row r="269" spans="1:10" ht="38.25" hidden="1" outlineLevel="1" x14ac:dyDescent="0.2">
      <c r="A269" s="6" t="s">
        <v>15</v>
      </c>
      <c r="B269" s="6" t="s">
        <v>16</v>
      </c>
      <c r="C269" s="6" t="s">
        <v>17</v>
      </c>
      <c r="D269" s="6" t="s">
        <v>18</v>
      </c>
      <c r="E269" s="6" t="s">
        <v>19</v>
      </c>
      <c r="F269" s="6" t="s">
        <v>20</v>
      </c>
      <c r="G269" s="6" t="s">
        <v>49</v>
      </c>
      <c r="H269" s="6" t="s">
        <v>22</v>
      </c>
      <c r="I269" s="6" t="s">
        <v>50</v>
      </c>
      <c r="J269" s="6" t="s">
        <v>21</v>
      </c>
    </row>
    <row r="270" spans="1:10" hidden="1" outlineLevel="1" x14ac:dyDescent="0.2">
      <c r="A270" s="172" t="s">
        <v>46</v>
      </c>
      <c r="B270" s="173">
        <f>B25</f>
        <v>0</v>
      </c>
      <c r="C270" s="173">
        <v>41090</v>
      </c>
      <c r="D270" s="183">
        <f>+C270-B270+1</f>
        <v>41091</v>
      </c>
      <c r="E270" s="175">
        <v>3.25</v>
      </c>
      <c r="F270" s="190">
        <f>E25</f>
        <v>0</v>
      </c>
      <c r="G270" s="188">
        <f>+D270/365*E270/100*F270</f>
        <v>0</v>
      </c>
      <c r="H270" s="190"/>
      <c r="I270" s="190"/>
      <c r="J270" s="189">
        <f>+F270+G270</f>
        <v>0</v>
      </c>
    </row>
    <row r="271" spans="1:10" hidden="1" outlineLevel="1" x14ac:dyDescent="0.2">
      <c r="A271" s="172" t="s">
        <v>47</v>
      </c>
      <c r="B271" s="173">
        <f>C270+1</f>
        <v>41091</v>
      </c>
      <c r="C271" s="173">
        <v>41182</v>
      </c>
      <c r="D271" s="183">
        <f>+C271-B271+1</f>
        <v>92</v>
      </c>
      <c r="E271" s="175">
        <v>3.25</v>
      </c>
      <c r="F271" s="190">
        <f>+J270</f>
        <v>0</v>
      </c>
      <c r="G271" s="190">
        <f>+D271/366*E271/100*F271</f>
        <v>0</v>
      </c>
      <c r="H271" s="190"/>
      <c r="I271" s="190"/>
      <c r="J271" s="189">
        <f>+F271+G271</f>
        <v>0</v>
      </c>
    </row>
    <row r="272" spans="1:10" hidden="1" outlineLevel="1" x14ac:dyDescent="0.2">
      <c r="A272" s="172" t="s">
        <v>33</v>
      </c>
      <c r="B272" s="173">
        <f>C271+1</f>
        <v>41183</v>
      </c>
      <c r="C272" s="173">
        <v>41274</v>
      </c>
      <c r="D272" s="183">
        <f>+C272-B272+1</f>
        <v>92</v>
      </c>
      <c r="E272" s="175">
        <v>3.25</v>
      </c>
      <c r="F272" s="190">
        <f>+J271</f>
        <v>0</v>
      </c>
      <c r="G272" s="190">
        <f>+D272/366*E272/100*F272</f>
        <v>0</v>
      </c>
      <c r="H272" s="190">
        <f>F270/20</f>
        <v>0</v>
      </c>
      <c r="I272" s="190">
        <f>G273/20</f>
        <v>0</v>
      </c>
      <c r="J272" s="189">
        <f>+F272+G272</f>
        <v>0</v>
      </c>
    </row>
    <row r="273" spans="1:10" hidden="1" outlineLevel="1" x14ac:dyDescent="0.2">
      <c r="A273" s="198"/>
      <c r="B273" s="198"/>
      <c r="C273" s="198"/>
      <c r="D273" s="198"/>
      <c r="E273" s="500" t="s">
        <v>51</v>
      </c>
      <c r="F273" s="500"/>
      <c r="G273" s="191">
        <f>SUM(G270:G272)</f>
        <v>0</v>
      </c>
      <c r="H273" s="198"/>
      <c r="I273" s="198"/>
      <c r="J273" s="198"/>
    </row>
    <row r="274" spans="1:10" hidden="1" outlineLevel="1" x14ac:dyDescent="0.2">
      <c r="A274" s="67" t="s">
        <v>60</v>
      </c>
      <c r="B274" s="83">
        <f>C272+1</f>
        <v>41275</v>
      </c>
      <c r="C274" s="83">
        <v>41364</v>
      </c>
      <c r="D274" s="85">
        <f t="shared" ref="D274:D283" si="71">+C274-B274+1</f>
        <v>90</v>
      </c>
      <c r="E274" s="86">
        <v>3.25</v>
      </c>
      <c r="F274" s="176">
        <f>F270-H272</f>
        <v>0</v>
      </c>
      <c r="G274" s="176">
        <f t="shared" ref="G274:G283" si="72">+D274/366*E274/100*F274</f>
        <v>0</v>
      </c>
      <c r="H274" s="176">
        <f>H272</f>
        <v>0</v>
      </c>
      <c r="I274" s="176">
        <f>G273/20</f>
        <v>0</v>
      </c>
    </row>
    <row r="275" spans="1:10" hidden="1" outlineLevel="1" x14ac:dyDescent="0.2">
      <c r="A275" s="67" t="s">
        <v>61</v>
      </c>
      <c r="B275" s="83">
        <f t="shared" ref="B275:B283" si="73">C274+1</f>
        <v>41365</v>
      </c>
      <c r="C275" s="83">
        <v>41455</v>
      </c>
      <c r="D275" s="85">
        <f t="shared" si="71"/>
        <v>91</v>
      </c>
      <c r="E275" s="86">
        <v>3.25</v>
      </c>
      <c r="F275" s="176">
        <f t="shared" ref="F275:F293" si="74">F274-H274</f>
        <v>0</v>
      </c>
      <c r="G275" s="176">
        <f t="shared" si="72"/>
        <v>0</v>
      </c>
      <c r="H275" s="176">
        <f>H274</f>
        <v>0</v>
      </c>
      <c r="I275" s="176">
        <f>I274</f>
        <v>0</v>
      </c>
    </row>
    <row r="276" spans="1:10" hidden="1" outlineLevel="1" x14ac:dyDescent="0.2">
      <c r="A276" s="67" t="s">
        <v>62</v>
      </c>
      <c r="B276" s="83">
        <f t="shared" si="73"/>
        <v>41456</v>
      </c>
      <c r="C276" s="83">
        <v>41547</v>
      </c>
      <c r="D276" s="85">
        <f t="shared" si="71"/>
        <v>92</v>
      </c>
      <c r="E276" s="86">
        <v>3.25</v>
      </c>
      <c r="F276" s="176">
        <f t="shared" si="74"/>
        <v>0</v>
      </c>
      <c r="G276" s="176">
        <f t="shared" si="72"/>
        <v>0</v>
      </c>
      <c r="H276" s="176">
        <f t="shared" ref="H276:H292" si="75">H275</f>
        <v>0</v>
      </c>
      <c r="I276" s="176">
        <f t="shared" ref="I276:I292" si="76">I275</f>
        <v>0</v>
      </c>
    </row>
    <row r="277" spans="1:10" hidden="1" outlineLevel="1" x14ac:dyDescent="0.2">
      <c r="A277" s="67" t="s">
        <v>63</v>
      </c>
      <c r="B277" s="83">
        <f t="shared" si="73"/>
        <v>41548</v>
      </c>
      <c r="C277" s="83">
        <v>41639</v>
      </c>
      <c r="D277" s="85">
        <f t="shared" si="71"/>
        <v>92</v>
      </c>
      <c r="E277" s="86">
        <v>3.25</v>
      </c>
      <c r="F277" s="176">
        <f t="shared" si="74"/>
        <v>0</v>
      </c>
      <c r="G277" s="176">
        <f t="shared" si="72"/>
        <v>0</v>
      </c>
      <c r="H277" s="176">
        <f t="shared" si="75"/>
        <v>0</v>
      </c>
      <c r="I277" s="176">
        <f t="shared" si="76"/>
        <v>0</v>
      </c>
    </row>
    <row r="278" spans="1:10" hidden="1" outlineLevel="1" x14ac:dyDescent="0.2">
      <c r="A278" s="98" t="s">
        <v>65</v>
      </c>
      <c r="B278" s="99">
        <f t="shared" si="73"/>
        <v>41640</v>
      </c>
      <c r="C278" s="99">
        <v>41729</v>
      </c>
      <c r="D278" s="100">
        <f t="shared" si="71"/>
        <v>90</v>
      </c>
      <c r="E278" s="101">
        <v>3.25</v>
      </c>
      <c r="F278" s="178">
        <f t="shared" si="74"/>
        <v>0</v>
      </c>
      <c r="G278" s="178">
        <f t="shared" si="72"/>
        <v>0</v>
      </c>
      <c r="H278" s="178">
        <f t="shared" si="75"/>
        <v>0</v>
      </c>
      <c r="I278" s="178">
        <f t="shared" si="76"/>
        <v>0</v>
      </c>
    </row>
    <row r="279" spans="1:10" hidden="1" outlineLevel="1" x14ac:dyDescent="0.2">
      <c r="A279" s="98" t="s">
        <v>66</v>
      </c>
      <c r="B279" s="99">
        <f t="shared" si="73"/>
        <v>41730</v>
      </c>
      <c r="C279" s="99">
        <v>41820</v>
      </c>
      <c r="D279" s="100">
        <f t="shared" si="71"/>
        <v>91</v>
      </c>
      <c r="E279" s="101">
        <v>3.25</v>
      </c>
      <c r="F279" s="178">
        <f t="shared" si="74"/>
        <v>0</v>
      </c>
      <c r="G279" s="178">
        <f t="shared" si="72"/>
        <v>0</v>
      </c>
      <c r="H279" s="178">
        <f t="shared" si="75"/>
        <v>0</v>
      </c>
      <c r="I279" s="178">
        <f t="shared" si="76"/>
        <v>0</v>
      </c>
    </row>
    <row r="280" spans="1:10" hidden="1" outlineLevel="1" x14ac:dyDescent="0.2">
      <c r="A280" s="98" t="s">
        <v>67</v>
      </c>
      <c r="B280" s="99">
        <f t="shared" si="73"/>
        <v>41821</v>
      </c>
      <c r="C280" s="99">
        <v>41912</v>
      </c>
      <c r="D280" s="100">
        <f t="shared" si="71"/>
        <v>92</v>
      </c>
      <c r="E280" s="101">
        <v>3.25</v>
      </c>
      <c r="F280" s="178">
        <f t="shared" si="74"/>
        <v>0</v>
      </c>
      <c r="G280" s="178">
        <f t="shared" si="72"/>
        <v>0</v>
      </c>
      <c r="H280" s="178">
        <f t="shared" si="75"/>
        <v>0</v>
      </c>
      <c r="I280" s="178">
        <f t="shared" si="76"/>
        <v>0</v>
      </c>
    </row>
    <row r="281" spans="1:10" hidden="1" outlineLevel="1" x14ac:dyDescent="0.2">
      <c r="A281" s="98" t="s">
        <v>68</v>
      </c>
      <c r="B281" s="99">
        <f t="shared" si="73"/>
        <v>41913</v>
      </c>
      <c r="C281" s="99">
        <v>42004</v>
      </c>
      <c r="D281" s="100">
        <f t="shared" si="71"/>
        <v>92</v>
      </c>
      <c r="E281" s="101">
        <v>3.25</v>
      </c>
      <c r="F281" s="178">
        <f t="shared" si="74"/>
        <v>0</v>
      </c>
      <c r="G281" s="178">
        <f t="shared" si="72"/>
        <v>0</v>
      </c>
      <c r="H281" s="178">
        <f t="shared" si="75"/>
        <v>0</v>
      </c>
      <c r="I281" s="178">
        <f t="shared" si="76"/>
        <v>0</v>
      </c>
    </row>
    <row r="282" spans="1:10" hidden="1" outlineLevel="1" x14ac:dyDescent="0.2">
      <c r="A282" s="67" t="s">
        <v>69</v>
      </c>
      <c r="B282" s="83">
        <f t="shared" si="73"/>
        <v>42005</v>
      </c>
      <c r="C282" s="83">
        <v>42094</v>
      </c>
      <c r="D282" s="85">
        <f t="shared" si="71"/>
        <v>90</v>
      </c>
      <c r="E282" s="86">
        <v>3.25</v>
      </c>
      <c r="F282" s="176">
        <f t="shared" si="74"/>
        <v>0</v>
      </c>
      <c r="G282" s="176">
        <f t="shared" si="72"/>
        <v>0</v>
      </c>
      <c r="H282" s="176">
        <f t="shared" si="75"/>
        <v>0</v>
      </c>
      <c r="I282" s="176">
        <f t="shared" si="76"/>
        <v>0</v>
      </c>
    </row>
    <row r="283" spans="1:10" hidden="1" outlineLevel="1" x14ac:dyDescent="0.2">
      <c r="A283" s="67" t="s">
        <v>70</v>
      </c>
      <c r="B283" s="83">
        <f t="shared" si="73"/>
        <v>42095</v>
      </c>
      <c r="C283" s="83">
        <v>42185</v>
      </c>
      <c r="D283" s="85">
        <f t="shared" si="71"/>
        <v>91</v>
      </c>
      <c r="E283" s="86">
        <v>3.25</v>
      </c>
      <c r="F283" s="176">
        <f t="shared" si="74"/>
        <v>0</v>
      </c>
      <c r="G283" s="176">
        <f t="shared" si="72"/>
        <v>0</v>
      </c>
      <c r="H283" s="176">
        <f t="shared" si="75"/>
        <v>0</v>
      </c>
      <c r="I283" s="176">
        <f t="shared" si="76"/>
        <v>0</v>
      </c>
    </row>
    <row r="284" spans="1:10" hidden="1" outlineLevel="1" x14ac:dyDescent="0.2">
      <c r="A284" s="67" t="s">
        <v>71</v>
      </c>
      <c r="B284" s="83">
        <f>C283+1</f>
        <v>42186</v>
      </c>
      <c r="C284" s="83">
        <v>42277</v>
      </c>
      <c r="D284" s="85">
        <f>+C284-B284+1</f>
        <v>92</v>
      </c>
      <c r="E284" s="86">
        <v>3.25</v>
      </c>
      <c r="F284" s="176">
        <f t="shared" si="74"/>
        <v>0</v>
      </c>
      <c r="G284" s="176">
        <f>+D284/366*E284/100*F284</f>
        <v>0</v>
      </c>
      <c r="H284" s="176">
        <f t="shared" si="75"/>
        <v>0</v>
      </c>
      <c r="I284" s="176">
        <f t="shared" si="76"/>
        <v>0</v>
      </c>
    </row>
    <row r="285" spans="1:10" hidden="1" outlineLevel="1" x14ac:dyDescent="0.2">
      <c r="A285" s="67" t="s">
        <v>72</v>
      </c>
      <c r="B285" s="83">
        <f t="shared" ref="B285:B291" si="77">C284+1</f>
        <v>42278</v>
      </c>
      <c r="C285" s="83">
        <v>42369</v>
      </c>
      <c r="D285" s="85">
        <f t="shared" ref="D285:D291" si="78">+C285-B285+1</f>
        <v>92</v>
      </c>
      <c r="E285" s="86">
        <v>3.25</v>
      </c>
      <c r="F285" s="176">
        <f t="shared" si="74"/>
        <v>0</v>
      </c>
      <c r="G285" s="176">
        <f>+D285/366*E285/100*F285</f>
        <v>0</v>
      </c>
      <c r="H285" s="176">
        <f t="shared" si="75"/>
        <v>0</v>
      </c>
      <c r="I285" s="176">
        <f t="shared" si="76"/>
        <v>0</v>
      </c>
    </row>
    <row r="286" spans="1:10" hidden="1" outlineLevel="1" x14ac:dyDescent="0.2">
      <c r="A286" s="98" t="s">
        <v>77</v>
      </c>
      <c r="B286" s="99">
        <f t="shared" si="77"/>
        <v>42370</v>
      </c>
      <c r="C286" s="99">
        <v>42460</v>
      </c>
      <c r="D286" s="100">
        <f t="shared" si="78"/>
        <v>91</v>
      </c>
      <c r="E286" s="101">
        <v>3.25</v>
      </c>
      <c r="F286" s="178">
        <f t="shared" si="74"/>
        <v>0</v>
      </c>
      <c r="G286" s="178">
        <f t="shared" ref="G286:G291" si="79">+D286/366*E286/100*F286</f>
        <v>0</v>
      </c>
      <c r="H286" s="178">
        <f t="shared" si="75"/>
        <v>0</v>
      </c>
      <c r="I286" s="178">
        <f t="shared" si="76"/>
        <v>0</v>
      </c>
    </row>
    <row r="287" spans="1:10" hidden="1" outlineLevel="1" x14ac:dyDescent="0.2">
      <c r="A287" s="98" t="s">
        <v>78</v>
      </c>
      <c r="B287" s="99">
        <f t="shared" si="77"/>
        <v>42461</v>
      </c>
      <c r="C287" s="99">
        <v>42551</v>
      </c>
      <c r="D287" s="100">
        <f t="shared" si="78"/>
        <v>91</v>
      </c>
      <c r="E287" s="101">
        <v>3.25</v>
      </c>
      <c r="F287" s="178">
        <f t="shared" si="74"/>
        <v>0</v>
      </c>
      <c r="G287" s="178">
        <f t="shared" si="79"/>
        <v>0</v>
      </c>
      <c r="H287" s="178">
        <f t="shared" si="75"/>
        <v>0</v>
      </c>
      <c r="I287" s="178">
        <f t="shared" si="76"/>
        <v>0</v>
      </c>
    </row>
    <row r="288" spans="1:10" hidden="1" outlineLevel="1" x14ac:dyDescent="0.2">
      <c r="A288" s="98" t="s">
        <v>79</v>
      </c>
      <c r="B288" s="99">
        <f t="shared" si="77"/>
        <v>42552</v>
      </c>
      <c r="C288" s="99">
        <v>42643</v>
      </c>
      <c r="D288" s="100">
        <f t="shared" si="78"/>
        <v>92</v>
      </c>
      <c r="E288" s="101">
        <v>3.25</v>
      </c>
      <c r="F288" s="178">
        <f t="shared" si="74"/>
        <v>0</v>
      </c>
      <c r="G288" s="178">
        <f t="shared" si="79"/>
        <v>0</v>
      </c>
      <c r="H288" s="178">
        <f t="shared" si="75"/>
        <v>0</v>
      </c>
      <c r="I288" s="178">
        <f t="shared" si="76"/>
        <v>0</v>
      </c>
    </row>
    <row r="289" spans="1:10" hidden="1" outlineLevel="1" x14ac:dyDescent="0.2">
      <c r="A289" s="98" t="s">
        <v>80</v>
      </c>
      <c r="B289" s="99">
        <f t="shared" si="77"/>
        <v>42644</v>
      </c>
      <c r="C289" s="99">
        <v>42735</v>
      </c>
      <c r="D289" s="100">
        <f t="shared" si="78"/>
        <v>92</v>
      </c>
      <c r="E289" s="101">
        <v>3.25</v>
      </c>
      <c r="F289" s="178">
        <f t="shared" si="74"/>
        <v>0</v>
      </c>
      <c r="G289" s="178">
        <f t="shared" si="79"/>
        <v>0</v>
      </c>
      <c r="H289" s="178">
        <f t="shared" si="75"/>
        <v>0</v>
      </c>
      <c r="I289" s="178">
        <f t="shared" si="76"/>
        <v>0</v>
      </c>
    </row>
    <row r="290" spans="1:10" hidden="1" outlineLevel="1" x14ac:dyDescent="0.2">
      <c r="A290" s="67" t="s">
        <v>81</v>
      </c>
      <c r="B290" s="83">
        <f t="shared" si="77"/>
        <v>42736</v>
      </c>
      <c r="C290" s="83">
        <v>42825</v>
      </c>
      <c r="D290" s="85">
        <f t="shared" si="78"/>
        <v>90</v>
      </c>
      <c r="E290" s="86">
        <v>3.25</v>
      </c>
      <c r="F290" s="176">
        <f t="shared" si="74"/>
        <v>0</v>
      </c>
      <c r="G290" s="176">
        <f t="shared" si="79"/>
        <v>0</v>
      </c>
      <c r="H290" s="176">
        <f t="shared" si="75"/>
        <v>0</v>
      </c>
      <c r="I290" s="176">
        <f t="shared" si="76"/>
        <v>0</v>
      </c>
    </row>
    <row r="291" spans="1:10" hidden="1" outlineLevel="1" x14ac:dyDescent="0.2">
      <c r="A291" s="67" t="s">
        <v>82</v>
      </c>
      <c r="B291" s="83">
        <f t="shared" si="77"/>
        <v>42826</v>
      </c>
      <c r="C291" s="83">
        <v>42916</v>
      </c>
      <c r="D291" s="85">
        <f t="shared" si="78"/>
        <v>91</v>
      </c>
      <c r="E291" s="86">
        <v>3.25</v>
      </c>
      <c r="F291" s="176">
        <f t="shared" si="74"/>
        <v>0</v>
      </c>
      <c r="G291" s="176">
        <f t="shared" si="79"/>
        <v>0</v>
      </c>
      <c r="H291" s="176">
        <f t="shared" si="75"/>
        <v>0</v>
      </c>
      <c r="I291" s="176">
        <f t="shared" si="76"/>
        <v>0</v>
      </c>
    </row>
    <row r="292" spans="1:10" hidden="1" outlineLevel="1" x14ac:dyDescent="0.2">
      <c r="A292" s="67" t="s">
        <v>83</v>
      </c>
      <c r="B292" s="83">
        <f>C291+1</f>
        <v>42917</v>
      </c>
      <c r="C292" s="83">
        <v>43008</v>
      </c>
      <c r="D292" s="85">
        <f>+C292-B292+1</f>
        <v>92</v>
      </c>
      <c r="E292" s="86">
        <v>3.25</v>
      </c>
      <c r="F292" s="176">
        <f t="shared" si="74"/>
        <v>0</v>
      </c>
      <c r="G292" s="176">
        <f>+D292/366*E292/100*F292</f>
        <v>0</v>
      </c>
      <c r="H292" s="176">
        <f t="shared" si="75"/>
        <v>0</v>
      </c>
      <c r="I292" s="176">
        <f t="shared" si="76"/>
        <v>0</v>
      </c>
    </row>
    <row r="293" spans="1:10" hidden="1" outlineLevel="1" x14ac:dyDescent="0.2">
      <c r="A293" s="67" t="s">
        <v>84</v>
      </c>
      <c r="B293" s="83">
        <f>C292+1</f>
        <v>43009</v>
      </c>
      <c r="C293" s="83">
        <v>43100</v>
      </c>
      <c r="D293" s="85">
        <f>+C293-B293+1</f>
        <v>92</v>
      </c>
      <c r="E293" s="86">
        <v>3.25</v>
      </c>
      <c r="F293" s="176">
        <f t="shared" si="74"/>
        <v>0</v>
      </c>
      <c r="G293" s="176">
        <f>+D293/366*E293/100*F293</f>
        <v>0</v>
      </c>
      <c r="H293" s="176">
        <v>0</v>
      </c>
      <c r="I293" s="176">
        <v>0</v>
      </c>
    </row>
    <row r="294" spans="1:10" collapsed="1" x14ac:dyDescent="0.2">
      <c r="A294" s="8"/>
      <c r="B294" s="92"/>
      <c r="C294" s="92"/>
      <c r="D294" s="93"/>
      <c r="E294" s="94"/>
      <c r="F294" s="96"/>
      <c r="G294" s="96"/>
      <c r="H294" s="96"/>
      <c r="I294" s="95"/>
    </row>
    <row r="295" spans="1:10" x14ac:dyDescent="0.2">
      <c r="A295" s="503" t="s">
        <v>126</v>
      </c>
      <c r="B295" s="504"/>
      <c r="C295" s="504"/>
      <c r="D295" s="504"/>
      <c r="E295" s="504"/>
      <c r="F295" s="504"/>
      <c r="G295" s="504"/>
      <c r="H295" s="504"/>
      <c r="I295" s="504"/>
      <c r="J295" s="505"/>
    </row>
    <row r="296" spans="1:10" hidden="1" outlineLevel="1" x14ac:dyDescent="0.2">
      <c r="A296" s="199" t="s">
        <v>7</v>
      </c>
      <c r="B296" s="199" t="s">
        <v>8</v>
      </c>
      <c r="C296" s="199" t="s">
        <v>9</v>
      </c>
      <c r="D296" s="199" t="s">
        <v>10</v>
      </c>
      <c r="E296" s="199" t="s">
        <v>11</v>
      </c>
      <c r="F296" s="199" t="s">
        <v>12</v>
      </c>
      <c r="G296" s="199" t="s">
        <v>13</v>
      </c>
      <c r="H296" s="199"/>
      <c r="I296" s="199"/>
      <c r="J296" s="199" t="s">
        <v>14</v>
      </c>
    </row>
    <row r="297" spans="1:10" ht="38.25" hidden="1" outlineLevel="1" x14ac:dyDescent="0.2">
      <c r="A297" s="6" t="s">
        <v>15</v>
      </c>
      <c r="B297" s="6" t="s">
        <v>16</v>
      </c>
      <c r="C297" s="6" t="s">
        <v>17</v>
      </c>
      <c r="D297" s="6" t="s">
        <v>18</v>
      </c>
      <c r="E297" s="6" t="s">
        <v>19</v>
      </c>
      <c r="F297" s="6" t="s">
        <v>20</v>
      </c>
      <c r="G297" s="6" t="s">
        <v>49</v>
      </c>
      <c r="H297" s="6" t="s">
        <v>22</v>
      </c>
      <c r="I297" s="6" t="s">
        <v>50</v>
      </c>
      <c r="J297" s="6" t="s">
        <v>21</v>
      </c>
    </row>
    <row r="298" spans="1:10" hidden="1" outlineLevel="1" x14ac:dyDescent="0.2">
      <c r="A298" s="172" t="s">
        <v>46</v>
      </c>
      <c r="B298" s="173">
        <f>B26</f>
        <v>0</v>
      </c>
      <c r="C298" s="173">
        <v>41090</v>
      </c>
      <c r="D298" s="183">
        <f>+C298-B298+1</f>
        <v>41091</v>
      </c>
      <c r="E298" s="175">
        <v>3.25</v>
      </c>
      <c r="F298" s="190">
        <f>E26</f>
        <v>0</v>
      </c>
      <c r="G298" s="188">
        <f>+D298/365*E298/100*F298</f>
        <v>0</v>
      </c>
      <c r="H298" s="190"/>
      <c r="I298" s="190"/>
      <c r="J298" s="189">
        <f>+F298+G298</f>
        <v>0</v>
      </c>
    </row>
    <row r="299" spans="1:10" hidden="1" outlineLevel="1" x14ac:dyDescent="0.2">
      <c r="A299" s="172" t="s">
        <v>47</v>
      </c>
      <c r="B299" s="173">
        <f>C298+1</f>
        <v>41091</v>
      </c>
      <c r="C299" s="173">
        <v>41182</v>
      </c>
      <c r="D299" s="183">
        <f>+C299-B299+1</f>
        <v>92</v>
      </c>
      <c r="E299" s="175">
        <v>3.25</v>
      </c>
      <c r="F299" s="190">
        <f>+J298</f>
        <v>0</v>
      </c>
      <c r="G299" s="190">
        <f>+D299/366*E299/100*F299</f>
        <v>0</v>
      </c>
      <c r="H299" s="190"/>
      <c r="I299" s="190"/>
      <c r="J299" s="189">
        <f>+F299+G299</f>
        <v>0</v>
      </c>
    </row>
    <row r="300" spans="1:10" hidden="1" outlineLevel="1" x14ac:dyDescent="0.2">
      <c r="A300" s="172" t="s">
        <v>33</v>
      </c>
      <c r="B300" s="173">
        <f>C299+1</f>
        <v>41183</v>
      </c>
      <c r="C300" s="173">
        <v>41274</v>
      </c>
      <c r="D300" s="183">
        <f>+C300-B300+1</f>
        <v>92</v>
      </c>
      <c r="E300" s="175">
        <v>3.25</v>
      </c>
      <c r="F300" s="190">
        <f>+J299</f>
        <v>0</v>
      </c>
      <c r="G300" s="190">
        <f>+D300/366*E300/100*F300</f>
        <v>0</v>
      </c>
      <c r="H300" s="190">
        <f>F298/20</f>
        <v>0</v>
      </c>
      <c r="I300" s="190">
        <f>G301/20</f>
        <v>0</v>
      </c>
      <c r="J300" s="189">
        <f>+F300+G300</f>
        <v>0</v>
      </c>
    </row>
    <row r="301" spans="1:10" hidden="1" outlineLevel="1" x14ac:dyDescent="0.2">
      <c r="A301" s="198"/>
      <c r="B301" s="198"/>
      <c r="C301" s="198"/>
      <c r="D301" s="198"/>
      <c r="E301" s="500" t="s">
        <v>51</v>
      </c>
      <c r="F301" s="500"/>
      <c r="G301" s="191">
        <f>SUM(G298:G300)</f>
        <v>0</v>
      </c>
      <c r="H301" s="198"/>
      <c r="I301" s="198"/>
      <c r="J301" s="198"/>
    </row>
    <row r="302" spans="1:10" hidden="1" outlineLevel="1" x14ac:dyDescent="0.2">
      <c r="A302" s="67" t="s">
        <v>60</v>
      </c>
      <c r="B302" s="83">
        <f>C300+1</f>
        <v>41275</v>
      </c>
      <c r="C302" s="83">
        <v>41364</v>
      </c>
      <c r="D302" s="85">
        <f t="shared" ref="D302:D311" si="80">+C302-B302+1</f>
        <v>90</v>
      </c>
      <c r="E302" s="86">
        <v>3.25</v>
      </c>
      <c r="F302" s="176">
        <f>F298-H300</f>
        <v>0</v>
      </c>
      <c r="G302" s="176">
        <f t="shared" ref="G302:G311" si="81">+D302/366*E302/100*F302</f>
        <v>0</v>
      </c>
      <c r="H302" s="176">
        <f>H300</f>
        <v>0</v>
      </c>
      <c r="I302" s="176">
        <f>G301/20</f>
        <v>0</v>
      </c>
    </row>
    <row r="303" spans="1:10" hidden="1" outlineLevel="1" x14ac:dyDescent="0.2">
      <c r="A303" s="67" t="s">
        <v>61</v>
      </c>
      <c r="B303" s="83">
        <f t="shared" ref="B303:B311" si="82">C302+1</f>
        <v>41365</v>
      </c>
      <c r="C303" s="83">
        <v>41455</v>
      </c>
      <c r="D303" s="85">
        <f t="shared" si="80"/>
        <v>91</v>
      </c>
      <c r="E303" s="86">
        <v>3.25</v>
      </c>
      <c r="F303" s="176">
        <f t="shared" ref="F303:F321" si="83">F302-H302</f>
        <v>0</v>
      </c>
      <c r="G303" s="176">
        <f t="shared" si="81"/>
        <v>0</v>
      </c>
      <c r="H303" s="176">
        <f>H302</f>
        <v>0</v>
      </c>
      <c r="I303" s="176">
        <f>I302</f>
        <v>0</v>
      </c>
    </row>
    <row r="304" spans="1:10" hidden="1" outlineLevel="1" x14ac:dyDescent="0.2">
      <c r="A304" s="67" t="s">
        <v>62</v>
      </c>
      <c r="B304" s="83">
        <f t="shared" si="82"/>
        <v>41456</v>
      </c>
      <c r="C304" s="83">
        <v>41547</v>
      </c>
      <c r="D304" s="85">
        <f t="shared" si="80"/>
        <v>92</v>
      </c>
      <c r="E304" s="86">
        <v>3.25</v>
      </c>
      <c r="F304" s="176">
        <f t="shared" si="83"/>
        <v>0</v>
      </c>
      <c r="G304" s="176">
        <f t="shared" si="81"/>
        <v>0</v>
      </c>
      <c r="H304" s="176">
        <f t="shared" ref="H304:H320" si="84">H303</f>
        <v>0</v>
      </c>
      <c r="I304" s="176">
        <f t="shared" ref="I304:I320" si="85">I303</f>
        <v>0</v>
      </c>
    </row>
    <row r="305" spans="1:9" hidden="1" outlineLevel="1" x14ac:dyDescent="0.2">
      <c r="A305" s="67" t="s">
        <v>63</v>
      </c>
      <c r="B305" s="83">
        <f t="shared" si="82"/>
        <v>41548</v>
      </c>
      <c r="C305" s="83">
        <v>41639</v>
      </c>
      <c r="D305" s="85">
        <f t="shared" si="80"/>
        <v>92</v>
      </c>
      <c r="E305" s="86">
        <v>3.25</v>
      </c>
      <c r="F305" s="176">
        <f t="shared" si="83"/>
        <v>0</v>
      </c>
      <c r="G305" s="176">
        <f t="shared" si="81"/>
        <v>0</v>
      </c>
      <c r="H305" s="176">
        <f t="shared" si="84"/>
        <v>0</v>
      </c>
      <c r="I305" s="176">
        <f t="shared" si="85"/>
        <v>0</v>
      </c>
    </row>
    <row r="306" spans="1:9" hidden="1" outlineLevel="1" x14ac:dyDescent="0.2">
      <c r="A306" s="98" t="s">
        <v>65</v>
      </c>
      <c r="B306" s="99">
        <f t="shared" si="82"/>
        <v>41640</v>
      </c>
      <c r="C306" s="99">
        <v>41729</v>
      </c>
      <c r="D306" s="100">
        <f t="shared" si="80"/>
        <v>90</v>
      </c>
      <c r="E306" s="101">
        <v>3.25</v>
      </c>
      <c r="F306" s="178">
        <f t="shared" si="83"/>
        <v>0</v>
      </c>
      <c r="G306" s="178">
        <f t="shared" si="81"/>
        <v>0</v>
      </c>
      <c r="H306" s="178">
        <f t="shared" si="84"/>
        <v>0</v>
      </c>
      <c r="I306" s="178">
        <f t="shared" si="85"/>
        <v>0</v>
      </c>
    </row>
    <row r="307" spans="1:9" hidden="1" outlineLevel="1" x14ac:dyDescent="0.2">
      <c r="A307" s="98" t="s">
        <v>66</v>
      </c>
      <c r="B307" s="99">
        <f t="shared" si="82"/>
        <v>41730</v>
      </c>
      <c r="C307" s="99">
        <v>41820</v>
      </c>
      <c r="D307" s="100">
        <f t="shared" si="80"/>
        <v>91</v>
      </c>
      <c r="E307" s="101">
        <v>3.25</v>
      </c>
      <c r="F307" s="178">
        <f t="shared" si="83"/>
        <v>0</v>
      </c>
      <c r="G307" s="178">
        <f t="shared" si="81"/>
        <v>0</v>
      </c>
      <c r="H307" s="178">
        <f t="shared" si="84"/>
        <v>0</v>
      </c>
      <c r="I307" s="178">
        <f t="shared" si="85"/>
        <v>0</v>
      </c>
    </row>
    <row r="308" spans="1:9" hidden="1" outlineLevel="1" x14ac:dyDescent="0.2">
      <c r="A308" s="98" t="s">
        <v>67</v>
      </c>
      <c r="B308" s="99">
        <f t="shared" si="82"/>
        <v>41821</v>
      </c>
      <c r="C308" s="99">
        <v>41912</v>
      </c>
      <c r="D308" s="100">
        <f t="shared" si="80"/>
        <v>92</v>
      </c>
      <c r="E308" s="101">
        <v>3.25</v>
      </c>
      <c r="F308" s="178">
        <f t="shared" si="83"/>
        <v>0</v>
      </c>
      <c r="G308" s="178">
        <f t="shared" si="81"/>
        <v>0</v>
      </c>
      <c r="H308" s="178">
        <f t="shared" si="84"/>
        <v>0</v>
      </c>
      <c r="I308" s="178">
        <f t="shared" si="85"/>
        <v>0</v>
      </c>
    </row>
    <row r="309" spans="1:9" hidden="1" outlineLevel="1" x14ac:dyDescent="0.2">
      <c r="A309" s="98" t="s">
        <v>68</v>
      </c>
      <c r="B309" s="99">
        <f t="shared" si="82"/>
        <v>41913</v>
      </c>
      <c r="C309" s="99">
        <v>42004</v>
      </c>
      <c r="D309" s="100">
        <f t="shared" si="80"/>
        <v>92</v>
      </c>
      <c r="E309" s="101">
        <v>3.25</v>
      </c>
      <c r="F309" s="178">
        <f t="shared" si="83"/>
        <v>0</v>
      </c>
      <c r="G309" s="178">
        <f t="shared" si="81"/>
        <v>0</v>
      </c>
      <c r="H309" s="178">
        <f t="shared" si="84"/>
        <v>0</v>
      </c>
      <c r="I309" s="178">
        <f t="shared" si="85"/>
        <v>0</v>
      </c>
    </row>
    <row r="310" spans="1:9" hidden="1" outlineLevel="1" x14ac:dyDescent="0.2">
      <c r="A310" s="67" t="s">
        <v>69</v>
      </c>
      <c r="B310" s="83">
        <f t="shared" si="82"/>
        <v>42005</v>
      </c>
      <c r="C310" s="83">
        <v>42094</v>
      </c>
      <c r="D310" s="85">
        <f t="shared" si="80"/>
        <v>90</v>
      </c>
      <c r="E310" s="86">
        <v>3.25</v>
      </c>
      <c r="F310" s="176">
        <f t="shared" si="83"/>
        <v>0</v>
      </c>
      <c r="G310" s="176">
        <f t="shared" si="81"/>
        <v>0</v>
      </c>
      <c r="H310" s="176">
        <f t="shared" si="84"/>
        <v>0</v>
      </c>
      <c r="I310" s="176">
        <f t="shared" si="85"/>
        <v>0</v>
      </c>
    </row>
    <row r="311" spans="1:9" hidden="1" outlineLevel="1" x14ac:dyDescent="0.2">
      <c r="A311" s="67" t="s">
        <v>70</v>
      </c>
      <c r="B311" s="83">
        <f t="shared" si="82"/>
        <v>42095</v>
      </c>
      <c r="C311" s="83">
        <v>42185</v>
      </c>
      <c r="D311" s="85">
        <f t="shared" si="80"/>
        <v>91</v>
      </c>
      <c r="E311" s="86">
        <v>3.25</v>
      </c>
      <c r="F311" s="176">
        <f t="shared" si="83"/>
        <v>0</v>
      </c>
      <c r="G311" s="176">
        <f t="shared" si="81"/>
        <v>0</v>
      </c>
      <c r="H311" s="176">
        <f t="shared" si="84"/>
        <v>0</v>
      </c>
      <c r="I311" s="176">
        <f t="shared" si="85"/>
        <v>0</v>
      </c>
    </row>
    <row r="312" spans="1:9" hidden="1" outlineLevel="1" x14ac:dyDescent="0.2">
      <c r="A312" s="67" t="s">
        <v>71</v>
      </c>
      <c r="B312" s="83">
        <f>C311+1</f>
        <v>42186</v>
      </c>
      <c r="C312" s="83">
        <v>42277</v>
      </c>
      <c r="D312" s="85">
        <f>+C312-B312+1</f>
        <v>92</v>
      </c>
      <c r="E312" s="86">
        <v>3.25</v>
      </c>
      <c r="F312" s="176">
        <f t="shared" si="83"/>
        <v>0</v>
      </c>
      <c r="G312" s="176">
        <f>+D312/366*E312/100*F312</f>
        <v>0</v>
      </c>
      <c r="H312" s="176">
        <f t="shared" si="84"/>
        <v>0</v>
      </c>
      <c r="I312" s="176">
        <f t="shared" si="85"/>
        <v>0</v>
      </c>
    </row>
    <row r="313" spans="1:9" hidden="1" outlineLevel="1" x14ac:dyDescent="0.2">
      <c r="A313" s="67" t="s">
        <v>72</v>
      </c>
      <c r="B313" s="83">
        <f t="shared" ref="B313:B319" si="86">C312+1</f>
        <v>42278</v>
      </c>
      <c r="C313" s="83">
        <v>42369</v>
      </c>
      <c r="D313" s="85">
        <f t="shared" ref="D313:D319" si="87">+C313-B313+1</f>
        <v>92</v>
      </c>
      <c r="E313" s="86">
        <v>3.25</v>
      </c>
      <c r="F313" s="176">
        <f t="shared" si="83"/>
        <v>0</v>
      </c>
      <c r="G313" s="176">
        <f>+D313/366*E313/100*F313</f>
        <v>0</v>
      </c>
      <c r="H313" s="176">
        <f t="shared" si="84"/>
        <v>0</v>
      </c>
      <c r="I313" s="176">
        <f t="shared" si="85"/>
        <v>0</v>
      </c>
    </row>
    <row r="314" spans="1:9" hidden="1" outlineLevel="1" x14ac:dyDescent="0.2">
      <c r="A314" s="98" t="s">
        <v>77</v>
      </c>
      <c r="B314" s="99">
        <f t="shared" si="86"/>
        <v>42370</v>
      </c>
      <c r="C314" s="99">
        <v>42460</v>
      </c>
      <c r="D314" s="100">
        <f t="shared" si="87"/>
        <v>91</v>
      </c>
      <c r="E314" s="101">
        <v>3.25</v>
      </c>
      <c r="F314" s="178">
        <f t="shared" si="83"/>
        <v>0</v>
      </c>
      <c r="G314" s="178">
        <f t="shared" ref="G314:G319" si="88">+D314/366*E314/100*F314</f>
        <v>0</v>
      </c>
      <c r="H314" s="178">
        <f t="shared" si="84"/>
        <v>0</v>
      </c>
      <c r="I314" s="178">
        <f t="shared" si="85"/>
        <v>0</v>
      </c>
    </row>
    <row r="315" spans="1:9" hidden="1" outlineLevel="1" x14ac:dyDescent="0.2">
      <c r="A315" s="98" t="s">
        <v>78</v>
      </c>
      <c r="B315" s="99">
        <f t="shared" si="86"/>
        <v>42461</v>
      </c>
      <c r="C315" s="99">
        <v>42551</v>
      </c>
      <c r="D315" s="100">
        <f t="shared" si="87"/>
        <v>91</v>
      </c>
      <c r="E315" s="101">
        <v>3.25</v>
      </c>
      <c r="F315" s="178">
        <f t="shared" si="83"/>
        <v>0</v>
      </c>
      <c r="G315" s="178">
        <f t="shared" si="88"/>
        <v>0</v>
      </c>
      <c r="H315" s="178">
        <f t="shared" si="84"/>
        <v>0</v>
      </c>
      <c r="I315" s="178">
        <f t="shared" si="85"/>
        <v>0</v>
      </c>
    </row>
    <row r="316" spans="1:9" hidden="1" outlineLevel="1" x14ac:dyDescent="0.2">
      <c r="A316" s="98" t="s">
        <v>79</v>
      </c>
      <c r="B316" s="99">
        <f t="shared" si="86"/>
        <v>42552</v>
      </c>
      <c r="C316" s="99">
        <v>42643</v>
      </c>
      <c r="D316" s="100">
        <f t="shared" si="87"/>
        <v>92</v>
      </c>
      <c r="E316" s="101">
        <v>3.25</v>
      </c>
      <c r="F316" s="178">
        <f t="shared" si="83"/>
        <v>0</v>
      </c>
      <c r="G316" s="178">
        <f t="shared" si="88"/>
        <v>0</v>
      </c>
      <c r="H316" s="178">
        <f t="shared" si="84"/>
        <v>0</v>
      </c>
      <c r="I316" s="178">
        <f t="shared" si="85"/>
        <v>0</v>
      </c>
    </row>
    <row r="317" spans="1:9" hidden="1" outlineLevel="1" x14ac:dyDescent="0.2">
      <c r="A317" s="98" t="s">
        <v>80</v>
      </c>
      <c r="B317" s="99">
        <f t="shared" si="86"/>
        <v>42644</v>
      </c>
      <c r="C317" s="99">
        <v>42735</v>
      </c>
      <c r="D317" s="100">
        <f t="shared" si="87"/>
        <v>92</v>
      </c>
      <c r="E317" s="101">
        <v>3.25</v>
      </c>
      <c r="F317" s="178">
        <f t="shared" si="83"/>
        <v>0</v>
      </c>
      <c r="G317" s="178">
        <f t="shared" si="88"/>
        <v>0</v>
      </c>
      <c r="H317" s="178">
        <f t="shared" si="84"/>
        <v>0</v>
      </c>
      <c r="I317" s="178">
        <f t="shared" si="85"/>
        <v>0</v>
      </c>
    </row>
    <row r="318" spans="1:9" hidden="1" outlineLevel="1" x14ac:dyDescent="0.2">
      <c r="A318" s="67" t="s">
        <v>81</v>
      </c>
      <c r="B318" s="83">
        <f t="shared" si="86"/>
        <v>42736</v>
      </c>
      <c r="C318" s="83">
        <v>42825</v>
      </c>
      <c r="D318" s="85">
        <f t="shared" si="87"/>
        <v>90</v>
      </c>
      <c r="E318" s="86">
        <v>3.25</v>
      </c>
      <c r="F318" s="176">
        <f t="shared" si="83"/>
        <v>0</v>
      </c>
      <c r="G318" s="176">
        <f t="shared" si="88"/>
        <v>0</v>
      </c>
      <c r="H318" s="176">
        <f t="shared" si="84"/>
        <v>0</v>
      </c>
      <c r="I318" s="176">
        <f t="shared" si="85"/>
        <v>0</v>
      </c>
    </row>
    <row r="319" spans="1:9" hidden="1" outlineLevel="1" x14ac:dyDescent="0.2">
      <c r="A319" s="67" t="s">
        <v>82</v>
      </c>
      <c r="B319" s="83">
        <f t="shared" si="86"/>
        <v>42826</v>
      </c>
      <c r="C319" s="83">
        <v>42916</v>
      </c>
      <c r="D319" s="85">
        <f t="shared" si="87"/>
        <v>91</v>
      </c>
      <c r="E319" s="86">
        <v>3.25</v>
      </c>
      <c r="F319" s="176">
        <f t="shared" si="83"/>
        <v>0</v>
      </c>
      <c r="G319" s="176">
        <f t="shared" si="88"/>
        <v>0</v>
      </c>
      <c r="H319" s="176">
        <f t="shared" si="84"/>
        <v>0</v>
      </c>
      <c r="I319" s="176">
        <f t="shared" si="85"/>
        <v>0</v>
      </c>
    </row>
    <row r="320" spans="1:9" hidden="1" outlineLevel="1" x14ac:dyDescent="0.2">
      <c r="A320" s="67" t="s">
        <v>83</v>
      </c>
      <c r="B320" s="83">
        <f>C319+1</f>
        <v>42917</v>
      </c>
      <c r="C320" s="83">
        <v>43008</v>
      </c>
      <c r="D320" s="85">
        <f>+C320-B320+1</f>
        <v>92</v>
      </c>
      <c r="E320" s="86">
        <v>3.25</v>
      </c>
      <c r="F320" s="176">
        <f t="shared" si="83"/>
        <v>0</v>
      </c>
      <c r="G320" s="176">
        <f>+D320/366*E320/100*F320</f>
        <v>0</v>
      </c>
      <c r="H320" s="176">
        <f t="shared" si="84"/>
        <v>0</v>
      </c>
      <c r="I320" s="176">
        <f t="shared" si="85"/>
        <v>0</v>
      </c>
    </row>
    <row r="321" spans="1:10" hidden="1" outlineLevel="1" x14ac:dyDescent="0.2">
      <c r="A321" s="67" t="s">
        <v>84</v>
      </c>
      <c r="B321" s="83">
        <f>C320+1</f>
        <v>43009</v>
      </c>
      <c r="C321" s="83">
        <v>43100</v>
      </c>
      <c r="D321" s="85">
        <f>+C321-B321+1</f>
        <v>92</v>
      </c>
      <c r="E321" s="86">
        <v>3.25</v>
      </c>
      <c r="F321" s="176">
        <f t="shared" si="83"/>
        <v>0</v>
      </c>
      <c r="G321" s="176">
        <f>+D321/366*E321/100*F321</f>
        <v>0</v>
      </c>
      <c r="H321" s="176">
        <v>0</v>
      </c>
      <c r="I321" s="176">
        <v>0</v>
      </c>
    </row>
    <row r="322" spans="1:10" collapsed="1" x14ac:dyDescent="0.2">
      <c r="A322" s="8"/>
      <c r="B322" s="92"/>
      <c r="C322" s="92"/>
      <c r="D322" s="93"/>
      <c r="E322" s="94"/>
      <c r="F322" s="96"/>
      <c r="G322" s="96"/>
      <c r="H322" s="96"/>
      <c r="I322" s="95"/>
    </row>
    <row r="323" spans="1:10" x14ac:dyDescent="0.2">
      <c r="A323" s="503" t="s">
        <v>127</v>
      </c>
      <c r="B323" s="504"/>
      <c r="C323" s="504"/>
      <c r="D323" s="504"/>
      <c r="E323" s="504"/>
      <c r="F323" s="504"/>
      <c r="G323" s="504"/>
      <c r="H323" s="504"/>
      <c r="I323" s="504"/>
      <c r="J323" s="505"/>
    </row>
    <row r="324" spans="1:10" hidden="1" outlineLevel="1" x14ac:dyDescent="0.2">
      <c r="A324" s="199" t="s">
        <v>7</v>
      </c>
      <c r="B324" s="199" t="s">
        <v>8</v>
      </c>
      <c r="C324" s="199" t="s">
        <v>9</v>
      </c>
      <c r="D324" s="199" t="s">
        <v>10</v>
      </c>
      <c r="E324" s="199" t="s">
        <v>11</v>
      </c>
      <c r="F324" s="199" t="s">
        <v>12</v>
      </c>
      <c r="G324" s="199" t="s">
        <v>13</v>
      </c>
      <c r="H324" s="199"/>
      <c r="I324" s="199"/>
      <c r="J324" s="199" t="s">
        <v>14</v>
      </c>
    </row>
    <row r="325" spans="1:10" ht="38.25" hidden="1" outlineLevel="1" x14ac:dyDescent="0.2">
      <c r="A325" s="6" t="s">
        <v>15</v>
      </c>
      <c r="B325" s="6" t="s">
        <v>16</v>
      </c>
      <c r="C325" s="6" t="s">
        <v>17</v>
      </c>
      <c r="D325" s="6" t="s">
        <v>18</v>
      </c>
      <c r="E325" s="6" t="s">
        <v>19</v>
      </c>
      <c r="F325" s="6" t="s">
        <v>20</v>
      </c>
      <c r="G325" s="6" t="s">
        <v>49</v>
      </c>
      <c r="H325" s="6" t="s">
        <v>22</v>
      </c>
      <c r="I325" s="6" t="s">
        <v>50</v>
      </c>
      <c r="J325" s="6" t="s">
        <v>21</v>
      </c>
    </row>
    <row r="326" spans="1:10" hidden="1" outlineLevel="1" x14ac:dyDescent="0.2">
      <c r="A326" s="172" t="s">
        <v>47</v>
      </c>
      <c r="B326" s="173">
        <f>B27</f>
        <v>0</v>
      </c>
      <c r="C326" s="173">
        <v>41182</v>
      </c>
      <c r="D326" s="183">
        <f>+C326-B326+1</f>
        <v>41183</v>
      </c>
      <c r="E326" s="175">
        <v>3.25</v>
      </c>
      <c r="F326" s="190">
        <f>E27</f>
        <v>0</v>
      </c>
      <c r="G326" s="190">
        <f>+D326/366*E326/100*F326</f>
        <v>0</v>
      </c>
      <c r="H326" s="190"/>
      <c r="I326" s="190"/>
      <c r="J326" s="189">
        <f>+F326+G326</f>
        <v>0</v>
      </c>
    </row>
    <row r="327" spans="1:10" hidden="1" outlineLevel="1" x14ac:dyDescent="0.2">
      <c r="A327" s="172" t="s">
        <v>33</v>
      </c>
      <c r="B327" s="173">
        <f>C326+1</f>
        <v>41183</v>
      </c>
      <c r="C327" s="173">
        <v>41274</v>
      </c>
      <c r="D327" s="183">
        <f>+C327-B327+1</f>
        <v>92</v>
      </c>
      <c r="E327" s="175">
        <v>3.25</v>
      </c>
      <c r="F327" s="190">
        <f>+J326</f>
        <v>0</v>
      </c>
      <c r="G327" s="190">
        <f>+D327/366*E327/100*F327</f>
        <v>0</v>
      </c>
      <c r="H327" s="190">
        <f>F326/20</f>
        <v>0</v>
      </c>
      <c r="I327" s="190">
        <f>G328/20</f>
        <v>0</v>
      </c>
      <c r="J327" s="189">
        <f>+F327+G327</f>
        <v>0</v>
      </c>
    </row>
    <row r="328" spans="1:10" hidden="1" outlineLevel="1" x14ac:dyDescent="0.2">
      <c r="A328" s="198"/>
      <c r="B328" s="198"/>
      <c r="C328" s="198"/>
      <c r="D328" s="198"/>
      <c r="E328" s="500" t="s">
        <v>51</v>
      </c>
      <c r="F328" s="500"/>
      <c r="G328" s="191">
        <f>SUM(G326:G327)</f>
        <v>0</v>
      </c>
      <c r="H328" s="198"/>
      <c r="I328" s="198"/>
      <c r="J328" s="198"/>
    </row>
    <row r="329" spans="1:10" hidden="1" outlineLevel="1" x14ac:dyDescent="0.2">
      <c r="A329" s="67" t="s">
        <v>60</v>
      </c>
      <c r="B329" s="83">
        <f>C327+1</f>
        <v>41275</v>
      </c>
      <c r="C329" s="83">
        <v>41364</v>
      </c>
      <c r="D329" s="85">
        <f t="shared" ref="D329:D338" si="89">+C329-B329+1</f>
        <v>90</v>
      </c>
      <c r="E329" s="86">
        <v>3.25</v>
      </c>
      <c r="F329" s="176">
        <f>F326-H327</f>
        <v>0</v>
      </c>
      <c r="G329" s="176">
        <f t="shared" ref="G329:G338" si="90">+D329/366*E329/100*F329</f>
        <v>0</v>
      </c>
      <c r="H329" s="176">
        <f>H327</f>
        <v>0</v>
      </c>
      <c r="I329" s="176">
        <f>G328/20</f>
        <v>0</v>
      </c>
    </row>
    <row r="330" spans="1:10" hidden="1" outlineLevel="1" x14ac:dyDescent="0.2">
      <c r="A330" s="67" t="s">
        <v>61</v>
      </c>
      <c r="B330" s="83">
        <f t="shared" ref="B330:B338" si="91">C329+1</f>
        <v>41365</v>
      </c>
      <c r="C330" s="83">
        <v>41455</v>
      </c>
      <c r="D330" s="85">
        <f t="shared" si="89"/>
        <v>91</v>
      </c>
      <c r="E330" s="86">
        <v>3.25</v>
      </c>
      <c r="F330" s="176">
        <f t="shared" ref="F330:F348" si="92">F329-H329</f>
        <v>0</v>
      </c>
      <c r="G330" s="176">
        <f t="shared" si="90"/>
        <v>0</v>
      </c>
      <c r="H330" s="176">
        <f>H329</f>
        <v>0</v>
      </c>
      <c r="I330" s="176">
        <f>I329</f>
        <v>0</v>
      </c>
    </row>
    <row r="331" spans="1:10" hidden="1" outlineLevel="1" x14ac:dyDescent="0.2">
      <c r="A331" s="67" t="s">
        <v>62</v>
      </c>
      <c r="B331" s="83">
        <f t="shared" si="91"/>
        <v>41456</v>
      </c>
      <c r="C331" s="83">
        <v>41547</v>
      </c>
      <c r="D331" s="85">
        <f t="shared" si="89"/>
        <v>92</v>
      </c>
      <c r="E331" s="86">
        <v>3.25</v>
      </c>
      <c r="F331" s="176">
        <f t="shared" si="92"/>
        <v>0</v>
      </c>
      <c r="G331" s="176">
        <f t="shared" si="90"/>
        <v>0</v>
      </c>
      <c r="H331" s="176">
        <f t="shared" ref="H331:H347" si="93">H330</f>
        <v>0</v>
      </c>
      <c r="I331" s="176">
        <f t="shared" ref="I331:I347" si="94">I330</f>
        <v>0</v>
      </c>
    </row>
    <row r="332" spans="1:10" hidden="1" outlineLevel="1" x14ac:dyDescent="0.2">
      <c r="A332" s="67" t="s">
        <v>63</v>
      </c>
      <c r="B332" s="83">
        <f t="shared" si="91"/>
        <v>41548</v>
      </c>
      <c r="C332" s="83">
        <v>41639</v>
      </c>
      <c r="D332" s="85">
        <f t="shared" si="89"/>
        <v>92</v>
      </c>
      <c r="E332" s="86">
        <v>3.25</v>
      </c>
      <c r="F332" s="176">
        <f t="shared" si="92"/>
        <v>0</v>
      </c>
      <c r="G332" s="176">
        <f t="shared" si="90"/>
        <v>0</v>
      </c>
      <c r="H332" s="176">
        <f t="shared" si="93"/>
        <v>0</v>
      </c>
      <c r="I332" s="176">
        <f t="shared" si="94"/>
        <v>0</v>
      </c>
    </row>
    <row r="333" spans="1:10" hidden="1" outlineLevel="1" x14ac:dyDescent="0.2">
      <c r="A333" s="98" t="s">
        <v>65</v>
      </c>
      <c r="B333" s="99">
        <f t="shared" si="91"/>
        <v>41640</v>
      </c>
      <c r="C333" s="99">
        <v>41729</v>
      </c>
      <c r="D333" s="100">
        <f t="shared" si="89"/>
        <v>90</v>
      </c>
      <c r="E333" s="101">
        <v>3.25</v>
      </c>
      <c r="F333" s="178">
        <f t="shared" si="92"/>
        <v>0</v>
      </c>
      <c r="G333" s="178">
        <f t="shared" si="90"/>
        <v>0</v>
      </c>
      <c r="H333" s="178">
        <f t="shared" si="93"/>
        <v>0</v>
      </c>
      <c r="I333" s="178">
        <f t="shared" si="94"/>
        <v>0</v>
      </c>
    </row>
    <row r="334" spans="1:10" hidden="1" outlineLevel="1" x14ac:dyDescent="0.2">
      <c r="A334" s="98" t="s">
        <v>66</v>
      </c>
      <c r="B334" s="99">
        <f t="shared" si="91"/>
        <v>41730</v>
      </c>
      <c r="C334" s="99">
        <v>41820</v>
      </c>
      <c r="D334" s="100">
        <f t="shared" si="89"/>
        <v>91</v>
      </c>
      <c r="E334" s="101">
        <v>3.25</v>
      </c>
      <c r="F334" s="178">
        <f t="shared" si="92"/>
        <v>0</v>
      </c>
      <c r="G334" s="178">
        <f t="shared" si="90"/>
        <v>0</v>
      </c>
      <c r="H334" s="178">
        <f t="shared" si="93"/>
        <v>0</v>
      </c>
      <c r="I334" s="178">
        <f t="shared" si="94"/>
        <v>0</v>
      </c>
    </row>
    <row r="335" spans="1:10" hidden="1" outlineLevel="1" x14ac:dyDescent="0.2">
      <c r="A335" s="98" t="s">
        <v>67</v>
      </c>
      <c r="B335" s="99">
        <f t="shared" si="91"/>
        <v>41821</v>
      </c>
      <c r="C335" s="99">
        <v>41912</v>
      </c>
      <c r="D335" s="100">
        <f t="shared" si="89"/>
        <v>92</v>
      </c>
      <c r="E335" s="101">
        <v>3.25</v>
      </c>
      <c r="F335" s="178">
        <f t="shared" si="92"/>
        <v>0</v>
      </c>
      <c r="G335" s="178">
        <f t="shared" si="90"/>
        <v>0</v>
      </c>
      <c r="H335" s="178">
        <f t="shared" si="93"/>
        <v>0</v>
      </c>
      <c r="I335" s="178">
        <f t="shared" si="94"/>
        <v>0</v>
      </c>
    </row>
    <row r="336" spans="1:10" hidden="1" outlineLevel="1" x14ac:dyDescent="0.2">
      <c r="A336" s="98" t="s">
        <v>68</v>
      </c>
      <c r="B336" s="99">
        <f t="shared" si="91"/>
        <v>41913</v>
      </c>
      <c r="C336" s="99">
        <v>42004</v>
      </c>
      <c r="D336" s="100">
        <f t="shared" si="89"/>
        <v>92</v>
      </c>
      <c r="E336" s="101">
        <v>3.25</v>
      </c>
      <c r="F336" s="178">
        <f t="shared" si="92"/>
        <v>0</v>
      </c>
      <c r="G336" s="178">
        <f t="shared" si="90"/>
        <v>0</v>
      </c>
      <c r="H336" s="178">
        <f t="shared" si="93"/>
        <v>0</v>
      </c>
      <c r="I336" s="178">
        <f t="shared" si="94"/>
        <v>0</v>
      </c>
    </row>
    <row r="337" spans="1:10" hidden="1" outlineLevel="1" x14ac:dyDescent="0.2">
      <c r="A337" s="67" t="s">
        <v>69</v>
      </c>
      <c r="B337" s="83">
        <f t="shared" si="91"/>
        <v>42005</v>
      </c>
      <c r="C337" s="83">
        <v>42094</v>
      </c>
      <c r="D337" s="85">
        <f t="shared" si="89"/>
        <v>90</v>
      </c>
      <c r="E337" s="86">
        <v>3.25</v>
      </c>
      <c r="F337" s="176">
        <f t="shared" si="92"/>
        <v>0</v>
      </c>
      <c r="G337" s="176">
        <f t="shared" si="90"/>
        <v>0</v>
      </c>
      <c r="H337" s="176">
        <f t="shared" si="93"/>
        <v>0</v>
      </c>
      <c r="I337" s="176">
        <f t="shared" si="94"/>
        <v>0</v>
      </c>
    </row>
    <row r="338" spans="1:10" hidden="1" outlineLevel="1" x14ac:dyDescent="0.2">
      <c r="A338" s="67" t="s">
        <v>70</v>
      </c>
      <c r="B338" s="83">
        <f t="shared" si="91"/>
        <v>42095</v>
      </c>
      <c r="C338" s="83">
        <v>42185</v>
      </c>
      <c r="D338" s="85">
        <f t="shared" si="89"/>
        <v>91</v>
      </c>
      <c r="E338" s="86">
        <v>3.25</v>
      </c>
      <c r="F338" s="176">
        <f t="shared" si="92"/>
        <v>0</v>
      </c>
      <c r="G338" s="176">
        <f t="shared" si="90"/>
        <v>0</v>
      </c>
      <c r="H338" s="176">
        <f t="shared" si="93"/>
        <v>0</v>
      </c>
      <c r="I338" s="176">
        <f t="shared" si="94"/>
        <v>0</v>
      </c>
    </row>
    <row r="339" spans="1:10" hidden="1" outlineLevel="1" x14ac:dyDescent="0.2">
      <c r="A339" s="67" t="s">
        <v>71</v>
      </c>
      <c r="B339" s="83">
        <f>C338+1</f>
        <v>42186</v>
      </c>
      <c r="C339" s="83">
        <v>42277</v>
      </c>
      <c r="D339" s="85">
        <f>+C339-B339+1</f>
        <v>92</v>
      </c>
      <c r="E339" s="86">
        <v>3.25</v>
      </c>
      <c r="F339" s="176">
        <f t="shared" si="92"/>
        <v>0</v>
      </c>
      <c r="G339" s="176">
        <f>+D339/366*E339/100*F339</f>
        <v>0</v>
      </c>
      <c r="H339" s="176">
        <f t="shared" si="93"/>
        <v>0</v>
      </c>
      <c r="I339" s="176">
        <f t="shared" si="94"/>
        <v>0</v>
      </c>
    </row>
    <row r="340" spans="1:10" hidden="1" outlineLevel="1" x14ac:dyDescent="0.2">
      <c r="A340" s="67" t="s">
        <v>72</v>
      </c>
      <c r="B340" s="83">
        <f t="shared" ref="B340:B346" si="95">C339+1</f>
        <v>42278</v>
      </c>
      <c r="C340" s="83">
        <v>42369</v>
      </c>
      <c r="D340" s="85">
        <f t="shared" ref="D340:D346" si="96">+C340-B340+1</f>
        <v>92</v>
      </c>
      <c r="E340" s="86">
        <v>3.25</v>
      </c>
      <c r="F340" s="176">
        <f t="shared" si="92"/>
        <v>0</v>
      </c>
      <c r="G340" s="176">
        <f>+D340/366*E340/100*F340</f>
        <v>0</v>
      </c>
      <c r="H340" s="176">
        <f t="shared" si="93"/>
        <v>0</v>
      </c>
      <c r="I340" s="176">
        <f t="shared" si="94"/>
        <v>0</v>
      </c>
    </row>
    <row r="341" spans="1:10" hidden="1" outlineLevel="1" x14ac:dyDescent="0.2">
      <c r="A341" s="98" t="s">
        <v>77</v>
      </c>
      <c r="B341" s="99">
        <f t="shared" si="95"/>
        <v>42370</v>
      </c>
      <c r="C341" s="99">
        <v>42460</v>
      </c>
      <c r="D341" s="100">
        <f t="shared" si="96"/>
        <v>91</v>
      </c>
      <c r="E341" s="101">
        <v>3.25</v>
      </c>
      <c r="F341" s="178">
        <f t="shared" si="92"/>
        <v>0</v>
      </c>
      <c r="G341" s="178">
        <f t="shared" ref="G341:G346" si="97">+D341/366*E341/100*F341</f>
        <v>0</v>
      </c>
      <c r="H341" s="178">
        <f t="shared" si="93"/>
        <v>0</v>
      </c>
      <c r="I341" s="178">
        <f t="shared" si="94"/>
        <v>0</v>
      </c>
    </row>
    <row r="342" spans="1:10" hidden="1" outlineLevel="1" x14ac:dyDescent="0.2">
      <c r="A342" s="98" t="s">
        <v>78</v>
      </c>
      <c r="B342" s="99">
        <f t="shared" si="95"/>
        <v>42461</v>
      </c>
      <c r="C342" s="99">
        <v>42551</v>
      </c>
      <c r="D342" s="100">
        <f t="shared" si="96"/>
        <v>91</v>
      </c>
      <c r="E342" s="101">
        <v>3.25</v>
      </c>
      <c r="F342" s="178">
        <f t="shared" si="92"/>
        <v>0</v>
      </c>
      <c r="G342" s="178">
        <f t="shared" si="97"/>
        <v>0</v>
      </c>
      <c r="H342" s="178">
        <f t="shared" si="93"/>
        <v>0</v>
      </c>
      <c r="I342" s="178">
        <f t="shared" si="94"/>
        <v>0</v>
      </c>
    </row>
    <row r="343" spans="1:10" hidden="1" outlineLevel="1" x14ac:dyDescent="0.2">
      <c r="A343" s="98" t="s">
        <v>79</v>
      </c>
      <c r="B343" s="99">
        <f t="shared" si="95"/>
        <v>42552</v>
      </c>
      <c r="C343" s="99">
        <v>42643</v>
      </c>
      <c r="D343" s="100">
        <f t="shared" si="96"/>
        <v>92</v>
      </c>
      <c r="E343" s="101">
        <v>3.25</v>
      </c>
      <c r="F343" s="178">
        <f t="shared" si="92"/>
        <v>0</v>
      </c>
      <c r="G343" s="178">
        <f t="shared" si="97"/>
        <v>0</v>
      </c>
      <c r="H343" s="178">
        <f t="shared" si="93"/>
        <v>0</v>
      </c>
      <c r="I343" s="178">
        <f t="shared" si="94"/>
        <v>0</v>
      </c>
    </row>
    <row r="344" spans="1:10" hidden="1" outlineLevel="1" x14ac:dyDescent="0.2">
      <c r="A344" s="98" t="s">
        <v>80</v>
      </c>
      <c r="B344" s="99">
        <f t="shared" si="95"/>
        <v>42644</v>
      </c>
      <c r="C344" s="99">
        <v>42735</v>
      </c>
      <c r="D344" s="100">
        <f t="shared" si="96"/>
        <v>92</v>
      </c>
      <c r="E344" s="101">
        <v>3.25</v>
      </c>
      <c r="F344" s="178">
        <f t="shared" si="92"/>
        <v>0</v>
      </c>
      <c r="G344" s="178">
        <f t="shared" si="97"/>
        <v>0</v>
      </c>
      <c r="H344" s="178">
        <f t="shared" si="93"/>
        <v>0</v>
      </c>
      <c r="I344" s="178">
        <f t="shared" si="94"/>
        <v>0</v>
      </c>
    </row>
    <row r="345" spans="1:10" hidden="1" outlineLevel="1" x14ac:dyDescent="0.2">
      <c r="A345" s="67" t="s">
        <v>81</v>
      </c>
      <c r="B345" s="83">
        <f t="shared" si="95"/>
        <v>42736</v>
      </c>
      <c r="C345" s="83">
        <v>42825</v>
      </c>
      <c r="D345" s="85">
        <f t="shared" si="96"/>
        <v>90</v>
      </c>
      <c r="E345" s="86">
        <v>3.25</v>
      </c>
      <c r="F345" s="176">
        <f t="shared" si="92"/>
        <v>0</v>
      </c>
      <c r="G345" s="176">
        <f t="shared" si="97"/>
        <v>0</v>
      </c>
      <c r="H345" s="176">
        <f t="shared" si="93"/>
        <v>0</v>
      </c>
      <c r="I345" s="176">
        <f t="shared" si="94"/>
        <v>0</v>
      </c>
    </row>
    <row r="346" spans="1:10" hidden="1" outlineLevel="1" x14ac:dyDescent="0.2">
      <c r="A346" s="67" t="s">
        <v>82</v>
      </c>
      <c r="B346" s="83">
        <f t="shared" si="95"/>
        <v>42826</v>
      </c>
      <c r="C346" s="83">
        <v>42916</v>
      </c>
      <c r="D346" s="85">
        <f t="shared" si="96"/>
        <v>91</v>
      </c>
      <c r="E346" s="86">
        <v>3.25</v>
      </c>
      <c r="F346" s="176">
        <f t="shared" si="92"/>
        <v>0</v>
      </c>
      <c r="G346" s="176">
        <f t="shared" si="97"/>
        <v>0</v>
      </c>
      <c r="H346" s="176">
        <f t="shared" si="93"/>
        <v>0</v>
      </c>
      <c r="I346" s="176">
        <f t="shared" si="94"/>
        <v>0</v>
      </c>
    </row>
    <row r="347" spans="1:10" hidden="1" outlineLevel="1" x14ac:dyDescent="0.2">
      <c r="A347" s="67" t="s">
        <v>83</v>
      </c>
      <c r="B347" s="83">
        <f>C346+1</f>
        <v>42917</v>
      </c>
      <c r="C347" s="83">
        <v>43008</v>
      </c>
      <c r="D347" s="85">
        <f>+C347-B347+1</f>
        <v>92</v>
      </c>
      <c r="E347" s="86">
        <v>3.25</v>
      </c>
      <c r="F347" s="176">
        <f t="shared" si="92"/>
        <v>0</v>
      </c>
      <c r="G347" s="176">
        <f>+D347/366*E347/100*F347</f>
        <v>0</v>
      </c>
      <c r="H347" s="176">
        <f t="shared" si="93"/>
        <v>0</v>
      </c>
      <c r="I347" s="176">
        <f t="shared" si="94"/>
        <v>0</v>
      </c>
    </row>
    <row r="348" spans="1:10" hidden="1" outlineLevel="1" x14ac:dyDescent="0.2">
      <c r="A348" s="67" t="s">
        <v>84</v>
      </c>
      <c r="B348" s="83">
        <f>C347+1</f>
        <v>43009</v>
      </c>
      <c r="C348" s="83">
        <v>43100</v>
      </c>
      <c r="D348" s="85">
        <f>+C348-B348+1</f>
        <v>92</v>
      </c>
      <c r="E348" s="86">
        <v>3.25</v>
      </c>
      <c r="F348" s="176">
        <f t="shared" si="92"/>
        <v>0</v>
      </c>
      <c r="G348" s="176">
        <f>+D348/366*E348/100*F348</f>
        <v>0</v>
      </c>
      <c r="H348" s="176">
        <v>0</v>
      </c>
      <c r="I348" s="176">
        <v>0</v>
      </c>
    </row>
    <row r="349" spans="1:10" collapsed="1" x14ac:dyDescent="0.2">
      <c r="A349" s="8"/>
      <c r="B349" s="92"/>
      <c r="C349" s="92"/>
      <c r="D349" s="93"/>
      <c r="E349" s="94"/>
      <c r="F349" s="96"/>
      <c r="G349" s="96"/>
      <c r="H349" s="96"/>
      <c r="I349" s="95"/>
    </row>
    <row r="350" spans="1:10" x14ac:dyDescent="0.2">
      <c r="A350" s="503" t="s">
        <v>128</v>
      </c>
      <c r="B350" s="504"/>
      <c r="C350" s="504"/>
      <c r="D350" s="504"/>
      <c r="E350" s="504"/>
      <c r="F350" s="504"/>
      <c r="G350" s="504"/>
      <c r="H350" s="504"/>
      <c r="I350" s="504"/>
      <c r="J350" s="505"/>
    </row>
    <row r="351" spans="1:10" hidden="1" outlineLevel="1" x14ac:dyDescent="0.2">
      <c r="A351" s="199" t="s">
        <v>7</v>
      </c>
      <c r="B351" s="199" t="s">
        <v>8</v>
      </c>
      <c r="C351" s="199" t="s">
        <v>9</v>
      </c>
      <c r="D351" s="199" t="s">
        <v>10</v>
      </c>
      <c r="E351" s="199" t="s">
        <v>11</v>
      </c>
      <c r="F351" s="199" t="s">
        <v>12</v>
      </c>
      <c r="G351" s="199" t="s">
        <v>13</v>
      </c>
      <c r="H351" s="199"/>
      <c r="I351" s="199"/>
      <c r="J351" s="199" t="s">
        <v>14</v>
      </c>
    </row>
    <row r="352" spans="1:10" ht="38.25" hidden="1" outlineLevel="1" x14ac:dyDescent="0.2">
      <c r="A352" s="6" t="s">
        <v>15</v>
      </c>
      <c r="B352" s="6" t="s">
        <v>16</v>
      </c>
      <c r="C352" s="6" t="s">
        <v>17</v>
      </c>
      <c r="D352" s="6" t="s">
        <v>18</v>
      </c>
      <c r="E352" s="6" t="s">
        <v>19</v>
      </c>
      <c r="F352" s="6" t="s">
        <v>20</v>
      </c>
      <c r="G352" s="6" t="s">
        <v>49</v>
      </c>
      <c r="H352" s="6" t="s">
        <v>22</v>
      </c>
      <c r="I352" s="6" t="s">
        <v>50</v>
      </c>
      <c r="J352" s="6" t="s">
        <v>21</v>
      </c>
    </row>
    <row r="353" spans="1:10" hidden="1" outlineLevel="1" x14ac:dyDescent="0.2">
      <c r="A353" s="172" t="s">
        <v>47</v>
      </c>
      <c r="B353" s="173">
        <f>B28</f>
        <v>0</v>
      </c>
      <c r="C353" s="173">
        <v>41182</v>
      </c>
      <c r="D353" s="183">
        <f>+C353-B353+1</f>
        <v>41183</v>
      </c>
      <c r="E353" s="175">
        <v>3.25</v>
      </c>
      <c r="F353" s="190">
        <f>E28</f>
        <v>0</v>
      </c>
      <c r="G353" s="190">
        <f>+D353/366*E353/100*F353</f>
        <v>0</v>
      </c>
      <c r="H353" s="190"/>
      <c r="I353" s="190"/>
      <c r="J353" s="189">
        <f>+F353+G353</f>
        <v>0</v>
      </c>
    </row>
    <row r="354" spans="1:10" hidden="1" outlineLevel="1" x14ac:dyDescent="0.2">
      <c r="A354" s="172" t="s">
        <v>33</v>
      </c>
      <c r="B354" s="173">
        <f>C353+1</f>
        <v>41183</v>
      </c>
      <c r="C354" s="173">
        <v>41274</v>
      </c>
      <c r="D354" s="183">
        <f>+C354-B354+1</f>
        <v>92</v>
      </c>
      <c r="E354" s="175">
        <v>3.25</v>
      </c>
      <c r="F354" s="190">
        <f>+J353</f>
        <v>0</v>
      </c>
      <c r="G354" s="190">
        <f>+D354/366*E354/100*F354</f>
        <v>0</v>
      </c>
      <c r="H354" s="190">
        <f>F353/20</f>
        <v>0</v>
      </c>
      <c r="I354" s="190">
        <f>G355/20</f>
        <v>0</v>
      </c>
      <c r="J354" s="189">
        <f>+F354+G354</f>
        <v>0</v>
      </c>
    </row>
    <row r="355" spans="1:10" hidden="1" outlineLevel="1" x14ac:dyDescent="0.2">
      <c r="A355" s="198"/>
      <c r="B355" s="198"/>
      <c r="C355" s="198"/>
      <c r="D355" s="198"/>
      <c r="E355" s="500" t="s">
        <v>51</v>
      </c>
      <c r="F355" s="500"/>
      <c r="G355" s="191">
        <f>SUM(G353:G354)</f>
        <v>0</v>
      </c>
      <c r="H355" s="198"/>
      <c r="I355" s="198"/>
      <c r="J355" s="198"/>
    </row>
    <row r="356" spans="1:10" hidden="1" outlineLevel="1" x14ac:dyDescent="0.2">
      <c r="A356" s="67" t="s">
        <v>60</v>
      </c>
      <c r="B356" s="83">
        <f>C354+1</f>
        <v>41275</v>
      </c>
      <c r="C356" s="83">
        <v>41364</v>
      </c>
      <c r="D356" s="85">
        <f t="shared" ref="D356:D365" si="98">+C356-B356+1</f>
        <v>90</v>
      </c>
      <c r="E356" s="86">
        <v>3.25</v>
      </c>
      <c r="F356" s="176">
        <f>F353-H354</f>
        <v>0</v>
      </c>
      <c r="G356" s="176">
        <f t="shared" ref="G356:G365" si="99">+D356/366*E356/100*F356</f>
        <v>0</v>
      </c>
      <c r="H356" s="176">
        <f>H354</f>
        <v>0</v>
      </c>
      <c r="I356" s="176">
        <f>G355/20</f>
        <v>0</v>
      </c>
    </row>
    <row r="357" spans="1:10" hidden="1" outlineLevel="1" x14ac:dyDescent="0.2">
      <c r="A357" s="67" t="s">
        <v>61</v>
      </c>
      <c r="B357" s="83">
        <f t="shared" ref="B357:B365" si="100">C356+1</f>
        <v>41365</v>
      </c>
      <c r="C357" s="83">
        <v>41455</v>
      </c>
      <c r="D357" s="85">
        <f t="shared" si="98"/>
        <v>91</v>
      </c>
      <c r="E357" s="86">
        <v>3.25</v>
      </c>
      <c r="F357" s="176">
        <f t="shared" ref="F357:F375" si="101">F356-H356</f>
        <v>0</v>
      </c>
      <c r="G357" s="176">
        <f t="shared" si="99"/>
        <v>0</v>
      </c>
      <c r="H357" s="176">
        <f>H356</f>
        <v>0</v>
      </c>
      <c r="I357" s="176">
        <f>I356</f>
        <v>0</v>
      </c>
    </row>
    <row r="358" spans="1:10" hidden="1" outlineLevel="1" x14ac:dyDescent="0.2">
      <c r="A358" s="67" t="s">
        <v>62</v>
      </c>
      <c r="B358" s="83">
        <f t="shared" si="100"/>
        <v>41456</v>
      </c>
      <c r="C358" s="83">
        <v>41547</v>
      </c>
      <c r="D358" s="85">
        <f t="shared" si="98"/>
        <v>92</v>
      </c>
      <c r="E358" s="86">
        <v>3.25</v>
      </c>
      <c r="F358" s="176">
        <f t="shared" si="101"/>
        <v>0</v>
      </c>
      <c r="G358" s="176">
        <f t="shared" si="99"/>
        <v>0</v>
      </c>
      <c r="H358" s="176">
        <f t="shared" ref="H358:H374" si="102">H357</f>
        <v>0</v>
      </c>
      <c r="I358" s="176">
        <f t="shared" ref="I358:I374" si="103">I357</f>
        <v>0</v>
      </c>
    </row>
    <row r="359" spans="1:10" hidden="1" outlineLevel="1" x14ac:dyDescent="0.2">
      <c r="A359" s="67" t="s">
        <v>63</v>
      </c>
      <c r="B359" s="83">
        <f t="shared" si="100"/>
        <v>41548</v>
      </c>
      <c r="C359" s="83">
        <v>41639</v>
      </c>
      <c r="D359" s="85">
        <f t="shared" si="98"/>
        <v>92</v>
      </c>
      <c r="E359" s="86">
        <v>3.25</v>
      </c>
      <c r="F359" s="176">
        <f t="shared" si="101"/>
        <v>0</v>
      </c>
      <c r="G359" s="176">
        <f t="shared" si="99"/>
        <v>0</v>
      </c>
      <c r="H359" s="176">
        <f t="shared" si="102"/>
        <v>0</v>
      </c>
      <c r="I359" s="176">
        <f t="shared" si="103"/>
        <v>0</v>
      </c>
    </row>
    <row r="360" spans="1:10" hidden="1" outlineLevel="1" x14ac:dyDescent="0.2">
      <c r="A360" s="98" t="s">
        <v>65</v>
      </c>
      <c r="B360" s="99">
        <f t="shared" si="100"/>
        <v>41640</v>
      </c>
      <c r="C360" s="99">
        <v>41729</v>
      </c>
      <c r="D360" s="100">
        <f t="shared" si="98"/>
        <v>90</v>
      </c>
      <c r="E360" s="101">
        <v>3.25</v>
      </c>
      <c r="F360" s="178">
        <f t="shared" si="101"/>
        <v>0</v>
      </c>
      <c r="G360" s="178">
        <f t="shared" si="99"/>
        <v>0</v>
      </c>
      <c r="H360" s="178">
        <f t="shared" si="102"/>
        <v>0</v>
      </c>
      <c r="I360" s="178">
        <f t="shared" si="103"/>
        <v>0</v>
      </c>
    </row>
    <row r="361" spans="1:10" hidden="1" outlineLevel="1" x14ac:dyDescent="0.2">
      <c r="A361" s="98" t="s">
        <v>66</v>
      </c>
      <c r="B361" s="99">
        <f t="shared" si="100"/>
        <v>41730</v>
      </c>
      <c r="C361" s="99">
        <v>41820</v>
      </c>
      <c r="D361" s="100">
        <f t="shared" si="98"/>
        <v>91</v>
      </c>
      <c r="E361" s="101">
        <v>3.25</v>
      </c>
      <c r="F361" s="178">
        <f t="shared" si="101"/>
        <v>0</v>
      </c>
      <c r="G361" s="178">
        <f t="shared" si="99"/>
        <v>0</v>
      </c>
      <c r="H361" s="178">
        <f t="shared" si="102"/>
        <v>0</v>
      </c>
      <c r="I361" s="178">
        <f t="shared" si="103"/>
        <v>0</v>
      </c>
    </row>
    <row r="362" spans="1:10" hidden="1" outlineLevel="1" x14ac:dyDescent="0.2">
      <c r="A362" s="98" t="s">
        <v>67</v>
      </c>
      <c r="B362" s="99">
        <f t="shared" si="100"/>
        <v>41821</v>
      </c>
      <c r="C362" s="99">
        <v>41912</v>
      </c>
      <c r="D362" s="100">
        <f t="shared" si="98"/>
        <v>92</v>
      </c>
      <c r="E362" s="101">
        <v>3.25</v>
      </c>
      <c r="F362" s="178">
        <f t="shared" si="101"/>
        <v>0</v>
      </c>
      <c r="G362" s="178">
        <f t="shared" si="99"/>
        <v>0</v>
      </c>
      <c r="H362" s="178">
        <f t="shared" si="102"/>
        <v>0</v>
      </c>
      <c r="I362" s="178">
        <f t="shared" si="103"/>
        <v>0</v>
      </c>
    </row>
    <row r="363" spans="1:10" hidden="1" outlineLevel="1" x14ac:dyDescent="0.2">
      <c r="A363" s="98" t="s">
        <v>68</v>
      </c>
      <c r="B363" s="99">
        <f t="shared" si="100"/>
        <v>41913</v>
      </c>
      <c r="C363" s="99">
        <v>42004</v>
      </c>
      <c r="D363" s="100">
        <f t="shared" si="98"/>
        <v>92</v>
      </c>
      <c r="E363" s="101">
        <v>3.25</v>
      </c>
      <c r="F363" s="178">
        <f t="shared" si="101"/>
        <v>0</v>
      </c>
      <c r="G363" s="178">
        <f t="shared" si="99"/>
        <v>0</v>
      </c>
      <c r="H363" s="178">
        <f t="shared" si="102"/>
        <v>0</v>
      </c>
      <c r="I363" s="178">
        <f t="shared" si="103"/>
        <v>0</v>
      </c>
    </row>
    <row r="364" spans="1:10" hidden="1" outlineLevel="1" x14ac:dyDescent="0.2">
      <c r="A364" s="67" t="s">
        <v>69</v>
      </c>
      <c r="B364" s="83">
        <f t="shared" si="100"/>
        <v>42005</v>
      </c>
      <c r="C364" s="83">
        <v>42094</v>
      </c>
      <c r="D364" s="85">
        <f t="shared" si="98"/>
        <v>90</v>
      </c>
      <c r="E364" s="86">
        <v>3.25</v>
      </c>
      <c r="F364" s="176">
        <f t="shared" si="101"/>
        <v>0</v>
      </c>
      <c r="G364" s="176">
        <f t="shared" si="99"/>
        <v>0</v>
      </c>
      <c r="H364" s="176">
        <f t="shared" si="102"/>
        <v>0</v>
      </c>
      <c r="I364" s="176">
        <f t="shared" si="103"/>
        <v>0</v>
      </c>
    </row>
    <row r="365" spans="1:10" hidden="1" outlineLevel="1" x14ac:dyDescent="0.2">
      <c r="A365" s="67" t="s">
        <v>70</v>
      </c>
      <c r="B365" s="83">
        <f t="shared" si="100"/>
        <v>42095</v>
      </c>
      <c r="C365" s="83">
        <v>42185</v>
      </c>
      <c r="D365" s="85">
        <f t="shared" si="98"/>
        <v>91</v>
      </c>
      <c r="E365" s="86">
        <v>3.25</v>
      </c>
      <c r="F365" s="176">
        <f t="shared" si="101"/>
        <v>0</v>
      </c>
      <c r="G365" s="176">
        <f t="shared" si="99"/>
        <v>0</v>
      </c>
      <c r="H365" s="176">
        <f t="shared" si="102"/>
        <v>0</v>
      </c>
      <c r="I365" s="176">
        <f t="shared" si="103"/>
        <v>0</v>
      </c>
    </row>
    <row r="366" spans="1:10" hidden="1" outlineLevel="1" x14ac:dyDescent="0.2">
      <c r="A366" s="67" t="s">
        <v>71</v>
      </c>
      <c r="B366" s="83">
        <f>C365+1</f>
        <v>42186</v>
      </c>
      <c r="C366" s="83">
        <v>42277</v>
      </c>
      <c r="D366" s="85">
        <f>+C366-B366+1</f>
        <v>92</v>
      </c>
      <c r="E366" s="86">
        <v>3.25</v>
      </c>
      <c r="F366" s="176">
        <f t="shared" si="101"/>
        <v>0</v>
      </c>
      <c r="G366" s="176">
        <f>+D366/366*E366/100*F366</f>
        <v>0</v>
      </c>
      <c r="H366" s="176">
        <f t="shared" si="102"/>
        <v>0</v>
      </c>
      <c r="I366" s="176">
        <f t="shared" si="103"/>
        <v>0</v>
      </c>
    </row>
    <row r="367" spans="1:10" hidden="1" outlineLevel="1" x14ac:dyDescent="0.2">
      <c r="A367" s="67" t="s">
        <v>72</v>
      </c>
      <c r="B367" s="83">
        <f t="shared" ref="B367:B373" si="104">C366+1</f>
        <v>42278</v>
      </c>
      <c r="C367" s="83">
        <v>42369</v>
      </c>
      <c r="D367" s="85">
        <f t="shared" ref="D367:D373" si="105">+C367-B367+1</f>
        <v>92</v>
      </c>
      <c r="E367" s="86">
        <v>3.25</v>
      </c>
      <c r="F367" s="176">
        <f t="shared" si="101"/>
        <v>0</v>
      </c>
      <c r="G367" s="176">
        <f>+D367/366*E367/100*F367</f>
        <v>0</v>
      </c>
      <c r="H367" s="176">
        <f t="shared" si="102"/>
        <v>0</v>
      </c>
      <c r="I367" s="176">
        <f t="shared" si="103"/>
        <v>0</v>
      </c>
    </row>
    <row r="368" spans="1:10" hidden="1" outlineLevel="1" x14ac:dyDescent="0.2">
      <c r="A368" s="98" t="s">
        <v>77</v>
      </c>
      <c r="B368" s="99">
        <f t="shared" si="104"/>
        <v>42370</v>
      </c>
      <c r="C368" s="99">
        <v>42460</v>
      </c>
      <c r="D368" s="100">
        <f t="shared" si="105"/>
        <v>91</v>
      </c>
      <c r="E368" s="101">
        <v>3.25</v>
      </c>
      <c r="F368" s="178">
        <f t="shared" si="101"/>
        <v>0</v>
      </c>
      <c r="G368" s="178">
        <f t="shared" ref="G368:G373" si="106">+D368/366*E368/100*F368</f>
        <v>0</v>
      </c>
      <c r="H368" s="178">
        <f t="shared" si="102"/>
        <v>0</v>
      </c>
      <c r="I368" s="178">
        <f t="shared" si="103"/>
        <v>0</v>
      </c>
    </row>
    <row r="369" spans="1:10" hidden="1" outlineLevel="1" x14ac:dyDescent="0.2">
      <c r="A369" s="98" t="s">
        <v>78</v>
      </c>
      <c r="B369" s="99">
        <f t="shared" si="104"/>
        <v>42461</v>
      </c>
      <c r="C369" s="99">
        <v>42551</v>
      </c>
      <c r="D369" s="100">
        <f t="shared" si="105"/>
        <v>91</v>
      </c>
      <c r="E369" s="101">
        <v>3.25</v>
      </c>
      <c r="F369" s="178">
        <f t="shared" si="101"/>
        <v>0</v>
      </c>
      <c r="G369" s="178">
        <f t="shared" si="106"/>
        <v>0</v>
      </c>
      <c r="H369" s="178">
        <f t="shared" si="102"/>
        <v>0</v>
      </c>
      <c r="I369" s="178">
        <f t="shared" si="103"/>
        <v>0</v>
      </c>
    </row>
    <row r="370" spans="1:10" hidden="1" outlineLevel="1" x14ac:dyDescent="0.2">
      <c r="A370" s="98" t="s">
        <v>79</v>
      </c>
      <c r="B370" s="99">
        <f t="shared" si="104"/>
        <v>42552</v>
      </c>
      <c r="C370" s="99">
        <v>42643</v>
      </c>
      <c r="D370" s="100">
        <f t="shared" si="105"/>
        <v>92</v>
      </c>
      <c r="E370" s="101">
        <v>3.25</v>
      </c>
      <c r="F370" s="178">
        <f t="shared" si="101"/>
        <v>0</v>
      </c>
      <c r="G370" s="178">
        <f t="shared" si="106"/>
        <v>0</v>
      </c>
      <c r="H370" s="178">
        <f t="shared" si="102"/>
        <v>0</v>
      </c>
      <c r="I370" s="178">
        <f t="shared" si="103"/>
        <v>0</v>
      </c>
    </row>
    <row r="371" spans="1:10" hidden="1" outlineLevel="1" x14ac:dyDescent="0.2">
      <c r="A371" s="98" t="s">
        <v>80</v>
      </c>
      <c r="B371" s="99">
        <f t="shared" si="104"/>
        <v>42644</v>
      </c>
      <c r="C371" s="99">
        <v>42735</v>
      </c>
      <c r="D371" s="100">
        <f t="shared" si="105"/>
        <v>92</v>
      </c>
      <c r="E371" s="101">
        <v>3.25</v>
      </c>
      <c r="F371" s="178">
        <f t="shared" si="101"/>
        <v>0</v>
      </c>
      <c r="G371" s="178">
        <f t="shared" si="106"/>
        <v>0</v>
      </c>
      <c r="H371" s="178">
        <f t="shared" si="102"/>
        <v>0</v>
      </c>
      <c r="I371" s="178">
        <f t="shared" si="103"/>
        <v>0</v>
      </c>
    </row>
    <row r="372" spans="1:10" hidden="1" outlineLevel="1" x14ac:dyDescent="0.2">
      <c r="A372" s="67" t="s">
        <v>81</v>
      </c>
      <c r="B372" s="83">
        <f t="shared" si="104"/>
        <v>42736</v>
      </c>
      <c r="C372" s="83">
        <v>42825</v>
      </c>
      <c r="D372" s="85">
        <f t="shared" si="105"/>
        <v>90</v>
      </c>
      <c r="E372" s="86">
        <v>3.25</v>
      </c>
      <c r="F372" s="176">
        <f t="shared" si="101"/>
        <v>0</v>
      </c>
      <c r="G372" s="176">
        <f t="shared" si="106"/>
        <v>0</v>
      </c>
      <c r="H372" s="176">
        <f t="shared" si="102"/>
        <v>0</v>
      </c>
      <c r="I372" s="176">
        <f t="shared" si="103"/>
        <v>0</v>
      </c>
    </row>
    <row r="373" spans="1:10" hidden="1" outlineLevel="1" x14ac:dyDescent="0.2">
      <c r="A373" s="67" t="s">
        <v>82</v>
      </c>
      <c r="B373" s="83">
        <f t="shared" si="104"/>
        <v>42826</v>
      </c>
      <c r="C373" s="83">
        <v>42916</v>
      </c>
      <c r="D373" s="85">
        <f t="shared" si="105"/>
        <v>91</v>
      </c>
      <c r="E373" s="86">
        <v>3.25</v>
      </c>
      <c r="F373" s="176">
        <f t="shared" si="101"/>
        <v>0</v>
      </c>
      <c r="G373" s="176">
        <f t="shared" si="106"/>
        <v>0</v>
      </c>
      <c r="H373" s="176">
        <f t="shared" si="102"/>
        <v>0</v>
      </c>
      <c r="I373" s="176">
        <f t="shared" si="103"/>
        <v>0</v>
      </c>
    </row>
    <row r="374" spans="1:10" hidden="1" outlineLevel="1" x14ac:dyDescent="0.2">
      <c r="A374" s="67" t="s">
        <v>83</v>
      </c>
      <c r="B374" s="83">
        <f>C373+1</f>
        <v>42917</v>
      </c>
      <c r="C374" s="83">
        <v>43008</v>
      </c>
      <c r="D374" s="85">
        <f>+C374-B374+1</f>
        <v>92</v>
      </c>
      <c r="E374" s="86">
        <v>3.25</v>
      </c>
      <c r="F374" s="176">
        <f t="shared" si="101"/>
        <v>0</v>
      </c>
      <c r="G374" s="176">
        <f>+D374/366*E374/100*F374</f>
        <v>0</v>
      </c>
      <c r="H374" s="176">
        <f t="shared" si="102"/>
        <v>0</v>
      </c>
      <c r="I374" s="176">
        <f t="shared" si="103"/>
        <v>0</v>
      </c>
    </row>
    <row r="375" spans="1:10" hidden="1" outlineLevel="1" x14ac:dyDescent="0.2">
      <c r="A375" s="67" t="s">
        <v>84</v>
      </c>
      <c r="B375" s="83">
        <f>C374+1</f>
        <v>43009</v>
      </c>
      <c r="C375" s="83">
        <v>43100</v>
      </c>
      <c r="D375" s="85">
        <f>+C375-B375+1</f>
        <v>92</v>
      </c>
      <c r="E375" s="86">
        <v>3.25</v>
      </c>
      <c r="F375" s="176">
        <f t="shared" si="101"/>
        <v>0</v>
      </c>
      <c r="G375" s="176">
        <f>+D375/366*E375/100*F375</f>
        <v>0</v>
      </c>
      <c r="H375" s="176">
        <v>0</v>
      </c>
      <c r="I375" s="176">
        <v>0</v>
      </c>
    </row>
    <row r="376" spans="1:10" collapsed="1" x14ac:dyDescent="0.2">
      <c r="A376" s="8"/>
      <c r="B376" s="92"/>
      <c r="C376" s="92"/>
      <c r="D376" s="93"/>
      <c r="E376" s="94"/>
      <c r="F376" s="96"/>
      <c r="G376" s="96"/>
      <c r="H376" s="96"/>
      <c r="I376" s="95"/>
    </row>
    <row r="377" spans="1:10" x14ac:dyDescent="0.2">
      <c r="A377" s="503" t="s">
        <v>129</v>
      </c>
      <c r="B377" s="504"/>
      <c r="C377" s="504"/>
      <c r="D377" s="504"/>
      <c r="E377" s="504"/>
      <c r="F377" s="504"/>
      <c r="G377" s="504"/>
      <c r="H377" s="504"/>
      <c r="I377" s="504"/>
      <c r="J377" s="505"/>
    </row>
    <row r="378" spans="1:10" hidden="1" outlineLevel="1" x14ac:dyDescent="0.2">
      <c r="A378" s="199" t="s">
        <v>7</v>
      </c>
      <c r="B378" s="199" t="s">
        <v>8</v>
      </c>
      <c r="C378" s="199" t="s">
        <v>9</v>
      </c>
      <c r="D378" s="199" t="s">
        <v>10</v>
      </c>
      <c r="E378" s="199" t="s">
        <v>11</v>
      </c>
      <c r="F378" s="199" t="s">
        <v>12</v>
      </c>
      <c r="G378" s="199" t="s">
        <v>13</v>
      </c>
      <c r="H378" s="199"/>
      <c r="I378" s="199"/>
      <c r="J378" s="199" t="s">
        <v>14</v>
      </c>
    </row>
    <row r="379" spans="1:10" ht="38.25" hidden="1" outlineLevel="1" x14ac:dyDescent="0.2">
      <c r="A379" s="6" t="s">
        <v>15</v>
      </c>
      <c r="B379" s="6" t="s">
        <v>16</v>
      </c>
      <c r="C379" s="6" t="s">
        <v>17</v>
      </c>
      <c r="D379" s="6" t="s">
        <v>18</v>
      </c>
      <c r="E379" s="6" t="s">
        <v>19</v>
      </c>
      <c r="F379" s="6" t="s">
        <v>20</v>
      </c>
      <c r="G379" s="6" t="s">
        <v>49</v>
      </c>
      <c r="H379" s="6" t="s">
        <v>22</v>
      </c>
      <c r="I379" s="6" t="s">
        <v>50</v>
      </c>
      <c r="J379" s="6" t="s">
        <v>21</v>
      </c>
    </row>
    <row r="380" spans="1:10" hidden="1" outlineLevel="1" x14ac:dyDescent="0.2">
      <c r="A380" s="172" t="s">
        <v>47</v>
      </c>
      <c r="B380" s="173">
        <f>B29</f>
        <v>0</v>
      </c>
      <c r="C380" s="173">
        <v>41182</v>
      </c>
      <c r="D380" s="183">
        <f>+C380-B380+1</f>
        <v>41183</v>
      </c>
      <c r="E380" s="175">
        <v>3.25</v>
      </c>
      <c r="F380" s="190">
        <f>E29</f>
        <v>0</v>
      </c>
      <c r="G380" s="190">
        <f>+D380/366*E380/100*F380</f>
        <v>0</v>
      </c>
      <c r="H380" s="190"/>
      <c r="I380" s="190"/>
      <c r="J380" s="189">
        <f>+F380+G380</f>
        <v>0</v>
      </c>
    </row>
    <row r="381" spans="1:10" hidden="1" outlineLevel="1" x14ac:dyDescent="0.2">
      <c r="A381" s="172" t="s">
        <v>33</v>
      </c>
      <c r="B381" s="173">
        <f>C380+1</f>
        <v>41183</v>
      </c>
      <c r="C381" s="173">
        <v>41274</v>
      </c>
      <c r="D381" s="183">
        <f>+C381-B381+1</f>
        <v>92</v>
      </c>
      <c r="E381" s="175">
        <v>3.25</v>
      </c>
      <c r="F381" s="190">
        <f>+J380</f>
        <v>0</v>
      </c>
      <c r="G381" s="190">
        <f>+D381/366*E381/100*F381</f>
        <v>0</v>
      </c>
      <c r="H381" s="190">
        <f>F380/20</f>
        <v>0</v>
      </c>
      <c r="I381" s="190">
        <f>G382/20</f>
        <v>0</v>
      </c>
      <c r="J381" s="189">
        <f>+F381+G381</f>
        <v>0</v>
      </c>
    </row>
    <row r="382" spans="1:10" hidden="1" outlineLevel="1" x14ac:dyDescent="0.2">
      <c r="A382" s="198"/>
      <c r="B382" s="198"/>
      <c r="C382" s="198"/>
      <c r="D382" s="198"/>
      <c r="E382" s="500" t="s">
        <v>51</v>
      </c>
      <c r="F382" s="500"/>
      <c r="G382" s="191">
        <f>SUM(G380:G381)</f>
        <v>0</v>
      </c>
      <c r="H382" s="198"/>
      <c r="I382" s="198"/>
      <c r="J382" s="198"/>
    </row>
    <row r="383" spans="1:10" hidden="1" outlineLevel="1" x14ac:dyDescent="0.2">
      <c r="A383" s="67" t="s">
        <v>60</v>
      </c>
      <c r="B383" s="83">
        <f>C381+1</f>
        <v>41275</v>
      </c>
      <c r="C383" s="83">
        <v>41364</v>
      </c>
      <c r="D383" s="85">
        <f t="shared" ref="D383:D392" si="107">+C383-B383+1</f>
        <v>90</v>
      </c>
      <c r="E383" s="86">
        <v>3.25</v>
      </c>
      <c r="F383" s="176">
        <f>F380-H381</f>
        <v>0</v>
      </c>
      <c r="G383" s="176">
        <f t="shared" ref="G383:G392" si="108">+D383/366*E383/100*F383</f>
        <v>0</v>
      </c>
      <c r="H383" s="176">
        <f>H381</f>
        <v>0</v>
      </c>
      <c r="I383" s="176">
        <f>G382/20</f>
        <v>0</v>
      </c>
    </row>
    <row r="384" spans="1:10" hidden="1" outlineLevel="1" x14ac:dyDescent="0.2">
      <c r="A384" s="67" t="s">
        <v>61</v>
      </c>
      <c r="B384" s="83">
        <f t="shared" ref="B384:B392" si="109">C383+1</f>
        <v>41365</v>
      </c>
      <c r="C384" s="83">
        <v>41455</v>
      </c>
      <c r="D384" s="85">
        <f t="shared" si="107"/>
        <v>91</v>
      </c>
      <c r="E384" s="86">
        <v>3.25</v>
      </c>
      <c r="F384" s="176">
        <f t="shared" ref="F384:F402" si="110">F383-H383</f>
        <v>0</v>
      </c>
      <c r="G384" s="176">
        <f t="shared" si="108"/>
        <v>0</v>
      </c>
      <c r="H384" s="176">
        <f>H383</f>
        <v>0</v>
      </c>
      <c r="I384" s="176">
        <f>I383</f>
        <v>0</v>
      </c>
    </row>
    <row r="385" spans="1:9" hidden="1" outlineLevel="1" x14ac:dyDescent="0.2">
      <c r="A385" s="67" t="s">
        <v>62</v>
      </c>
      <c r="B385" s="83">
        <f t="shared" si="109"/>
        <v>41456</v>
      </c>
      <c r="C385" s="83">
        <v>41547</v>
      </c>
      <c r="D385" s="85">
        <f t="shared" si="107"/>
        <v>92</v>
      </c>
      <c r="E385" s="86">
        <v>3.25</v>
      </c>
      <c r="F385" s="176">
        <f t="shared" si="110"/>
        <v>0</v>
      </c>
      <c r="G385" s="176">
        <f t="shared" si="108"/>
        <v>0</v>
      </c>
      <c r="H385" s="176">
        <f t="shared" ref="H385:H401" si="111">H384</f>
        <v>0</v>
      </c>
      <c r="I385" s="176">
        <f t="shared" ref="I385:I401" si="112">I384</f>
        <v>0</v>
      </c>
    </row>
    <row r="386" spans="1:9" hidden="1" outlineLevel="1" x14ac:dyDescent="0.2">
      <c r="A386" s="67" t="s">
        <v>63</v>
      </c>
      <c r="B386" s="83">
        <f t="shared" si="109"/>
        <v>41548</v>
      </c>
      <c r="C386" s="83">
        <v>41639</v>
      </c>
      <c r="D386" s="85">
        <f t="shared" si="107"/>
        <v>92</v>
      </c>
      <c r="E386" s="86">
        <v>3.25</v>
      </c>
      <c r="F386" s="176">
        <f t="shared" si="110"/>
        <v>0</v>
      </c>
      <c r="G386" s="176">
        <f t="shared" si="108"/>
        <v>0</v>
      </c>
      <c r="H386" s="176">
        <f t="shared" si="111"/>
        <v>0</v>
      </c>
      <c r="I386" s="176">
        <f t="shared" si="112"/>
        <v>0</v>
      </c>
    </row>
    <row r="387" spans="1:9" hidden="1" outlineLevel="1" x14ac:dyDescent="0.2">
      <c r="A387" s="98" t="s">
        <v>65</v>
      </c>
      <c r="B387" s="99">
        <f t="shared" si="109"/>
        <v>41640</v>
      </c>
      <c r="C387" s="99">
        <v>41729</v>
      </c>
      <c r="D387" s="100">
        <f t="shared" si="107"/>
        <v>90</v>
      </c>
      <c r="E387" s="101">
        <v>3.25</v>
      </c>
      <c r="F387" s="178">
        <f t="shared" si="110"/>
        <v>0</v>
      </c>
      <c r="G387" s="178">
        <f t="shared" si="108"/>
        <v>0</v>
      </c>
      <c r="H387" s="178">
        <f t="shared" si="111"/>
        <v>0</v>
      </c>
      <c r="I387" s="178">
        <f t="shared" si="112"/>
        <v>0</v>
      </c>
    </row>
    <row r="388" spans="1:9" hidden="1" outlineLevel="1" x14ac:dyDescent="0.2">
      <c r="A388" s="98" t="s">
        <v>66</v>
      </c>
      <c r="B388" s="99">
        <f t="shared" si="109"/>
        <v>41730</v>
      </c>
      <c r="C388" s="99">
        <v>41820</v>
      </c>
      <c r="D388" s="100">
        <f t="shared" si="107"/>
        <v>91</v>
      </c>
      <c r="E388" s="101">
        <v>3.25</v>
      </c>
      <c r="F388" s="178">
        <f t="shared" si="110"/>
        <v>0</v>
      </c>
      <c r="G388" s="178">
        <f t="shared" si="108"/>
        <v>0</v>
      </c>
      <c r="H388" s="178">
        <f t="shared" si="111"/>
        <v>0</v>
      </c>
      <c r="I388" s="178">
        <f t="shared" si="112"/>
        <v>0</v>
      </c>
    </row>
    <row r="389" spans="1:9" hidden="1" outlineLevel="1" x14ac:dyDescent="0.2">
      <c r="A389" s="98" t="s">
        <v>67</v>
      </c>
      <c r="B389" s="99">
        <f t="shared" si="109"/>
        <v>41821</v>
      </c>
      <c r="C389" s="99">
        <v>41912</v>
      </c>
      <c r="D389" s="100">
        <f t="shared" si="107"/>
        <v>92</v>
      </c>
      <c r="E389" s="101">
        <v>3.25</v>
      </c>
      <c r="F389" s="178">
        <f t="shared" si="110"/>
        <v>0</v>
      </c>
      <c r="G389" s="178">
        <f t="shared" si="108"/>
        <v>0</v>
      </c>
      <c r="H389" s="178">
        <f t="shared" si="111"/>
        <v>0</v>
      </c>
      <c r="I389" s="178">
        <f t="shared" si="112"/>
        <v>0</v>
      </c>
    </row>
    <row r="390" spans="1:9" hidden="1" outlineLevel="1" x14ac:dyDescent="0.2">
      <c r="A390" s="98" t="s">
        <v>68</v>
      </c>
      <c r="B390" s="99">
        <f t="shared" si="109"/>
        <v>41913</v>
      </c>
      <c r="C390" s="99">
        <v>42004</v>
      </c>
      <c r="D390" s="100">
        <f t="shared" si="107"/>
        <v>92</v>
      </c>
      <c r="E390" s="101">
        <v>3.25</v>
      </c>
      <c r="F390" s="178">
        <f t="shared" si="110"/>
        <v>0</v>
      </c>
      <c r="G390" s="178">
        <f t="shared" si="108"/>
        <v>0</v>
      </c>
      <c r="H390" s="178">
        <f t="shared" si="111"/>
        <v>0</v>
      </c>
      <c r="I390" s="178">
        <f t="shared" si="112"/>
        <v>0</v>
      </c>
    </row>
    <row r="391" spans="1:9" hidden="1" outlineLevel="1" x14ac:dyDescent="0.2">
      <c r="A391" s="67" t="s">
        <v>69</v>
      </c>
      <c r="B391" s="83">
        <f t="shared" si="109"/>
        <v>42005</v>
      </c>
      <c r="C391" s="83">
        <v>42094</v>
      </c>
      <c r="D391" s="85">
        <f t="shared" si="107"/>
        <v>90</v>
      </c>
      <c r="E391" s="86">
        <v>3.25</v>
      </c>
      <c r="F391" s="176">
        <f t="shared" si="110"/>
        <v>0</v>
      </c>
      <c r="G391" s="176">
        <f t="shared" si="108"/>
        <v>0</v>
      </c>
      <c r="H391" s="176">
        <f t="shared" si="111"/>
        <v>0</v>
      </c>
      <c r="I391" s="176">
        <f t="shared" si="112"/>
        <v>0</v>
      </c>
    </row>
    <row r="392" spans="1:9" hidden="1" outlineLevel="1" x14ac:dyDescent="0.2">
      <c r="A392" s="67" t="s">
        <v>70</v>
      </c>
      <c r="B392" s="83">
        <f t="shared" si="109"/>
        <v>42095</v>
      </c>
      <c r="C392" s="83">
        <v>42185</v>
      </c>
      <c r="D392" s="85">
        <f t="shared" si="107"/>
        <v>91</v>
      </c>
      <c r="E392" s="86">
        <v>3.25</v>
      </c>
      <c r="F392" s="176">
        <f t="shared" si="110"/>
        <v>0</v>
      </c>
      <c r="G392" s="176">
        <f t="shared" si="108"/>
        <v>0</v>
      </c>
      <c r="H392" s="176">
        <f t="shared" si="111"/>
        <v>0</v>
      </c>
      <c r="I392" s="176">
        <f t="shared" si="112"/>
        <v>0</v>
      </c>
    </row>
    <row r="393" spans="1:9" hidden="1" outlineLevel="1" x14ac:dyDescent="0.2">
      <c r="A393" s="67" t="s">
        <v>71</v>
      </c>
      <c r="B393" s="83">
        <f>C392+1</f>
        <v>42186</v>
      </c>
      <c r="C393" s="83">
        <v>42277</v>
      </c>
      <c r="D393" s="85">
        <f>+C393-B393+1</f>
        <v>92</v>
      </c>
      <c r="E393" s="86">
        <v>3.25</v>
      </c>
      <c r="F393" s="176">
        <f t="shared" si="110"/>
        <v>0</v>
      </c>
      <c r="G393" s="176">
        <f>+D393/366*E393/100*F393</f>
        <v>0</v>
      </c>
      <c r="H393" s="176">
        <f t="shared" si="111"/>
        <v>0</v>
      </c>
      <c r="I393" s="176">
        <f t="shared" si="112"/>
        <v>0</v>
      </c>
    </row>
    <row r="394" spans="1:9" hidden="1" outlineLevel="1" x14ac:dyDescent="0.2">
      <c r="A394" s="67" t="s">
        <v>72</v>
      </c>
      <c r="B394" s="83">
        <f t="shared" ref="B394:B400" si="113">C393+1</f>
        <v>42278</v>
      </c>
      <c r="C394" s="83">
        <v>42369</v>
      </c>
      <c r="D394" s="85">
        <f t="shared" ref="D394:D400" si="114">+C394-B394+1</f>
        <v>92</v>
      </c>
      <c r="E394" s="86">
        <v>3.25</v>
      </c>
      <c r="F394" s="176">
        <f t="shared" si="110"/>
        <v>0</v>
      </c>
      <c r="G394" s="176">
        <f>+D394/366*E394/100*F394</f>
        <v>0</v>
      </c>
      <c r="H394" s="176">
        <f t="shared" si="111"/>
        <v>0</v>
      </c>
      <c r="I394" s="176">
        <f t="shared" si="112"/>
        <v>0</v>
      </c>
    </row>
    <row r="395" spans="1:9" hidden="1" outlineLevel="1" x14ac:dyDescent="0.2">
      <c r="A395" s="98" t="s">
        <v>77</v>
      </c>
      <c r="B395" s="99">
        <f t="shared" si="113"/>
        <v>42370</v>
      </c>
      <c r="C395" s="99">
        <v>42460</v>
      </c>
      <c r="D395" s="100">
        <f t="shared" si="114"/>
        <v>91</v>
      </c>
      <c r="E395" s="101">
        <v>3.25</v>
      </c>
      <c r="F395" s="178">
        <f t="shared" si="110"/>
        <v>0</v>
      </c>
      <c r="G395" s="178">
        <f t="shared" ref="G395:G400" si="115">+D395/366*E395/100*F395</f>
        <v>0</v>
      </c>
      <c r="H395" s="178">
        <f t="shared" si="111"/>
        <v>0</v>
      </c>
      <c r="I395" s="178">
        <f t="shared" si="112"/>
        <v>0</v>
      </c>
    </row>
    <row r="396" spans="1:9" hidden="1" outlineLevel="1" x14ac:dyDescent="0.2">
      <c r="A396" s="98" t="s">
        <v>78</v>
      </c>
      <c r="B396" s="99">
        <f t="shared" si="113"/>
        <v>42461</v>
      </c>
      <c r="C396" s="99">
        <v>42551</v>
      </c>
      <c r="D396" s="100">
        <f t="shared" si="114"/>
        <v>91</v>
      </c>
      <c r="E396" s="101">
        <v>3.25</v>
      </c>
      <c r="F396" s="178">
        <f t="shared" si="110"/>
        <v>0</v>
      </c>
      <c r="G396" s="178">
        <f t="shared" si="115"/>
        <v>0</v>
      </c>
      <c r="H396" s="178">
        <f t="shared" si="111"/>
        <v>0</v>
      </c>
      <c r="I396" s="178">
        <f t="shared" si="112"/>
        <v>0</v>
      </c>
    </row>
    <row r="397" spans="1:9" hidden="1" outlineLevel="1" x14ac:dyDescent="0.2">
      <c r="A397" s="98" t="s">
        <v>79</v>
      </c>
      <c r="B397" s="99">
        <f t="shared" si="113"/>
        <v>42552</v>
      </c>
      <c r="C397" s="99">
        <v>42643</v>
      </c>
      <c r="D397" s="100">
        <f t="shared" si="114"/>
        <v>92</v>
      </c>
      <c r="E397" s="101">
        <v>3.25</v>
      </c>
      <c r="F397" s="178">
        <f t="shared" si="110"/>
        <v>0</v>
      </c>
      <c r="G397" s="178">
        <f t="shared" si="115"/>
        <v>0</v>
      </c>
      <c r="H397" s="178">
        <f t="shared" si="111"/>
        <v>0</v>
      </c>
      <c r="I397" s="178">
        <f t="shared" si="112"/>
        <v>0</v>
      </c>
    </row>
    <row r="398" spans="1:9" hidden="1" outlineLevel="1" x14ac:dyDescent="0.2">
      <c r="A398" s="98" t="s">
        <v>80</v>
      </c>
      <c r="B398" s="99">
        <f t="shared" si="113"/>
        <v>42644</v>
      </c>
      <c r="C398" s="99">
        <v>42735</v>
      </c>
      <c r="D398" s="100">
        <f t="shared" si="114"/>
        <v>92</v>
      </c>
      <c r="E398" s="101">
        <v>3.25</v>
      </c>
      <c r="F398" s="178">
        <f t="shared" si="110"/>
        <v>0</v>
      </c>
      <c r="G398" s="178">
        <f t="shared" si="115"/>
        <v>0</v>
      </c>
      <c r="H398" s="178">
        <f t="shared" si="111"/>
        <v>0</v>
      </c>
      <c r="I398" s="178">
        <f t="shared" si="112"/>
        <v>0</v>
      </c>
    </row>
    <row r="399" spans="1:9" hidden="1" outlineLevel="1" x14ac:dyDescent="0.2">
      <c r="A399" s="67" t="s">
        <v>81</v>
      </c>
      <c r="B399" s="83">
        <f t="shared" si="113"/>
        <v>42736</v>
      </c>
      <c r="C399" s="83">
        <v>42825</v>
      </c>
      <c r="D399" s="85">
        <f t="shared" si="114"/>
        <v>90</v>
      </c>
      <c r="E399" s="86">
        <v>3.25</v>
      </c>
      <c r="F399" s="176">
        <f t="shared" si="110"/>
        <v>0</v>
      </c>
      <c r="G399" s="176">
        <f t="shared" si="115"/>
        <v>0</v>
      </c>
      <c r="H399" s="176">
        <f t="shared" si="111"/>
        <v>0</v>
      </c>
      <c r="I399" s="176">
        <f t="shared" si="112"/>
        <v>0</v>
      </c>
    </row>
    <row r="400" spans="1:9" hidden="1" outlineLevel="1" x14ac:dyDescent="0.2">
      <c r="A400" s="67" t="s">
        <v>82</v>
      </c>
      <c r="B400" s="83">
        <f t="shared" si="113"/>
        <v>42826</v>
      </c>
      <c r="C400" s="83">
        <v>42916</v>
      </c>
      <c r="D400" s="85">
        <f t="shared" si="114"/>
        <v>91</v>
      </c>
      <c r="E400" s="86">
        <v>3.25</v>
      </c>
      <c r="F400" s="176">
        <f t="shared" si="110"/>
        <v>0</v>
      </c>
      <c r="G400" s="176">
        <f t="shared" si="115"/>
        <v>0</v>
      </c>
      <c r="H400" s="176">
        <f t="shared" si="111"/>
        <v>0</v>
      </c>
      <c r="I400" s="176">
        <f t="shared" si="112"/>
        <v>0</v>
      </c>
    </row>
    <row r="401" spans="1:9" hidden="1" outlineLevel="1" x14ac:dyDescent="0.2">
      <c r="A401" s="67" t="s">
        <v>83</v>
      </c>
      <c r="B401" s="83">
        <f>C400+1</f>
        <v>42917</v>
      </c>
      <c r="C401" s="83">
        <v>43008</v>
      </c>
      <c r="D401" s="85">
        <f>+C401-B401+1</f>
        <v>92</v>
      </c>
      <c r="E401" s="86">
        <v>3.25</v>
      </c>
      <c r="F401" s="176">
        <f t="shared" si="110"/>
        <v>0</v>
      </c>
      <c r="G401" s="176">
        <f>+D401/366*E401/100*F401</f>
        <v>0</v>
      </c>
      <c r="H401" s="176">
        <f t="shared" si="111"/>
        <v>0</v>
      </c>
      <c r="I401" s="176">
        <f t="shared" si="112"/>
        <v>0</v>
      </c>
    </row>
    <row r="402" spans="1:9" hidden="1" outlineLevel="1" x14ac:dyDescent="0.2">
      <c r="A402" s="67" t="s">
        <v>84</v>
      </c>
      <c r="B402" s="83">
        <f>C401+1</f>
        <v>43009</v>
      </c>
      <c r="C402" s="83">
        <v>43100</v>
      </c>
      <c r="D402" s="85">
        <f>+C402-B402+1</f>
        <v>92</v>
      </c>
      <c r="E402" s="86">
        <v>3.25</v>
      </c>
      <c r="F402" s="176">
        <f t="shared" si="110"/>
        <v>0</v>
      </c>
      <c r="G402" s="176">
        <f>+D402/366*E402/100*F402</f>
        <v>0</v>
      </c>
      <c r="H402" s="176">
        <v>0</v>
      </c>
      <c r="I402" s="176">
        <v>0</v>
      </c>
    </row>
    <row r="403" spans="1:9" collapsed="1" x14ac:dyDescent="0.2">
      <c r="A403" s="8"/>
      <c r="B403" s="92"/>
      <c r="C403" s="92"/>
      <c r="D403" s="93"/>
      <c r="E403" s="94"/>
      <c r="F403" s="96"/>
      <c r="G403" s="96"/>
      <c r="H403" s="96"/>
      <c r="I403" s="95"/>
    </row>
    <row r="404" spans="1:9" x14ac:dyDescent="0.2">
      <c r="A404" s="8"/>
      <c r="B404" s="501" t="s">
        <v>130</v>
      </c>
      <c r="C404" s="501"/>
      <c r="D404" s="501"/>
      <c r="E404" s="501"/>
      <c r="F404" s="96"/>
      <c r="G404" s="96"/>
      <c r="H404" s="96"/>
      <c r="I404" s="95"/>
    </row>
    <row r="405" spans="1:9" ht="38.25" hidden="1" outlineLevel="1" x14ac:dyDescent="0.2">
      <c r="A405" s="8"/>
      <c r="B405" s="200" t="s">
        <v>76</v>
      </c>
      <c r="C405" s="200" t="s">
        <v>22</v>
      </c>
      <c r="D405" s="200" t="s">
        <v>75</v>
      </c>
      <c r="E405" s="201" t="s">
        <v>64</v>
      </c>
      <c r="F405" s="96"/>
      <c r="G405" s="96"/>
      <c r="H405" s="96"/>
      <c r="I405" s="95"/>
    </row>
    <row r="406" spans="1:9" hidden="1" outlineLevel="1" x14ac:dyDescent="0.2">
      <c r="A406" s="98" t="s">
        <v>33</v>
      </c>
      <c r="B406" s="204">
        <f>SUM(G381,G354,G327,G300,G272,G244,G216,G187,G158,G129,G99)</f>
        <v>0</v>
      </c>
      <c r="C406" s="204">
        <f>SUM(H381,H354,H327,H300,H272,H244,H216,H187,H158,H129,H99,H69)</f>
        <v>0</v>
      </c>
      <c r="D406" s="205">
        <f>SUM(I381,I354,I327,I300,I272,I244,I216,I187,I158,I129,I99)</f>
        <v>0</v>
      </c>
      <c r="E406" s="205">
        <f>B406+D406</f>
        <v>0</v>
      </c>
      <c r="F406" s="96"/>
      <c r="G406" s="96"/>
      <c r="H406" s="96"/>
      <c r="I406" s="95"/>
    </row>
    <row r="407" spans="1:9" hidden="1" outlineLevel="1" x14ac:dyDescent="0.2">
      <c r="A407" s="67" t="s">
        <v>60</v>
      </c>
      <c r="B407" s="202">
        <f>SUM(G383,G356,G329,G302,G274,G246,G218,G189,G160,G131,G101)</f>
        <v>0</v>
      </c>
      <c r="C407" s="202">
        <f>SUM(H383,H356,H329,H302,H274,H246,H218,H189,H160,H131,H101,H71)</f>
        <v>0</v>
      </c>
      <c r="D407" s="203">
        <f>SUM(I383,I356,I329,I302,I274,I246,I218,I189,I160,I131,I101)</f>
        <v>0</v>
      </c>
      <c r="E407" s="203">
        <f t="shared" ref="E407:E426" si="116">B407+D407</f>
        <v>0</v>
      </c>
      <c r="F407" s="96"/>
      <c r="G407" s="96"/>
      <c r="H407" s="96"/>
      <c r="I407" s="95"/>
    </row>
    <row r="408" spans="1:9" hidden="1" outlineLevel="1" x14ac:dyDescent="0.2">
      <c r="A408" s="67" t="s">
        <v>61</v>
      </c>
      <c r="B408" s="202">
        <f t="shared" ref="B408:B426" si="117">SUM(G384,G357,G330,G303,G275,G247,G219,G190,G161,G132,G102)</f>
        <v>0</v>
      </c>
      <c r="C408" s="202">
        <f t="shared" ref="C408:C426" si="118">SUM(H384,H357,H330,H303,H275,H247,H219,H190,H161,H132,H102,H72)</f>
        <v>0</v>
      </c>
      <c r="D408" s="203">
        <f t="shared" ref="D408:D426" si="119">SUM(I384,I357,I330,I303,I275,I247,I219,I190,I161,I132,I102)</f>
        <v>0</v>
      </c>
      <c r="E408" s="203">
        <f t="shared" si="116"/>
        <v>0</v>
      </c>
      <c r="F408" s="96"/>
      <c r="G408" s="96"/>
      <c r="H408" s="96"/>
      <c r="I408" s="95"/>
    </row>
    <row r="409" spans="1:9" hidden="1" outlineLevel="1" x14ac:dyDescent="0.2">
      <c r="A409" s="67" t="s">
        <v>62</v>
      </c>
      <c r="B409" s="202">
        <f t="shared" si="117"/>
        <v>0</v>
      </c>
      <c r="C409" s="202">
        <f t="shared" si="118"/>
        <v>0</v>
      </c>
      <c r="D409" s="203">
        <f t="shared" si="119"/>
        <v>0</v>
      </c>
      <c r="E409" s="203">
        <f t="shared" si="116"/>
        <v>0</v>
      </c>
      <c r="F409" s="96"/>
      <c r="G409" s="96"/>
      <c r="H409" s="96"/>
      <c r="I409" s="95"/>
    </row>
    <row r="410" spans="1:9" hidden="1" outlineLevel="1" x14ac:dyDescent="0.2">
      <c r="A410" s="67" t="s">
        <v>63</v>
      </c>
      <c r="B410" s="202">
        <f t="shared" si="117"/>
        <v>0</v>
      </c>
      <c r="C410" s="202">
        <f t="shared" si="118"/>
        <v>0</v>
      </c>
      <c r="D410" s="203">
        <f t="shared" si="119"/>
        <v>0</v>
      </c>
      <c r="E410" s="203">
        <f t="shared" si="116"/>
        <v>0</v>
      </c>
    </row>
    <row r="411" spans="1:9" hidden="1" outlineLevel="1" x14ac:dyDescent="0.2">
      <c r="A411" s="98" t="s">
        <v>65</v>
      </c>
      <c r="B411" s="204">
        <f t="shared" si="117"/>
        <v>0</v>
      </c>
      <c r="C411" s="204">
        <f t="shared" si="118"/>
        <v>0</v>
      </c>
      <c r="D411" s="205">
        <f t="shared" si="119"/>
        <v>0</v>
      </c>
      <c r="E411" s="205">
        <f t="shared" si="116"/>
        <v>0</v>
      </c>
      <c r="F411" s="18"/>
    </row>
    <row r="412" spans="1:9" hidden="1" outlineLevel="1" x14ac:dyDescent="0.2">
      <c r="A412" s="98" t="s">
        <v>66</v>
      </c>
      <c r="B412" s="204">
        <f t="shared" si="117"/>
        <v>0</v>
      </c>
      <c r="C412" s="204">
        <f t="shared" si="118"/>
        <v>0</v>
      </c>
      <c r="D412" s="205">
        <f t="shared" si="119"/>
        <v>0</v>
      </c>
      <c r="E412" s="205">
        <f t="shared" si="116"/>
        <v>0</v>
      </c>
    </row>
    <row r="413" spans="1:9" hidden="1" outlineLevel="1" x14ac:dyDescent="0.2">
      <c r="A413" s="98" t="s">
        <v>67</v>
      </c>
      <c r="B413" s="204">
        <f t="shared" si="117"/>
        <v>0</v>
      </c>
      <c r="C413" s="204">
        <f t="shared" si="118"/>
        <v>0</v>
      </c>
      <c r="D413" s="205">
        <f t="shared" si="119"/>
        <v>0</v>
      </c>
      <c r="E413" s="205">
        <f t="shared" si="116"/>
        <v>0</v>
      </c>
    </row>
    <row r="414" spans="1:9" hidden="1" outlineLevel="1" x14ac:dyDescent="0.2">
      <c r="A414" s="98" t="s">
        <v>68</v>
      </c>
      <c r="B414" s="204">
        <f t="shared" si="117"/>
        <v>0</v>
      </c>
      <c r="C414" s="204">
        <f t="shared" si="118"/>
        <v>0</v>
      </c>
      <c r="D414" s="205">
        <f t="shared" si="119"/>
        <v>0</v>
      </c>
      <c r="E414" s="205">
        <f t="shared" si="116"/>
        <v>0</v>
      </c>
    </row>
    <row r="415" spans="1:9" hidden="1" outlineLevel="1" x14ac:dyDescent="0.2">
      <c r="A415" s="67" t="s">
        <v>69</v>
      </c>
      <c r="B415" s="202">
        <f t="shared" si="117"/>
        <v>0</v>
      </c>
      <c r="C415" s="202">
        <f t="shared" si="118"/>
        <v>0</v>
      </c>
      <c r="D415" s="203">
        <f t="shared" si="119"/>
        <v>0</v>
      </c>
      <c r="E415" s="203">
        <f t="shared" si="116"/>
        <v>0</v>
      </c>
    </row>
    <row r="416" spans="1:9" hidden="1" outlineLevel="1" x14ac:dyDescent="0.2">
      <c r="A416" s="67" t="s">
        <v>70</v>
      </c>
      <c r="B416" s="202">
        <f t="shared" si="117"/>
        <v>0</v>
      </c>
      <c r="C416" s="202">
        <f t="shared" si="118"/>
        <v>0</v>
      </c>
      <c r="D416" s="203">
        <f t="shared" si="119"/>
        <v>0</v>
      </c>
      <c r="E416" s="203">
        <f t="shared" si="116"/>
        <v>0</v>
      </c>
    </row>
    <row r="417" spans="1:5" hidden="1" outlineLevel="1" x14ac:dyDescent="0.2">
      <c r="A417" s="67" t="s">
        <v>71</v>
      </c>
      <c r="B417" s="202">
        <f t="shared" si="117"/>
        <v>0</v>
      </c>
      <c r="C417" s="202">
        <f t="shared" si="118"/>
        <v>0</v>
      </c>
      <c r="D417" s="203">
        <f t="shared" si="119"/>
        <v>0</v>
      </c>
      <c r="E417" s="203">
        <f t="shared" si="116"/>
        <v>0</v>
      </c>
    </row>
    <row r="418" spans="1:5" hidden="1" outlineLevel="1" x14ac:dyDescent="0.2">
      <c r="A418" s="67" t="s">
        <v>72</v>
      </c>
      <c r="B418" s="202">
        <f t="shared" si="117"/>
        <v>0</v>
      </c>
      <c r="C418" s="202">
        <f t="shared" si="118"/>
        <v>0</v>
      </c>
      <c r="D418" s="203">
        <f t="shared" si="119"/>
        <v>0</v>
      </c>
      <c r="E418" s="203">
        <f t="shared" si="116"/>
        <v>0</v>
      </c>
    </row>
    <row r="419" spans="1:5" hidden="1" outlineLevel="1" x14ac:dyDescent="0.2">
      <c r="A419" s="98" t="s">
        <v>77</v>
      </c>
      <c r="B419" s="204">
        <f t="shared" si="117"/>
        <v>0</v>
      </c>
      <c r="C419" s="204">
        <f t="shared" si="118"/>
        <v>0</v>
      </c>
      <c r="D419" s="205">
        <f t="shared" si="119"/>
        <v>0</v>
      </c>
      <c r="E419" s="205">
        <f t="shared" si="116"/>
        <v>0</v>
      </c>
    </row>
    <row r="420" spans="1:5" hidden="1" outlineLevel="1" x14ac:dyDescent="0.2">
      <c r="A420" s="98" t="s">
        <v>78</v>
      </c>
      <c r="B420" s="204">
        <f t="shared" si="117"/>
        <v>0</v>
      </c>
      <c r="C420" s="204">
        <f t="shared" si="118"/>
        <v>0</v>
      </c>
      <c r="D420" s="205">
        <f t="shared" si="119"/>
        <v>0</v>
      </c>
      <c r="E420" s="205">
        <f t="shared" si="116"/>
        <v>0</v>
      </c>
    </row>
    <row r="421" spans="1:5" hidden="1" outlineLevel="1" x14ac:dyDescent="0.2">
      <c r="A421" s="98" t="s">
        <v>79</v>
      </c>
      <c r="B421" s="204">
        <f t="shared" si="117"/>
        <v>0</v>
      </c>
      <c r="C421" s="204">
        <f t="shared" si="118"/>
        <v>0</v>
      </c>
      <c r="D421" s="205">
        <f t="shared" si="119"/>
        <v>0</v>
      </c>
      <c r="E421" s="205">
        <f t="shared" si="116"/>
        <v>0</v>
      </c>
    </row>
    <row r="422" spans="1:5" hidden="1" outlineLevel="1" x14ac:dyDescent="0.2">
      <c r="A422" s="98" t="s">
        <v>80</v>
      </c>
      <c r="B422" s="204">
        <f t="shared" si="117"/>
        <v>0</v>
      </c>
      <c r="C422" s="204">
        <f t="shared" si="118"/>
        <v>0</v>
      </c>
      <c r="D422" s="205">
        <f t="shared" si="119"/>
        <v>0</v>
      </c>
      <c r="E422" s="205">
        <f t="shared" si="116"/>
        <v>0</v>
      </c>
    </row>
    <row r="423" spans="1:5" hidden="1" outlineLevel="1" x14ac:dyDescent="0.2">
      <c r="A423" s="67" t="s">
        <v>81</v>
      </c>
      <c r="B423" s="202">
        <f t="shared" si="117"/>
        <v>0</v>
      </c>
      <c r="C423" s="202">
        <f t="shared" si="118"/>
        <v>0</v>
      </c>
      <c r="D423" s="203">
        <f t="shared" si="119"/>
        <v>0</v>
      </c>
      <c r="E423" s="203">
        <f t="shared" si="116"/>
        <v>0</v>
      </c>
    </row>
    <row r="424" spans="1:5" hidden="1" outlineLevel="1" x14ac:dyDescent="0.2">
      <c r="A424" s="67" t="s">
        <v>82</v>
      </c>
      <c r="B424" s="202">
        <f t="shared" si="117"/>
        <v>0</v>
      </c>
      <c r="C424" s="202">
        <f t="shared" si="118"/>
        <v>0</v>
      </c>
      <c r="D424" s="203">
        <f t="shared" si="119"/>
        <v>0</v>
      </c>
      <c r="E424" s="203">
        <f t="shared" si="116"/>
        <v>0</v>
      </c>
    </row>
    <row r="425" spans="1:5" hidden="1" outlineLevel="1" x14ac:dyDescent="0.2">
      <c r="A425" s="67" t="s">
        <v>83</v>
      </c>
      <c r="B425" s="202">
        <f t="shared" si="117"/>
        <v>0</v>
      </c>
      <c r="C425" s="202">
        <f t="shared" si="118"/>
        <v>0</v>
      </c>
      <c r="D425" s="203">
        <f t="shared" si="119"/>
        <v>0</v>
      </c>
      <c r="E425" s="203">
        <f t="shared" si="116"/>
        <v>0</v>
      </c>
    </row>
    <row r="426" spans="1:5" hidden="1" outlineLevel="1" x14ac:dyDescent="0.2">
      <c r="A426" s="67" t="s">
        <v>84</v>
      </c>
      <c r="B426" s="202">
        <f t="shared" si="117"/>
        <v>0</v>
      </c>
      <c r="C426" s="202">
        <f t="shared" si="118"/>
        <v>0</v>
      </c>
      <c r="D426" s="203">
        <f t="shared" si="119"/>
        <v>0</v>
      </c>
      <c r="E426" s="203">
        <f t="shared" si="116"/>
        <v>0</v>
      </c>
    </row>
    <row r="427" spans="1:5" collapsed="1" x14ac:dyDescent="0.2"/>
    <row r="436" spans="8:8" x14ac:dyDescent="0.2">
      <c r="H436" s="97"/>
    </row>
  </sheetData>
  <mergeCells count="29">
    <mergeCell ref="K40:P42"/>
    <mergeCell ref="H3:H12"/>
    <mergeCell ref="A210:J210"/>
    <mergeCell ref="A32:B32"/>
    <mergeCell ref="A35:J35"/>
    <mergeCell ref="A62:J62"/>
    <mergeCell ref="A92:J92"/>
    <mergeCell ref="E100:F100"/>
    <mergeCell ref="A122:J122"/>
    <mergeCell ref="A152:J152"/>
    <mergeCell ref="E159:F159"/>
    <mergeCell ref="A181:J181"/>
    <mergeCell ref="E188:F188"/>
    <mergeCell ref="E382:F382"/>
    <mergeCell ref="B404:E404"/>
    <mergeCell ref="A1:F1"/>
    <mergeCell ref="A295:J295"/>
    <mergeCell ref="E301:F301"/>
    <mergeCell ref="A323:J323"/>
    <mergeCell ref="E328:F328"/>
    <mergeCell ref="A350:J350"/>
    <mergeCell ref="E355:F355"/>
    <mergeCell ref="E217:F217"/>
    <mergeCell ref="A239:J239"/>
    <mergeCell ref="E245:F245"/>
    <mergeCell ref="A267:J267"/>
    <mergeCell ref="E273:F273"/>
    <mergeCell ref="A377:J377"/>
    <mergeCell ref="E130:F130"/>
  </mergeCells>
  <phoneticPr fontId="2" type="noConversion"/>
  <pageMargins left="0.5" right="0.5" top="1" bottom="0.89" header="0.5" footer="0.5"/>
  <pageSetup scale="59" orientation="landscape" r:id="rId1"/>
  <headerFooter alignWithMargins="0">
    <oddHeader>&amp;RTO9 Annual Update
Attachment 4
WP Schedule 22
Page &amp;P of &amp;N</oddHeader>
    <oddFooter>&amp;C&amp;A</oddFooter>
  </headerFooter>
  <colBreaks count="1" manualBreakCount="1">
    <brk id="10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 enableFormatConditionsCalculation="0">
    <tabColor theme="0" tint="-4.9989318521683403E-2"/>
  </sheetPr>
  <dimension ref="A1:P41"/>
  <sheetViews>
    <sheetView zoomScale="85" zoomScaleNormal="85" workbookViewId="0"/>
  </sheetViews>
  <sheetFormatPr defaultColWidth="9.140625" defaultRowHeight="12.75" x14ac:dyDescent="0.2"/>
  <cols>
    <col min="1" max="1" width="12.28515625" style="21" customWidth="1"/>
    <col min="2" max="2" width="11" style="21" customWidth="1"/>
    <col min="3" max="3" width="12" style="21" customWidth="1"/>
    <col min="4" max="6" width="16.28515625" style="21" customWidth="1"/>
    <col min="7" max="7" width="18" style="21" bestFit="1" customWidth="1"/>
    <col min="8" max="8" width="19.85546875" style="21" bestFit="1" customWidth="1"/>
    <col min="9" max="9" width="12.85546875" style="21" bestFit="1" customWidth="1"/>
    <col min="10" max="10" width="19.85546875" style="21" bestFit="1" customWidth="1"/>
    <col min="11" max="16384" width="9.140625" style="21"/>
  </cols>
  <sheetData>
    <row r="1" spans="1:16" ht="51" x14ac:dyDescent="0.2">
      <c r="B1" s="3" t="s">
        <v>23</v>
      </c>
      <c r="C1" s="4" t="s">
        <v>6</v>
      </c>
      <c r="D1" s="3" t="s">
        <v>5</v>
      </c>
      <c r="E1" s="3" t="s">
        <v>1</v>
      </c>
      <c r="F1" s="3" t="s">
        <v>24</v>
      </c>
      <c r="G1" s="4" t="s">
        <v>0</v>
      </c>
    </row>
    <row r="2" spans="1:16" x14ac:dyDescent="0.2">
      <c r="B2" s="7">
        <v>1</v>
      </c>
      <c r="C2" s="12">
        <v>40689</v>
      </c>
      <c r="D2" s="13">
        <v>13433683</v>
      </c>
      <c r="E2" s="13">
        <v>0</v>
      </c>
      <c r="F2" s="13">
        <v>0</v>
      </c>
      <c r="G2" s="39">
        <f>SUM(D2:F2)</f>
        <v>13433683</v>
      </c>
    </row>
    <row r="3" spans="1:16" x14ac:dyDescent="0.2">
      <c r="C3" s="5" t="s">
        <v>0</v>
      </c>
      <c r="D3" s="41">
        <f>SUM(D2:D2)</f>
        <v>13433683</v>
      </c>
      <c r="E3" s="41">
        <f>SUM(E2:E2)</f>
        <v>0</v>
      </c>
      <c r="F3" s="41">
        <f>SUM(F2:F2)</f>
        <v>0</v>
      </c>
      <c r="G3" s="41">
        <f>SUM(G2:G2)</f>
        <v>13433683</v>
      </c>
    </row>
    <row r="5" spans="1:16" x14ac:dyDescent="0.2">
      <c r="A5" s="508" t="s">
        <v>26</v>
      </c>
      <c r="B5" s="508"/>
      <c r="C5" s="270">
        <v>41199</v>
      </c>
      <c r="D5" s="7" t="s">
        <v>58</v>
      </c>
      <c r="E5" s="1"/>
    </row>
    <row r="6" spans="1:16" x14ac:dyDescent="0.2">
      <c r="A6" s="508" t="s">
        <v>154</v>
      </c>
      <c r="B6" s="508"/>
      <c r="C6" s="270">
        <v>41395</v>
      </c>
      <c r="D6" s="7" t="s">
        <v>58</v>
      </c>
      <c r="E6" s="1"/>
    </row>
    <row r="8" spans="1:16" x14ac:dyDescent="0.2">
      <c r="A8" s="511" t="s">
        <v>25</v>
      </c>
      <c r="B8" s="511"/>
      <c r="C8" s="511"/>
      <c r="D8" s="511"/>
      <c r="E8" s="511"/>
      <c r="F8" s="511"/>
      <c r="G8" s="511"/>
      <c r="H8" s="511"/>
      <c r="I8" s="511"/>
      <c r="J8" s="511"/>
    </row>
    <row r="9" spans="1:16" ht="25.5" x14ac:dyDescent="0.2">
      <c r="A9" s="289" t="s">
        <v>15</v>
      </c>
      <c r="B9" s="289" t="s">
        <v>16</v>
      </c>
      <c r="C9" s="289" t="s">
        <v>17</v>
      </c>
      <c r="D9" s="289" t="s">
        <v>18</v>
      </c>
      <c r="E9" s="289" t="s">
        <v>153</v>
      </c>
      <c r="F9" s="289" t="s">
        <v>108</v>
      </c>
      <c r="G9" s="289" t="s">
        <v>109</v>
      </c>
      <c r="H9" s="289" t="s">
        <v>22</v>
      </c>
      <c r="I9" s="289" t="s">
        <v>50</v>
      </c>
      <c r="J9" s="289" t="s">
        <v>110</v>
      </c>
    </row>
    <row r="10" spans="1:16" ht="14.25" customHeight="1" x14ac:dyDescent="0.2">
      <c r="A10" s="67" t="s">
        <v>33</v>
      </c>
      <c r="B10" s="83">
        <f>C5</f>
        <v>41199</v>
      </c>
      <c r="C10" s="83">
        <v>41274</v>
      </c>
      <c r="D10" s="67">
        <f>C10-B10+1</f>
        <v>76</v>
      </c>
      <c r="E10" s="291">
        <v>3.2500000000000001E-2</v>
      </c>
      <c r="F10" s="68">
        <f>D3</f>
        <v>13433683</v>
      </c>
      <c r="G10" s="170">
        <f>F10*(E10)*(D10/366)</f>
        <v>90659.008224043719</v>
      </c>
      <c r="H10" s="170">
        <v>0</v>
      </c>
      <c r="I10" s="68"/>
      <c r="J10" s="170">
        <f>F10+G10</f>
        <v>13524342.008224044</v>
      </c>
      <c r="K10" s="512" t="s">
        <v>140</v>
      </c>
      <c r="L10" s="513"/>
      <c r="M10" s="513"/>
      <c r="N10" s="513"/>
      <c r="O10" s="513"/>
      <c r="P10" s="513"/>
    </row>
    <row r="11" spans="1:16" x14ac:dyDescent="0.2">
      <c r="A11" s="67" t="s">
        <v>60</v>
      </c>
      <c r="B11" s="83">
        <v>41275</v>
      </c>
      <c r="C11" s="83">
        <v>41364</v>
      </c>
      <c r="D11" s="67">
        <f t="shared" ref="D11:D12" si="0">C11-B11+1</f>
        <v>90</v>
      </c>
      <c r="E11" s="291">
        <v>3.2500000000000001E-2</v>
      </c>
      <c r="F11" s="68">
        <f>J10</f>
        <v>13524342.008224044</v>
      </c>
      <c r="G11" s="170">
        <f>F11*(E11)*(D11/365)</f>
        <v>108380.00102480911</v>
      </c>
      <c r="H11" s="170">
        <v>0</v>
      </c>
      <c r="I11" s="68"/>
      <c r="J11" s="170">
        <f>F11+G11</f>
        <v>13632722.009248853</v>
      </c>
      <c r="K11" s="512"/>
      <c r="L11" s="513"/>
      <c r="M11" s="513"/>
      <c r="N11" s="513"/>
      <c r="O11" s="513"/>
      <c r="P11" s="513"/>
    </row>
    <row r="12" spans="1:16" x14ac:dyDescent="0.2">
      <c r="A12" s="67" t="s">
        <v>61</v>
      </c>
      <c r="B12" s="83">
        <f>C11+1</f>
        <v>41365</v>
      </c>
      <c r="C12" s="83">
        <v>41455</v>
      </c>
      <c r="D12" s="67">
        <f t="shared" si="0"/>
        <v>91</v>
      </c>
      <c r="E12" s="291">
        <v>3.2500000000000001E-2</v>
      </c>
      <c r="F12" s="68">
        <f>J11</f>
        <v>13632722.009248853</v>
      </c>
      <c r="G12" s="170">
        <f>F12*(E12)*(D12/365)</f>
        <v>110462.39819822872</v>
      </c>
      <c r="H12" s="170">
        <v>0</v>
      </c>
      <c r="I12" s="68"/>
      <c r="J12" s="170">
        <f>F12+G12</f>
        <v>13743184.407447081</v>
      </c>
      <c r="K12" s="512"/>
      <c r="L12" s="513"/>
      <c r="M12" s="513"/>
      <c r="N12" s="513"/>
      <c r="O12" s="513"/>
      <c r="P12" s="513"/>
    </row>
    <row r="13" spans="1:16" x14ac:dyDescent="0.2">
      <c r="A13" s="264"/>
      <c r="B13" s="265"/>
      <c r="C13" s="265"/>
      <c r="D13" s="264"/>
      <c r="E13" s="266"/>
      <c r="F13" s="306"/>
      <c r="G13" s="307">
        <f>SUM(G10:G12)</f>
        <v>309501.40744708158</v>
      </c>
      <c r="H13" s="307"/>
      <c r="I13" s="306"/>
      <c r="J13" s="307"/>
      <c r="K13" s="304"/>
      <c r="L13" s="305"/>
      <c r="M13" s="305"/>
      <c r="N13" s="305"/>
      <c r="O13" s="305"/>
    </row>
    <row r="14" spans="1:16" x14ac:dyDescent="0.2">
      <c r="A14" s="67" t="s">
        <v>62</v>
      </c>
      <c r="B14" s="83">
        <v>41456</v>
      </c>
      <c r="C14" s="83">
        <v>41547</v>
      </c>
      <c r="D14" s="85">
        <f t="shared" ref="D14:D32" si="1">+C14-B14+1</f>
        <v>92</v>
      </c>
      <c r="E14" s="291">
        <v>3.2500000000000001E-2</v>
      </c>
      <c r="F14" s="68">
        <f>$D$3</f>
        <v>13433683</v>
      </c>
      <c r="G14" s="170">
        <f>F14*(E14)*(D14/365)</f>
        <v>110045.7867671233</v>
      </c>
      <c r="H14" s="170">
        <f>$D$3/20*2</f>
        <v>1343368.3</v>
      </c>
      <c r="I14" s="170">
        <f>G13</f>
        <v>309501.40744708158</v>
      </c>
      <c r="J14" s="170">
        <f t="shared" ref="J14:J32" si="2">F14-H14</f>
        <v>12090314.699999999</v>
      </c>
      <c r="K14" s="1" t="s">
        <v>156</v>
      </c>
    </row>
    <row r="15" spans="1:16" x14ac:dyDescent="0.2">
      <c r="A15" s="67" t="s">
        <v>63</v>
      </c>
      <c r="B15" s="83">
        <f t="shared" ref="B15:B32" si="3">C14+1</f>
        <v>41548</v>
      </c>
      <c r="C15" s="83">
        <v>41639</v>
      </c>
      <c r="D15" s="85">
        <f t="shared" si="1"/>
        <v>92</v>
      </c>
      <c r="E15" s="291">
        <v>3.2500000000000001E-2</v>
      </c>
      <c r="F15" s="68">
        <f t="shared" ref="F15:F32" si="4">J14</f>
        <v>12090314.699999999</v>
      </c>
      <c r="G15" s="170">
        <f t="shared" ref="G15:G32" si="5">F15*(E15)*(D15/365)</f>
        <v>99041.208090410961</v>
      </c>
      <c r="H15" s="170">
        <f t="shared" ref="H15:H32" si="6">$D$3/20</f>
        <v>671684.15</v>
      </c>
      <c r="I15" s="170">
        <v>0</v>
      </c>
      <c r="J15" s="170">
        <f t="shared" si="2"/>
        <v>11418630.549999999</v>
      </c>
    </row>
    <row r="16" spans="1:16" x14ac:dyDescent="0.2">
      <c r="A16" s="67" t="s">
        <v>65</v>
      </c>
      <c r="B16" s="83">
        <f t="shared" si="3"/>
        <v>41640</v>
      </c>
      <c r="C16" s="83">
        <v>41729</v>
      </c>
      <c r="D16" s="85">
        <f t="shared" si="1"/>
        <v>90</v>
      </c>
      <c r="E16" s="291">
        <v>3.2500000000000001E-2</v>
      </c>
      <c r="F16" s="68">
        <f t="shared" si="4"/>
        <v>11418630.549999999</v>
      </c>
      <c r="G16" s="170">
        <f t="shared" si="5"/>
        <v>91505.46399657533</v>
      </c>
      <c r="H16" s="170">
        <f t="shared" si="6"/>
        <v>671684.15</v>
      </c>
      <c r="I16" s="170">
        <v>0</v>
      </c>
      <c r="J16" s="170">
        <f t="shared" si="2"/>
        <v>10746946.399999999</v>
      </c>
    </row>
    <row r="17" spans="1:10" x14ac:dyDescent="0.2">
      <c r="A17" s="67" t="s">
        <v>66</v>
      </c>
      <c r="B17" s="83">
        <f t="shared" si="3"/>
        <v>41730</v>
      </c>
      <c r="C17" s="83">
        <v>41820</v>
      </c>
      <c r="D17" s="85">
        <f t="shared" si="1"/>
        <v>91</v>
      </c>
      <c r="E17" s="291">
        <v>3.2500000000000001E-2</v>
      </c>
      <c r="F17" s="68">
        <f t="shared" si="4"/>
        <v>10746946.399999999</v>
      </c>
      <c r="G17" s="170">
        <f t="shared" si="5"/>
        <v>87079.709528767111</v>
      </c>
      <c r="H17" s="170">
        <f t="shared" si="6"/>
        <v>671684.15</v>
      </c>
      <c r="I17" s="170">
        <v>0</v>
      </c>
      <c r="J17" s="170">
        <f t="shared" si="2"/>
        <v>10075262.249999998</v>
      </c>
    </row>
    <row r="18" spans="1:10" x14ac:dyDescent="0.2">
      <c r="A18" s="67" t="s">
        <v>67</v>
      </c>
      <c r="B18" s="83">
        <f t="shared" si="3"/>
        <v>41821</v>
      </c>
      <c r="C18" s="83">
        <v>41912</v>
      </c>
      <c r="D18" s="85">
        <f t="shared" si="1"/>
        <v>92</v>
      </c>
      <c r="E18" s="291">
        <v>3.2500000000000001E-2</v>
      </c>
      <c r="F18" s="68">
        <f t="shared" si="4"/>
        <v>10075262.249999998</v>
      </c>
      <c r="G18" s="170">
        <f t="shared" si="5"/>
        <v>82534.340075342465</v>
      </c>
      <c r="H18" s="170">
        <f t="shared" si="6"/>
        <v>671684.15</v>
      </c>
      <c r="I18" s="170">
        <v>0</v>
      </c>
      <c r="J18" s="170">
        <f t="shared" si="2"/>
        <v>9403578.0999999978</v>
      </c>
    </row>
    <row r="19" spans="1:10" x14ac:dyDescent="0.2">
      <c r="A19" s="67" t="s">
        <v>68</v>
      </c>
      <c r="B19" s="83">
        <f t="shared" si="3"/>
        <v>41913</v>
      </c>
      <c r="C19" s="83">
        <v>42004</v>
      </c>
      <c r="D19" s="85">
        <f t="shared" si="1"/>
        <v>92</v>
      </c>
      <c r="E19" s="291">
        <v>3.2500000000000001E-2</v>
      </c>
      <c r="F19" s="68">
        <f t="shared" si="4"/>
        <v>9403578.0999999978</v>
      </c>
      <c r="G19" s="170">
        <f t="shared" si="5"/>
        <v>77032.05073698629</v>
      </c>
      <c r="H19" s="170">
        <f t="shared" si="6"/>
        <v>671684.15</v>
      </c>
      <c r="I19" s="170">
        <v>0</v>
      </c>
      <c r="J19" s="170">
        <f t="shared" si="2"/>
        <v>8731893.9499999974</v>
      </c>
    </row>
    <row r="20" spans="1:10" x14ac:dyDescent="0.2">
      <c r="A20" s="67" t="s">
        <v>69</v>
      </c>
      <c r="B20" s="83">
        <f t="shared" si="3"/>
        <v>42005</v>
      </c>
      <c r="C20" s="83">
        <v>42094</v>
      </c>
      <c r="D20" s="85">
        <f t="shared" si="1"/>
        <v>90</v>
      </c>
      <c r="E20" s="291">
        <v>3.2500000000000001E-2</v>
      </c>
      <c r="F20" s="68">
        <f t="shared" si="4"/>
        <v>8731893.9499999974</v>
      </c>
      <c r="G20" s="170">
        <f t="shared" si="5"/>
        <v>69974.766585616409</v>
      </c>
      <c r="H20" s="170">
        <f t="shared" si="6"/>
        <v>671684.15</v>
      </c>
      <c r="I20" s="170">
        <v>0</v>
      </c>
      <c r="J20" s="170">
        <f t="shared" si="2"/>
        <v>8060209.799999997</v>
      </c>
    </row>
    <row r="21" spans="1:10" x14ac:dyDescent="0.2">
      <c r="A21" s="67" t="s">
        <v>70</v>
      </c>
      <c r="B21" s="83">
        <f t="shared" si="3"/>
        <v>42095</v>
      </c>
      <c r="C21" s="83">
        <v>42185</v>
      </c>
      <c r="D21" s="85">
        <f t="shared" si="1"/>
        <v>91</v>
      </c>
      <c r="E21" s="291">
        <v>3.2500000000000001E-2</v>
      </c>
      <c r="F21" s="68">
        <f t="shared" si="4"/>
        <v>8060209.799999997</v>
      </c>
      <c r="G21" s="170">
        <f t="shared" si="5"/>
        <v>65309.782146575322</v>
      </c>
      <c r="H21" s="170">
        <f t="shared" si="6"/>
        <v>671684.15</v>
      </c>
      <c r="I21" s="170">
        <v>0</v>
      </c>
      <c r="J21" s="170">
        <f t="shared" si="2"/>
        <v>7388525.6499999966</v>
      </c>
    </row>
    <row r="22" spans="1:10" x14ac:dyDescent="0.2">
      <c r="A22" s="67" t="s">
        <v>71</v>
      </c>
      <c r="B22" s="83">
        <f t="shared" si="3"/>
        <v>42186</v>
      </c>
      <c r="C22" s="83">
        <v>42277</v>
      </c>
      <c r="D22" s="85">
        <f t="shared" si="1"/>
        <v>92</v>
      </c>
      <c r="E22" s="291">
        <v>3.2500000000000001E-2</v>
      </c>
      <c r="F22" s="68">
        <f t="shared" si="4"/>
        <v>7388525.6499999966</v>
      </c>
      <c r="G22" s="170">
        <f t="shared" si="5"/>
        <v>60525.182721917794</v>
      </c>
      <c r="H22" s="170">
        <f t="shared" si="6"/>
        <v>671684.15</v>
      </c>
      <c r="I22" s="170">
        <v>0</v>
      </c>
      <c r="J22" s="170">
        <f t="shared" si="2"/>
        <v>6716841.4999999963</v>
      </c>
    </row>
    <row r="23" spans="1:10" x14ac:dyDescent="0.2">
      <c r="A23" s="67" t="s">
        <v>72</v>
      </c>
      <c r="B23" s="83">
        <f t="shared" si="3"/>
        <v>42278</v>
      </c>
      <c r="C23" s="83">
        <v>42369</v>
      </c>
      <c r="D23" s="85">
        <f t="shared" si="1"/>
        <v>92</v>
      </c>
      <c r="E23" s="291">
        <v>3.2500000000000001E-2</v>
      </c>
      <c r="F23" s="68">
        <f t="shared" si="4"/>
        <v>6716841.4999999963</v>
      </c>
      <c r="G23" s="170">
        <f t="shared" si="5"/>
        <v>55022.893383561619</v>
      </c>
      <c r="H23" s="170">
        <f t="shared" si="6"/>
        <v>671684.15</v>
      </c>
      <c r="I23" s="170">
        <v>0</v>
      </c>
      <c r="J23" s="170">
        <f t="shared" si="2"/>
        <v>6045157.3499999959</v>
      </c>
    </row>
    <row r="24" spans="1:10" x14ac:dyDescent="0.2">
      <c r="A24" s="67" t="s">
        <v>77</v>
      </c>
      <c r="B24" s="83">
        <f t="shared" si="3"/>
        <v>42370</v>
      </c>
      <c r="C24" s="83">
        <v>42460</v>
      </c>
      <c r="D24" s="85">
        <f t="shared" si="1"/>
        <v>91</v>
      </c>
      <c r="E24" s="291">
        <v>3.2500000000000001E-2</v>
      </c>
      <c r="F24" s="68">
        <f t="shared" si="4"/>
        <v>6045157.3499999959</v>
      </c>
      <c r="G24" s="170">
        <f>F24*(E24)*(D24/366)</f>
        <v>48848.505089139311</v>
      </c>
      <c r="H24" s="170">
        <f t="shared" si="6"/>
        <v>671684.15</v>
      </c>
      <c r="I24" s="170">
        <v>0</v>
      </c>
      <c r="J24" s="170">
        <f t="shared" si="2"/>
        <v>5373473.1999999955</v>
      </c>
    </row>
    <row r="25" spans="1:10" x14ac:dyDescent="0.2">
      <c r="A25" s="67" t="s">
        <v>78</v>
      </c>
      <c r="B25" s="83">
        <f t="shared" si="3"/>
        <v>42461</v>
      </c>
      <c r="C25" s="83">
        <v>42551</v>
      </c>
      <c r="D25" s="85">
        <f t="shared" si="1"/>
        <v>91</v>
      </c>
      <c r="E25" s="291">
        <v>3.2500000000000001E-2</v>
      </c>
      <c r="F25" s="68">
        <f t="shared" si="4"/>
        <v>5373473.1999999955</v>
      </c>
      <c r="G25" s="170">
        <f>F25*(E25)*(D25/366)</f>
        <v>43420.893412568272</v>
      </c>
      <c r="H25" s="170">
        <f t="shared" si="6"/>
        <v>671684.15</v>
      </c>
      <c r="I25" s="170">
        <v>0</v>
      </c>
      <c r="J25" s="170">
        <f t="shared" si="2"/>
        <v>4701789.0499999952</v>
      </c>
    </row>
    <row r="26" spans="1:10" x14ac:dyDescent="0.2">
      <c r="A26" s="67" t="s">
        <v>79</v>
      </c>
      <c r="B26" s="83">
        <f t="shared" si="3"/>
        <v>42552</v>
      </c>
      <c r="C26" s="83">
        <v>42643</v>
      </c>
      <c r="D26" s="85">
        <f t="shared" si="1"/>
        <v>92</v>
      </c>
      <c r="E26" s="291">
        <v>3.2500000000000001E-2</v>
      </c>
      <c r="F26" s="68">
        <f t="shared" si="4"/>
        <v>4701789.0499999952</v>
      </c>
      <c r="G26" s="170">
        <f>F26*(E26)*(D26/366)</f>
        <v>38410.790326502691</v>
      </c>
      <c r="H26" s="170">
        <f t="shared" si="6"/>
        <v>671684.15</v>
      </c>
      <c r="I26" s="170">
        <v>0</v>
      </c>
      <c r="J26" s="170">
        <f t="shared" si="2"/>
        <v>4030104.8999999953</v>
      </c>
    </row>
    <row r="27" spans="1:10" x14ac:dyDescent="0.2">
      <c r="A27" s="67" t="s">
        <v>80</v>
      </c>
      <c r="B27" s="83">
        <f t="shared" si="3"/>
        <v>42644</v>
      </c>
      <c r="C27" s="83">
        <v>42735</v>
      </c>
      <c r="D27" s="85">
        <f t="shared" si="1"/>
        <v>92</v>
      </c>
      <c r="E27" s="291">
        <v>3.2500000000000001E-2</v>
      </c>
      <c r="F27" s="68">
        <f t="shared" si="4"/>
        <v>4030104.8999999953</v>
      </c>
      <c r="G27" s="170">
        <f>F27*(E27)*(D27/366)</f>
        <v>32923.534565573733</v>
      </c>
      <c r="H27" s="170">
        <f t="shared" si="6"/>
        <v>671684.15</v>
      </c>
      <c r="I27" s="170">
        <v>0</v>
      </c>
      <c r="J27" s="170">
        <f t="shared" si="2"/>
        <v>3358420.7499999953</v>
      </c>
    </row>
    <row r="28" spans="1:10" x14ac:dyDescent="0.2">
      <c r="A28" s="67" t="s">
        <v>81</v>
      </c>
      <c r="B28" s="83">
        <f t="shared" si="3"/>
        <v>42736</v>
      </c>
      <c r="C28" s="83">
        <v>42825</v>
      </c>
      <c r="D28" s="85">
        <f t="shared" si="1"/>
        <v>90</v>
      </c>
      <c r="E28" s="291">
        <v>3.2500000000000001E-2</v>
      </c>
      <c r="F28" s="68">
        <f t="shared" si="4"/>
        <v>3358420.7499999953</v>
      </c>
      <c r="G28" s="170">
        <f t="shared" si="5"/>
        <v>26913.371763698593</v>
      </c>
      <c r="H28" s="170">
        <f t="shared" si="6"/>
        <v>671684.15</v>
      </c>
      <c r="I28" s="170">
        <v>0</v>
      </c>
      <c r="J28" s="170">
        <f t="shared" si="2"/>
        <v>2686736.5999999954</v>
      </c>
    </row>
    <row r="29" spans="1:10" x14ac:dyDescent="0.2">
      <c r="A29" s="67" t="s">
        <v>82</v>
      </c>
      <c r="B29" s="83">
        <f t="shared" si="3"/>
        <v>42826</v>
      </c>
      <c r="C29" s="83">
        <v>42916</v>
      </c>
      <c r="D29" s="85">
        <f t="shared" si="1"/>
        <v>91</v>
      </c>
      <c r="E29" s="291">
        <v>3.2500000000000001E-2</v>
      </c>
      <c r="F29" s="68">
        <f t="shared" si="4"/>
        <v>2686736.5999999954</v>
      </c>
      <c r="G29" s="170">
        <f t="shared" si="5"/>
        <v>21769.927382191741</v>
      </c>
      <c r="H29" s="170">
        <f t="shared" si="6"/>
        <v>671684.15</v>
      </c>
      <c r="I29" s="170">
        <v>0</v>
      </c>
      <c r="J29" s="170">
        <f t="shared" si="2"/>
        <v>2015052.4499999955</v>
      </c>
    </row>
    <row r="30" spans="1:10" x14ac:dyDescent="0.2">
      <c r="A30" s="67" t="s">
        <v>83</v>
      </c>
      <c r="B30" s="83">
        <f t="shared" si="3"/>
        <v>42917</v>
      </c>
      <c r="C30" s="83">
        <v>43008</v>
      </c>
      <c r="D30" s="85">
        <f t="shared" si="1"/>
        <v>92</v>
      </c>
      <c r="E30" s="291">
        <v>3.2500000000000001E-2</v>
      </c>
      <c r="F30" s="68">
        <f t="shared" si="4"/>
        <v>2015052.4499999955</v>
      </c>
      <c r="G30" s="170">
        <f t="shared" si="5"/>
        <v>16506.868015068459</v>
      </c>
      <c r="H30" s="170">
        <f t="shared" si="6"/>
        <v>671684.15</v>
      </c>
      <c r="I30" s="170">
        <v>0</v>
      </c>
      <c r="J30" s="170">
        <f t="shared" si="2"/>
        <v>1343368.2999999956</v>
      </c>
    </row>
    <row r="31" spans="1:10" x14ac:dyDescent="0.2">
      <c r="A31" s="67" t="s">
        <v>84</v>
      </c>
      <c r="B31" s="83">
        <f t="shared" si="3"/>
        <v>43009</v>
      </c>
      <c r="C31" s="83">
        <v>43100</v>
      </c>
      <c r="D31" s="85">
        <f t="shared" si="1"/>
        <v>92</v>
      </c>
      <c r="E31" s="291">
        <v>3.2500000000000001E-2</v>
      </c>
      <c r="F31" s="68">
        <f t="shared" si="4"/>
        <v>1343368.2999999956</v>
      </c>
      <c r="G31" s="170">
        <f t="shared" si="5"/>
        <v>11004.578676712294</v>
      </c>
      <c r="H31" s="170">
        <f t="shared" si="6"/>
        <v>671684.15</v>
      </c>
      <c r="I31" s="170">
        <v>0</v>
      </c>
      <c r="J31" s="170">
        <f t="shared" si="2"/>
        <v>671684.1499999956</v>
      </c>
    </row>
    <row r="32" spans="1:10" x14ac:dyDescent="0.2">
      <c r="A32" s="67" t="s">
        <v>85</v>
      </c>
      <c r="B32" s="83">
        <f t="shared" si="3"/>
        <v>43101</v>
      </c>
      <c r="C32" s="83">
        <v>43190</v>
      </c>
      <c r="D32" s="85">
        <f t="shared" si="1"/>
        <v>90</v>
      </c>
      <c r="E32" s="291">
        <v>3.2500000000000001E-2</v>
      </c>
      <c r="F32" s="68">
        <f t="shared" si="4"/>
        <v>671684.1499999956</v>
      </c>
      <c r="G32" s="170">
        <f t="shared" si="5"/>
        <v>5382.6743527396902</v>
      </c>
      <c r="H32" s="170">
        <f t="shared" si="6"/>
        <v>671684.15</v>
      </c>
      <c r="I32" s="170">
        <v>0</v>
      </c>
      <c r="J32" s="170">
        <f t="shared" si="2"/>
        <v>-4.4237822294235229E-9</v>
      </c>
    </row>
    <row r="33" spans="1:10" x14ac:dyDescent="0.2">
      <c r="A33" s="67"/>
      <c r="B33" s="83"/>
      <c r="C33" s="83"/>
      <c r="D33" s="85"/>
      <c r="E33" s="291"/>
      <c r="F33" s="68"/>
      <c r="G33" s="170"/>
      <c r="H33" s="170"/>
      <c r="I33" s="170"/>
      <c r="J33" s="170"/>
    </row>
    <row r="34" spans="1:10" x14ac:dyDescent="0.2">
      <c r="A34" s="67"/>
      <c r="B34" s="83"/>
      <c r="C34" s="83"/>
      <c r="D34" s="85"/>
      <c r="E34" s="291"/>
      <c r="F34" s="68"/>
      <c r="G34" s="170"/>
      <c r="H34" s="170"/>
      <c r="I34" s="170"/>
      <c r="J34" s="170"/>
    </row>
    <row r="41" spans="1:10" x14ac:dyDescent="0.2">
      <c r="B41" s="21">
        <f>SUM(B6+B11+B16+B21+B26+B31+B36)</f>
        <v>210571</v>
      </c>
    </row>
  </sheetData>
  <mergeCells count="4">
    <mergeCell ref="A5:B5"/>
    <mergeCell ref="A8:J8"/>
    <mergeCell ref="A6:B6"/>
    <mergeCell ref="K10:P12"/>
  </mergeCells>
  <phoneticPr fontId="2" type="noConversion"/>
  <pageMargins left="0.5" right="0.5" top="1" bottom="0.89" header="0.5" footer="0.5"/>
  <pageSetup scale="59" orientation="landscape" r:id="rId1"/>
  <headerFooter alignWithMargins="0">
    <oddHeader>&amp;RTO9 Annual Update
Attachment 4
WP Schedule 22
Page &amp;P of &amp;N</oddHeader>
    <oddFooter>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 enableFormatConditionsCalculation="0">
    <tabColor theme="0" tint="-4.9989318521683403E-2"/>
  </sheetPr>
  <dimension ref="A1:J50"/>
  <sheetViews>
    <sheetView zoomScale="85" zoomScaleNormal="85" workbookViewId="0"/>
  </sheetViews>
  <sheetFormatPr defaultColWidth="9.140625" defaultRowHeight="12.75" x14ac:dyDescent="0.2"/>
  <cols>
    <col min="1" max="1" width="12.28515625" style="18" customWidth="1"/>
    <col min="2" max="2" width="11" style="18" customWidth="1"/>
    <col min="3" max="3" width="12" style="18" customWidth="1"/>
    <col min="4" max="7" width="16.28515625" style="18" customWidth="1"/>
    <col min="8" max="8" width="19.85546875" style="18" bestFit="1" customWidth="1"/>
    <col min="9" max="9" width="11.42578125" style="18" customWidth="1"/>
    <col min="10" max="10" width="19.85546875" style="18" bestFit="1" customWidth="1"/>
    <col min="11" max="16384" width="9.140625" style="18"/>
  </cols>
  <sheetData>
    <row r="1" spans="1:10" ht="51" x14ac:dyDescent="0.2">
      <c r="A1" s="21"/>
      <c r="B1" s="3" t="s">
        <v>23</v>
      </c>
      <c r="C1" s="4" t="s">
        <v>6</v>
      </c>
      <c r="D1" s="3" t="s">
        <v>5</v>
      </c>
      <c r="E1" s="3" t="s">
        <v>1</v>
      </c>
      <c r="F1" s="3" t="s">
        <v>24</v>
      </c>
      <c r="G1" s="4" t="s">
        <v>0</v>
      </c>
    </row>
    <row r="2" spans="1:10" x14ac:dyDescent="0.2">
      <c r="B2" s="7">
        <v>1</v>
      </c>
      <c r="C2" s="12">
        <v>38608</v>
      </c>
      <c r="D2" s="13">
        <v>183000</v>
      </c>
      <c r="E2" s="13">
        <v>0</v>
      </c>
      <c r="F2" s="13">
        <v>0</v>
      </c>
      <c r="G2" s="23">
        <f t="shared" ref="G2:G7" si="0">SUM(D2:F2)</f>
        <v>183000</v>
      </c>
    </row>
    <row r="3" spans="1:10" x14ac:dyDescent="0.2">
      <c r="B3" s="19">
        <v>2</v>
      </c>
      <c r="C3" s="11">
        <v>38611</v>
      </c>
      <c r="D3" s="20">
        <v>378000</v>
      </c>
      <c r="E3" s="22">
        <v>0</v>
      </c>
      <c r="F3" s="22">
        <v>0</v>
      </c>
      <c r="G3" s="23">
        <f t="shared" si="0"/>
        <v>378000</v>
      </c>
    </row>
    <row r="4" spans="1:10" x14ac:dyDescent="0.2">
      <c r="B4" s="19">
        <v>3</v>
      </c>
      <c r="C4" s="11">
        <v>38693</v>
      </c>
      <c r="D4" s="20">
        <v>685000</v>
      </c>
      <c r="E4" s="22">
        <v>0</v>
      </c>
      <c r="F4" s="22">
        <v>0</v>
      </c>
      <c r="G4" s="23">
        <f t="shared" si="0"/>
        <v>685000</v>
      </c>
      <c r="J4" s="23"/>
    </row>
    <row r="5" spans="1:10" x14ac:dyDescent="0.2">
      <c r="B5" s="19">
        <v>4</v>
      </c>
      <c r="C5" s="11">
        <v>38786</v>
      </c>
      <c r="D5" s="20">
        <v>611000</v>
      </c>
      <c r="E5" s="22">
        <v>0</v>
      </c>
      <c r="F5" s="22">
        <v>0</v>
      </c>
      <c r="G5" s="23">
        <f t="shared" si="0"/>
        <v>611000</v>
      </c>
    </row>
    <row r="6" spans="1:10" x14ac:dyDescent="0.2">
      <c r="B6" s="19">
        <v>5</v>
      </c>
      <c r="C6" s="11">
        <v>38894</v>
      </c>
      <c r="D6" s="20">
        <v>1397000</v>
      </c>
      <c r="E6" s="22">
        <v>0</v>
      </c>
      <c r="F6" s="22">
        <v>0</v>
      </c>
      <c r="G6" s="23">
        <f t="shared" si="0"/>
        <v>1397000</v>
      </c>
      <c r="J6" s="24"/>
    </row>
    <row r="7" spans="1:10" x14ac:dyDescent="0.2">
      <c r="B7" s="25">
        <v>6</v>
      </c>
      <c r="C7" s="16">
        <v>38972</v>
      </c>
      <c r="D7" s="26">
        <v>1291000</v>
      </c>
      <c r="E7" s="23">
        <v>0</v>
      </c>
      <c r="F7" s="23">
        <v>0</v>
      </c>
      <c r="G7" s="23">
        <f t="shared" si="0"/>
        <v>1291000</v>
      </c>
    </row>
    <row r="8" spans="1:10" x14ac:dyDescent="0.2">
      <c r="B8" s="25">
        <v>7</v>
      </c>
      <c r="C8" s="16">
        <v>39302</v>
      </c>
      <c r="D8" s="26">
        <v>439000</v>
      </c>
      <c r="E8" s="23">
        <v>0</v>
      </c>
      <c r="F8" s="23">
        <v>0</v>
      </c>
      <c r="G8" s="23">
        <f>SUM(D8:F8)</f>
        <v>439000</v>
      </c>
    </row>
    <row r="9" spans="1:10" ht="21" customHeight="1" x14ac:dyDescent="0.2">
      <c r="C9" s="5" t="s">
        <v>0</v>
      </c>
      <c r="D9" s="106">
        <f>SUM(D2:D8)</f>
        <v>4984000</v>
      </c>
      <c r="E9" s="106">
        <f>SUM(E2:E8)</f>
        <v>0</v>
      </c>
      <c r="F9" s="106">
        <f>SUM(F2:F8)</f>
        <v>0</v>
      </c>
      <c r="G9" s="106">
        <f>SUM(G2:G8)</f>
        <v>4984000</v>
      </c>
    </row>
    <row r="11" spans="1:10" x14ac:dyDescent="0.2">
      <c r="A11" s="508" t="s">
        <v>26</v>
      </c>
      <c r="B11" s="508"/>
      <c r="C11" s="15">
        <v>39991</v>
      </c>
      <c r="D11" s="18" t="s">
        <v>28</v>
      </c>
      <c r="F11" s="274" t="s">
        <v>144</v>
      </c>
      <c r="H11" s="274" t="s">
        <v>145</v>
      </c>
    </row>
    <row r="13" spans="1:10" x14ac:dyDescent="0.2">
      <c r="A13" s="514" t="s">
        <v>25</v>
      </c>
      <c r="B13" s="514"/>
      <c r="C13" s="514"/>
      <c r="D13" s="514"/>
      <c r="E13" s="514"/>
      <c r="F13" s="514"/>
      <c r="G13" s="514"/>
      <c r="H13" s="514"/>
      <c r="I13" s="514"/>
      <c r="J13" s="514"/>
    </row>
    <row r="14" spans="1:10" x14ac:dyDescent="0.2">
      <c r="A14" s="2" t="s">
        <v>7</v>
      </c>
      <c r="B14" s="2" t="s">
        <v>8</v>
      </c>
      <c r="C14" s="2" t="s">
        <v>9</v>
      </c>
      <c r="D14" s="2" t="s">
        <v>10</v>
      </c>
      <c r="E14" s="2" t="s">
        <v>11</v>
      </c>
      <c r="F14" s="2" t="s">
        <v>12</v>
      </c>
      <c r="G14" s="2" t="s">
        <v>13</v>
      </c>
      <c r="H14" s="2"/>
      <c r="I14" s="2"/>
      <c r="J14" s="2" t="s">
        <v>14</v>
      </c>
    </row>
    <row r="15" spans="1:10" ht="51" x14ac:dyDescent="0.2">
      <c r="A15" s="6" t="s">
        <v>15</v>
      </c>
      <c r="B15" s="6" t="s">
        <v>16</v>
      </c>
      <c r="C15" s="6" t="s">
        <v>17</v>
      </c>
      <c r="D15" s="6" t="s">
        <v>18</v>
      </c>
      <c r="E15" s="6" t="s">
        <v>19</v>
      </c>
      <c r="F15" s="6" t="s">
        <v>20</v>
      </c>
      <c r="G15" s="6" t="s">
        <v>49</v>
      </c>
      <c r="H15" s="6" t="s">
        <v>22</v>
      </c>
      <c r="I15" s="6" t="s">
        <v>50</v>
      </c>
      <c r="J15" s="6" t="s">
        <v>21</v>
      </c>
    </row>
    <row r="16" spans="1:10" x14ac:dyDescent="0.2">
      <c r="A16" s="34" t="s">
        <v>39</v>
      </c>
      <c r="B16" s="27">
        <v>39991</v>
      </c>
      <c r="C16" s="27">
        <v>40086</v>
      </c>
      <c r="D16" s="48">
        <f>+C16-B16+1</f>
        <v>96</v>
      </c>
      <c r="E16" s="49">
        <v>3.25</v>
      </c>
      <c r="F16" s="28">
        <f>D9</f>
        <v>4984000</v>
      </c>
      <c r="G16" s="50">
        <f>D16/365*E16/100*F16</f>
        <v>42602.958904109582</v>
      </c>
      <c r="H16" s="72">
        <f t="shared" ref="H16:H25" si="1">D$9/20</f>
        <v>249200</v>
      </c>
      <c r="I16" s="73"/>
      <c r="J16" s="21"/>
    </row>
    <row r="17" spans="1:10" x14ac:dyDescent="0.2">
      <c r="A17" s="34" t="s">
        <v>30</v>
      </c>
      <c r="B17" s="27">
        <f>C16+1</f>
        <v>40087</v>
      </c>
      <c r="C17" s="27">
        <v>40178</v>
      </c>
      <c r="D17" s="48">
        <f>+C17-B17+1</f>
        <v>92</v>
      </c>
      <c r="E17" s="49">
        <v>3.25</v>
      </c>
      <c r="F17" s="28">
        <f>F16-H16</f>
        <v>4734800</v>
      </c>
      <c r="G17" s="50">
        <f>D17/365*E17/100*F17</f>
        <v>38786.443835616439</v>
      </c>
      <c r="H17" s="72">
        <f t="shared" si="1"/>
        <v>249200</v>
      </c>
      <c r="I17" s="73"/>
      <c r="J17" s="21"/>
    </row>
    <row r="18" spans="1:10" x14ac:dyDescent="0.2">
      <c r="A18" s="34" t="s">
        <v>40</v>
      </c>
      <c r="B18" s="444">
        <f>C17+1</f>
        <v>40179</v>
      </c>
      <c r="C18" s="445">
        <v>40268</v>
      </c>
      <c r="D18" s="446">
        <f t="shared" ref="D18:D35" si="2">+C18-B18+1</f>
        <v>90</v>
      </c>
      <c r="E18" s="447">
        <v>3.25</v>
      </c>
      <c r="F18" s="448">
        <f>F17-H17</f>
        <v>4485600</v>
      </c>
      <c r="G18" s="449">
        <f>+D18/365*E18/100*F18</f>
        <v>35946.246575342462</v>
      </c>
      <c r="H18" s="450">
        <f t="shared" si="1"/>
        <v>249200</v>
      </c>
      <c r="I18" s="451"/>
      <c r="J18" s="452">
        <f>F18-H18</f>
        <v>4236400</v>
      </c>
    </row>
    <row r="19" spans="1:10" x14ac:dyDescent="0.2">
      <c r="A19" s="34" t="s">
        <v>41</v>
      </c>
      <c r="B19" s="444">
        <f>C18+1</f>
        <v>40269</v>
      </c>
      <c r="C19" s="437">
        <v>40359</v>
      </c>
      <c r="D19" s="453">
        <f t="shared" si="2"/>
        <v>91</v>
      </c>
      <c r="E19" s="438">
        <v>3.25</v>
      </c>
      <c r="F19" s="448">
        <f t="shared" ref="F19:F24" si="3">F18-H18</f>
        <v>4236400</v>
      </c>
      <c r="G19" s="449">
        <f>+D19/365*E19/100*F19</f>
        <v>34326.446575342467</v>
      </c>
      <c r="H19" s="450">
        <f t="shared" si="1"/>
        <v>249200</v>
      </c>
      <c r="I19" s="454"/>
      <c r="J19" s="455"/>
    </row>
    <row r="20" spans="1:10" x14ac:dyDescent="0.2">
      <c r="A20" s="34" t="s">
        <v>42</v>
      </c>
      <c r="B20" s="444">
        <f>C19+1</f>
        <v>40360</v>
      </c>
      <c r="C20" s="444">
        <v>40451</v>
      </c>
      <c r="D20" s="456">
        <f t="shared" si="2"/>
        <v>92</v>
      </c>
      <c r="E20" s="438">
        <v>3.25</v>
      </c>
      <c r="F20" s="448">
        <f t="shared" si="3"/>
        <v>3987200</v>
      </c>
      <c r="G20" s="449">
        <f>+D20/365*E20/100*F20</f>
        <v>32662.268493150688</v>
      </c>
      <c r="H20" s="450">
        <f t="shared" si="1"/>
        <v>249200</v>
      </c>
      <c r="I20" s="457"/>
      <c r="J20" s="458"/>
    </row>
    <row r="21" spans="1:10" x14ac:dyDescent="0.2">
      <c r="A21" s="34" t="s">
        <v>31</v>
      </c>
      <c r="B21" s="444">
        <f t="shared" ref="B21:B35" si="4">C20+1</f>
        <v>40452</v>
      </c>
      <c r="C21" s="444">
        <v>40543</v>
      </c>
      <c r="D21" s="456">
        <f t="shared" si="2"/>
        <v>92</v>
      </c>
      <c r="E21" s="438">
        <v>3.25</v>
      </c>
      <c r="F21" s="448">
        <f t="shared" si="3"/>
        <v>3738000</v>
      </c>
      <c r="G21" s="449">
        <f>+D21/365*E21/100*F21</f>
        <v>30620.876712328769</v>
      </c>
      <c r="H21" s="450">
        <f t="shared" si="1"/>
        <v>249200</v>
      </c>
      <c r="I21" s="457"/>
      <c r="J21" s="458"/>
    </row>
    <row r="22" spans="1:10" x14ac:dyDescent="0.2">
      <c r="A22" s="34" t="s">
        <v>43</v>
      </c>
      <c r="B22" s="27">
        <f t="shared" si="4"/>
        <v>40544</v>
      </c>
      <c r="C22" s="69">
        <v>40633</v>
      </c>
      <c r="D22" s="48">
        <f t="shared" si="2"/>
        <v>90</v>
      </c>
      <c r="E22" s="49">
        <v>3.25</v>
      </c>
      <c r="F22" s="28">
        <f t="shared" si="3"/>
        <v>3488800</v>
      </c>
      <c r="G22" s="50">
        <f>D22/365*E22/100*F22</f>
        <v>27958.191780821915</v>
      </c>
      <c r="H22" s="72">
        <f t="shared" si="1"/>
        <v>249200</v>
      </c>
      <c r="I22" s="73"/>
      <c r="J22" s="21"/>
    </row>
    <row r="23" spans="1:10" x14ac:dyDescent="0.2">
      <c r="A23" s="34" t="s">
        <v>44</v>
      </c>
      <c r="B23" s="27">
        <f t="shared" si="4"/>
        <v>40634</v>
      </c>
      <c r="C23" s="71">
        <v>40724</v>
      </c>
      <c r="D23" s="48">
        <f t="shared" si="2"/>
        <v>91</v>
      </c>
      <c r="E23" s="49">
        <v>3.25</v>
      </c>
      <c r="F23" s="28">
        <f t="shared" si="3"/>
        <v>3239600</v>
      </c>
      <c r="G23" s="50">
        <f>D23/365*E23/100*F23</f>
        <v>26249.635616438358</v>
      </c>
      <c r="H23" s="72">
        <f t="shared" si="1"/>
        <v>249200</v>
      </c>
      <c r="I23" s="73"/>
      <c r="J23" s="21"/>
    </row>
    <row r="24" spans="1:10" x14ac:dyDescent="0.2">
      <c r="A24" s="34" t="s">
        <v>45</v>
      </c>
      <c r="B24" s="27">
        <f t="shared" si="4"/>
        <v>40725</v>
      </c>
      <c r="C24" s="27">
        <v>40816</v>
      </c>
      <c r="D24" s="48">
        <f t="shared" si="2"/>
        <v>92</v>
      </c>
      <c r="E24" s="49">
        <v>3.25</v>
      </c>
      <c r="F24" s="28">
        <f t="shared" si="3"/>
        <v>2990400</v>
      </c>
      <c r="G24" s="50">
        <f>D24/365*E24/100*F24</f>
        <v>24496.701369863014</v>
      </c>
      <c r="H24" s="72">
        <f t="shared" si="1"/>
        <v>249200</v>
      </c>
      <c r="I24" s="73"/>
      <c r="J24" s="21"/>
    </row>
    <row r="25" spans="1:10" x14ac:dyDescent="0.2">
      <c r="A25" s="34" t="s">
        <v>32</v>
      </c>
      <c r="B25" s="27">
        <f t="shared" si="4"/>
        <v>40817</v>
      </c>
      <c r="C25" s="27">
        <v>40908</v>
      </c>
      <c r="D25" s="48">
        <f t="shared" si="2"/>
        <v>92</v>
      </c>
      <c r="E25" s="49">
        <v>3.25</v>
      </c>
      <c r="F25" s="28">
        <f t="shared" ref="F25:F35" si="5">F24-H24</f>
        <v>2741200</v>
      </c>
      <c r="G25" s="50">
        <f>D25/365*E25/100*F25</f>
        <v>22455.309589041099</v>
      </c>
      <c r="H25" s="72">
        <f t="shared" si="1"/>
        <v>249200</v>
      </c>
      <c r="I25" s="73"/>
      <c r="J25" s="21"/>
    </row>
    <row r="26" spans="1:10" x14ac:dyDescent="0.2">
      <c r="A26" s="62" t="s">
        <v>38</v>
      </c>
      <c r="B26" s="57">
        <f t="shared" si="4"/>
        <v>40909</v>
      </c>
      <c r="C26" s="63">
        <v>40999</v>
      </c>
      <c r="D26" s="58">
        <f t="shared" si="2"/>
        <v>91</v>
      </c>
      <c r="E26" s="59">
        <v>3.25</v>
      </c>
      <c r="F26" s="65">
        <f t="shared" si="5"/>
        <v>2492000</v>
      </c>
      <c r="G26" s="60">
        <f>D26/366*E26/100*F26</f>
        <v>20136.857923497268</v>
      </c>
      <c r="H26" s="74">
        <f t="shared" ref="H26:H35" si="6">D$9/20</f>
        <v>249200</v>
      </c>
      <c r="I26" s="75"/>
      <c r="J26" s="21"/>
    </row>
    <row r="27" spans="1:10" x14ac:dyDescent="0.2">
      <c r="A27" s="62" t="s">
        <v>46</v>
      </c>
      <c r="B27" s="57">
        <f t="shared" si="4"/>
        <v>41000</v>
      </c>
      <c r="C27" s="64">
        <v>41090</v>
      </c>
      <c r="D27" s="58">
        <f t="shared" si="2"/>
        <v>91</v>
      </c>
      <c r="E27" s="59">
        <v>3.25</v>
      </c>
      <c r="F27" s="65">
        <f t="shared" si="5"/>
        <v>2242800</v>
      </c>
      <c r="G27" s="60">
        <f>D27/366*E27/100*F27</f>
        <v>18123.172131147541</v>
      </c>
      <c r="H27" s="74">
        <f t="shared" si="6"/>
        <v>249200</v>
      </c>
      <c r="I27" s="75"/>
      <c r="J27" s="21"/>
    </row>
    <row r="28" spans="1:10" x14ac:dyDescent="0.2">
      <c r="A28" s="62" t="s">
        <v>47</v>
      </c>
      <c r="B28" s="57">
        <f t="shared" si="4"/>
        <v>41091</v>
      </c>
      <c r="C28" s="57">
        <v>41182</v>
      </c>
      <c r="D28" s="58">
        <f t="shared" si="2"/>
        <v>92</v>
      </c>
      <c r="E28" s="59">
        <v>3.25</v>
      </c>
      <c r="F28" s="65">
        <f t="shared" si="5"/>
        <v>1993600</v>
      </c>
      <c r="G28" s="60">
        <f>D28/366*E28/100*F28</f>
        <v>16286.513661202187</v>
      </c>
      <c r="H28" s="74">
        <f t="shared" si="6"/>
        <v>249200</v>
      </c>
      <c r="I28" s="75"/>
      <c r="J28" s="21"/>
    </row>
    <row r="29" spans="1:10" x14ac:dyDescent="0.2">
      <c r="A29" s="62" t="s">
        <v>33</v>
      </c>
      <c r="B29" s="57">
        <f t="shared" si="4"/>
        <v>41183</v>
      </c>
      <c r="C29" s="57">
        <v>41274</v>
      </c>
      <c r="D29" s="58">
        <f t="shared" si="2"/>
        <v>92</v>
      </c>
      <c r="E29" s="59">
        <v>3.25</v>
      </c>
      <c r="F29" s="65">
        <f t="shared" si="5"/>
        <v>1744400</v>
      </c>
      <c r="G29" s="60">
        <f>D29/366*E29/100*F29</f>
        <v>14250.699453551913</v>
      </c>
      <c r="H29" s="74">
        <f t="shared" si="6"/>
        <v>249200</v>
      </c>
      <c r="I29" s="75"/>
      <c r="J29" s="21"/>
    </row>
    <row r="30" spans="1:10" x14ac:dyDescent="0.2">
      <c r="A30" s="34" t="s">
        <v>60</v>
      </c>
      <c r="B30" s="27">
        <f t="shared" si="4"/>
        <v>41275</v>
      </c>
      <c r="C30" s="69">
        <v>41364</v>
      </c>
      <c r="D30" s="48">
        <f t="shared" si="2"/>
        <v>90</v>
      </c>
      <c r="E30" s="49">
        <v>3.25</v>
      </c>
      <c r="F30" s="28">
        <f t="shared" si="5"/>
        <v>1495200</v>
      </c>
      <c r="G30" s="50">
        <f t="shared" ref="G30:G35" si="7">D30/365*E30/100*F30</f>
        <v>11982.082191780821</v>
      </c>
      <c r="H30" s="72">
        <f t="shared" si="6"/>
        <v>249200</v>
      </c>
      <c r="I30" s="73"/>
      <c r="J30" s="21"/>
    </row>
    <row r="31" spans="1:10" x14ac:dyDescent="0.2">
      <c r="A31" s="34" t="s">
        <v>61</v>
      </c>
      <c r="B31" s="27">
        <f t="shared" si="4"/>
        <v>41365</v>
      </c>
      <c r="C31" s="71">
        <v>41455</v>
      </c>
      <c r="D31" s="48">
        <f t="shared" si="2"/>
        <v>91</v>
      </c>
      <c r="E31" s="49">
        <v>3.25</v>
      </c>
      <c r="F31" s="28">
        <f t="shared" si="5"/>
        <v>1246000</v>
      </c>
      <c r="G31" s="50">
        <f t="shared" si="7"/>
        <v>10096.013698630137</v>
      </c>
      <c r="H31" s="72">
        <f t="shared" si="6"/>
        <v>249200</v>
      </c>
      <c r="I31" s="73"/>
      <c r="J31" s="41"/>
    </row>
    <row r="32" spans="1:10" x14ac:dyDescent="0.2">
      <c r="A32" s="34" t="s">
        <v>62</v>
      </c>
      <c r="B32" s="27">
        <f t="shared" si="4"/>
        <v>41456</v>
      </c>
      <c r="C32" s="27">
        <v>41547</v>
      </c>
      <c r="D32" s="48">
        <f t="shared" si="2"/>
        <v>92</v>
      </c>
      <c r="E32" s="49">
        <v>3.25</v>
      </c>
      <c r="F32" s="28">
        <f t="shared" si="5"/>
        <v>996800</v>
      </c>
      <c r="G32" s="50">
        <f t="shared" si="7"/>
        <v>8165.5671232876721</v>
      </c>
      <c r="H32" s="72">
        <f t="shared" si="6"/>
        <v>249200</v>
      </c>
      <c r="I32" s="73"/>
      <c r="J32" s="41"/>
    </row>
    <row r="33" spans="1:10" x14ac:dyDescent="0.2">
      <c r="A33" s="34" t="s">
        <v>63</v>
      </c>
      <c r="B33" s="27">
        <f t="shared" si="4"/>
        <v>41548</v>
      </c>
      <c r="C33" s="27">
        <v>41639</v>
      </c>
      <c r="D33" s="48">
        <f t="shared" si="2"/>
        <v>92</v>
      </c>
      <c r="E33" s="49">
        <v>3.25</v>
      </c>
      <c r="F33" s="28">
        <f t="shared" si="5"/>
        <v>747600</v>
      </c>
      <c r="G33" s="50">
        <f t="shared" si="7"/>
        <v>6124.1753424657536</v>
      </c>
      <c r="H33" s="72">
        <f t="shared" si="6"/>
        <v>249200</v>
      </c>
      <c r="I33" s="73"/>
      <c r="J33" s="21"/>
    </row>
    <row r="34" spans="1:10" x14ac:dyDescent="0.2">
      <c r="A34" s="62" t="s">
        <v>65</v>
      </c>
      <c r="B34" s="57">
        <f t="shared" si="4"/>
        <v>41640</v>
      </c>
      <c r="C34" s="63">
        <v>41729</v>
      </c>
      <c r="D34" s="58">
        <f t="shared" si="2"/>
        <v>90</v>
      </c>
      <c r="E34" s="59">
        <v>3.25</v>
      </c>
      <c r="F34" s="65">
        <f t="shared" si="5"/>
        <v>498400</v>
      </c>
      <c r="G34" s="60">
        <f t="shared" si="7"/>
        <v>3994.0273972602736</v>
      </c>
      <c r="H34" s="74">
        <f t="shared" si="6"/>
        <v>249200</v>
      </c>
      <c r="I34" s="75"/>
      <c r="J34" s="21"/>
    </row>
    <row r="35" spans="1:10" x14ac:dyDescent="0.2">
      <c r="A35" s="62" t="s">
        <v>66</v>
      </c>
      <c r="B35" s="57">
        <f t="shared" si="4"/>
        <v>41730</v>
      </c>
      <c r="C35" s="64">
        <v>41820</v>
      </c>
      <c r="D35" s="58">
        <f t="shared" si="2"/>
        <v>91</v>
      </c>
      <c r="E35" s="59">
        <v>3.25</v>
      </c>
      <c r="F35" s="65">
        <f t="shared" si="5"/>
        <v>249200</v>
      </c>
      <c r="G35" s="60">
        <f t="shared" si="7"/>
        <v>2019.2027397260274</v>
      </c>
      <c r="H35" s="74">
        <f t="shared" si="6"/>
        <v>249200</v>
      </c>
      <c r="I35" s="75"/>
      <c r="J35" s="21"/>
    </row>
    <row r="36" spans="1:10" x14ac:dyDescent="0.2">
      <c r="A36" s="62"/>
      <c r="B36" s="57"/>
      <c r="C36" s="57"/>
      <c r="D36" s="58"/>
      <c r="E36" s="59"/>
      <c r="F36" s="65"/>
      <c r="G36" s="60"/>
      <c r="H36" s="279">
        <f>SUM(H16:H35)</f>
        <v>4984000</v>
      </c>
      <c r="I36" s="75"/>
      <c r="J36" s="21"/>
    </row>
    <row r="37" spans="1:10" x14ac:dyDescent="0.2">
      <c r="A37" s="21"/>
      <c r="B37" s="21"/>
      <c r="C37" s="21"/>
      <c r="D37" s="21"/>
      <c r="E37" s="21"/>
      <c r="F37" s="21"/>
      <c r="G37" s="21"/>
      <c r="H37" s="21"/>
      <c r="I37" s="21"/>
      <c r="J37" s="21"/>
    </row>
    <row r="38" spans="1:10" x14ac:dyDescent="0.2">
      <c r="A38" s="21"/>
      <c r="B38" s="21"/>
      <c r="C38" s="21"/>
      <c r="D38" s="21"/>
      <c r="E38" s="21"/>
      <c r="F38" s="21"/>
      <c r="G38" s="21"/>
      <c r="H38" s="21"/>
      <c r="I38" s="21"/>
      <c r="J38" s="21"/>
    </row>
    <row r="39" spans="1:10" x14ac:dyDescent="0.2">
      <c r="A39" s="21"/>
      <c r="B39" s="21"/>
      <c r="C39" s="21"/>
      <c r="D39" s="21"/>
      <c r="E39" s="21"/>
      <c r="F39" s="21"/>
      <c r="G39" s="21"/>
      <c r="H39" s="21"/>
      <c r="I39" s="21"/>
      <c r="J39" s="21"/>
    </row>
    <row r="40" spans="1:10" x14ac:dyDescent="0.2">
      <c r="A40" s="21"/>
      <c r="B40" s="21"/>
      <c r="C40" s="21"/>
      <c r="D40" s="21"/>
      <c r="E40" s="21"/>
      <c r="F40" s="21"/>
      <c r="G40" s="21"/>
      <c r="H40" s="21"/>
      <c r="I40" s="21"/>
      <c r="J40" s="21"/>
    </row>
    <row r="41" spans="1:10" x14ac:dyDescent="0.2">
      <c r="A41" s="21"/>
      <c r="B41" s="21">
        <f>SUM(B6+B11+B16+B21+B26+B31+B36)</f>
        <v>162722</v>
      </c>
      <c r="C41" s="21"/>
      <c r="D41" s="21"/>
      <c r="E41" s="21"/>
      <c r="F41" s="21"/>
      <c r="G41" s="21"/>
      <c r="H41" s="21"/>
      <c r="I41" s="21"/>
      <c r="J41" s="21"/>
    </row>
    <row r="42" spans="1:10" x14ac:dyDescent="0.2">
      <c r="A42" s="21"/>
      <c r="B42" s="21"/>
      <c r="C42" s="21"/>
      <c r="D42" s="21"/>
      <c r="E42" s="21"/>
      <c r="F42" s="21"/>
      <c r="G42" s="21"/>
      <c r="H42" s="21"/>
      <c r="I42" s="21"/>
      <c r="J42" s="21"/>
    </row>
    <row r="43" spans="1:10" x14ac:dyDescent="0.2">
      <c r="A43" s="21"/>
      <c r="B43" s="21"/>
      <c r="C43" s="21"/>
      <c r="D43" s="21"/>
      <c r="E43" s="21"/>
      <c r="F43" s="21"/>
      <c r="G43" s="21"/>
      <c r="H43" s="21"/>
      <c r="I43" s="21"/>
      <c r="J43" s="21"/>
    </row>
    <row r="44" spans="1:10" x14ac:dyDescent="0.2">
      <c r="A44" s="21"/>
      <c r="B44" s="21"/>
      <c r="C44" s="21"/>
      <c r="D44" s="21"/>
      <c r="E44" s="21"/>
      <c r="F44" s="21"/>
      <c r="G44" s="21"/>
      <c r="H44" s="21"/>
      <c r="I44" s="21"/>
      <c r="J44" s="21"/>
    </row>
    <row r="45" spans="1:10" x14ac:dyDescent="0.2">
      <c r="A45" s="21"/>
      <c r="B45" s="21"/>
      <c r="C45" s="21"/>
      <c r="D45" s="21"/>
      <c r="E45" s="21"/>
      <c r="F45" s="21"/>
      <c r="G45" s="21"/>
      <c r="H45" s="21"/>
      <c r="I45" s="21"/>
      <c r="J45" s="21"/>
    </row>
    <row r="46" spans="1:10" x14ac:dyDescent="0.2">
      <c r="A46" s="21"/>
      <c r="B46" s="21"/>
      <c r="C46" s="21"/>
      <c r="D46" s="21"/>
      <c r="E46" s="21"/>
      <c r="F46" s="21"/>
      <c r="G46" s="21"/>
      <c r="H46" s="21"/>
      <c r="I46" s="21"/>
      <c r="J46" s="21"/>
    </row>
    <row r="47" spans="1:10" x14ac:dyDescent="0.2">
      <c r="A47" s="21"/>
      <c r="B47" s="21"/>
      <c r="C47" s="21"/>
      <c r="D47" s="21"/>
      <c r="E47" s="21"/>
      <c r="F47" s="21"/>
      <c r="G47" s="21"/>
      <c r="H47" s="21"/>
      <c r="I47" s="21"/>
      <c r="J47" s="21"/>
    </row>
    <row r="48" spans="1:10" x14ac:dyDescent="0.2">
      <c r="A48" s="21"/>
      <c r="B48" s="21"/>
      <c r="C48" s="21"/>
      <c r="D48" s="21"/>
      <c r="E48" s="21"/>
      <c r="F48" s="21"/>
      <c r="G48" s="21"/>
      <c r="H48" s="21"/>
      <c r="I48" s="21"/>
      <c r="J48" s="21"/>
    </row>
    <row r="49" spans="1:10" x14ac:dyDescent="0.2">
      <c r="A49" s="21"/>
      <c r="B49" s="21"/>
      <c r="C49" s="21"/>
      <c r="D49" s="21"/>
      <c r="E49" s="21"/>
      <c r="F49" s="21"/>
      <c r="G49" s="21"/>
      <c r="H49" s="21"/>
      <c r="I49" s="21"/>
      <c r="J49" s="21"/>
    </row>
    <row r="50" spans="1:10" x14ac:dyDescent="0.2">
      <c r="A50" s="21"/>
      <c r="B50" s="21"/>
      <c r="C50" s="21"/>
      <c r="D50" s="21"/>
      <c r="E50" s="21"/>
      <c r="F50" s="21"/>
      <c r="G50" s="21"/>
      <c r="H50" s="21"/>
      <c r="I50" s="21"/>
      <c r="J50" s="21"/>
    </row>
  </sheetData>
  <customSheetViews>
    <customSheetView guid="{6086CA2F-D319-4FB4-8773-987A9787386E}" scale="75" showRuler="0" topLeftCell="B13">
      <selection sqref="A1:IV65536"/>
      <pageMargins left="0.75" right="0.75" top="1" bottom="1" header="0.5" footer="0.5"/>
      <pageSetup scale="76" orientation="landscape" r:id="rId1"/>
      <headerFooter alignWithMargins="0">
        <oddFooter>&amp;L&amp;D&amp;R&amp;A</oddFooter>
      </headerFooter>
    </customSheetView>
  </customSheetViews>
  <mergeCells count="2">
    <mergeCell ref="A11:B11"/>
    <mergeCell ref="A13:J13"/>
  </mergeCells>
  <phoneticPr fontId="2" type="noConversion"/>
  <pageMargins left="0.5" right="0.5" top="1" bottom="0.89" header="0.5" footer="0.5"/>
  <pageSetup scale="59" orientation="landscape" r:id="rId2"/>
  <headerFooter alignWithMargins="0">
    <oddHeader>&amp;RTO9 Annual Update
Attachment 4
WP Schedule 22
Page &amp;P of &amp;N</oddHeader>
    <oddFooter>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2" enableFormatConditionsCalculation="0"/>
  <dimension ref="A1:Q95"/>
  <sheetViews>
    <sheetView topLeftCell="A34" zoomScale="85" zoomScaleNormal="85" workbookViewId="0">
      <selection activeCell="A34" sqref="A34"/>
    </sheetView>
  </sheetViews>
  <sheetFormatPr defaultColWidth="9.140625" defaultRowHeight="12.75" x14ac:dyDescent="0.2"/>
  <cols>
    <col min="1" max="1" width="12.28515625" style="21" customWidth="1"/>
    <col min="2" max="2" width="11" style="21" customWidth="1"/>
    <col min="3" max="3" width="12" style="21" customWidth="1"/>
    <col min="4" max="7" width="16.28515625" style="21" customWidth="1"/>
    <col min="8" max="8" width="19.85546875" style="21" bestFit="1" customWidth="1"/>
    <col min="9" max="9" width="12.85546875" style="21" bestFit="1" customWidth="1"/>
    <col min="10" max="10" width="19.85546875" style="21" bestFit="1" customWidth="1"/>
    <col min="11" max="11" width="14.28515625" style="21" bestFit="1" customWidth="1"/>
    <col min="12" max="16" width="9.140625" style="21"/>
    <col min="17" max="17" width="10.28515625" style="21" bestFit="1" customWidth="1"/>
    <col min="18" max="16384" width="9.140625" style="21"/>
  </cols>
  <sheetData>
    <row r="1" spans="2:11" ht="51" x14ac:dyDescent="0.2">
      <c r="B1" s="3" t="s">
        <v>23</v>
      </c>
      <c r="C1" s="4" t="s">
        <v>6</v>
      </c>
      <c r="D1" s="3" t="s">
        <v>5</v>
      </c>
      <c r="E1" s="3" t="s">
        <v>1</v>
      </c>
      <c r="F1" s="3" t="s">
        <v>24</v>
      </c>
      <c r="G1" s="4" t="s">
        <v>0</v>
      </c>
      <c r="K1" s="515" t="s">
        <v>88</v>
      </c>
    </row>
    <row r="2" spans="2:11" x14ac:dyDescent="0.2">
      <c r="B2" s="7">
        <v>1</v>
      </c>
      <c r="C2" s="12">
        <v>39574</v>
      </c>
      <c r="D2" s="13">
        <v>13000</v>
      </c>
      <c r="E2" s="13">
        <v>0</v>
      </c>
      <c r="F2" s="13">
        <v>2500</v>
      </c>
      <c r="G2" s="39">
        <f t="shared" ref="G2:G26" si="0">SUM(D2:F2)</f>
        <v>15500</v>
      </c>
      <c r="K2" s="515"/>
    </row>
    <row r="3" spans="2:11" x14ac:dyDescent="0.2">
      <c r="B3" s="19">
        <v>2</v>
      </c>
      <c r="C3" s="11">
        <v>39657</v>
      </c>
      <c r="D3" s="20">
        <v>26000</v>
      </c>
      <c r="E3" s="40">
        <v>0</v>
      </c>
      <c r="F3" s="40">
        <v>0</v>
      </c>
      <c r="G3" s="39">
        <f t="shared" si="0"/>
        <v>26000</v>
      </c>
      <c r="K3" s="515"/>
    </row>
    <row r="4" spans="2:11" x14ac:dyDescent="0.2">
      <c r="B4" s="19">
        <v>3</v>
      </c>
      <c r="C4" s="11">
        <v>39661</v>
      </c>
      <c r="D4" s="20">
        <v>39000</v>
      </c>
      <c r="E4" s="40">
        <v>0</v>
      </c>
      <c r="F4" s="40">
        <v>0</v>
      </c>
      <c r="G4" s="39">
        <f t="shared" si="0"/>
        <v>39000</v>
      </c>
      <c r="K4" s="39"/>
    </row>
    <row r="5" spans="2:11" ht="12.75" customHeight="1" x14ac:dyDescent="0.2">
      <c r="B5" s="19">
        <v>4</v>
      </c>
      <c r="C5" s="11">
        <v>39666</v>
      </c>
      <c r="D5" s="20">
        <v>757000</v>
      </c>
      <c r="E5" s="40">
        <v>0</v>
      </c>
      <c r="F5" s="40">
        <v>0</v>
      </c>
      <c r="G5" s="39">
        <f t="shared" si="0"/>
        <v>757000</v>
      </c>
      <c r="K5" s="520" t="s">
        <v>135</v>
      </c>
    </row>
    <row r="6" spans="2:11" x14ac:dyDescent="0.2">
      <c r="B6" s="19">
        <v>5</v>
      </c>
      <c r="C6" s="11">
        <v>39743</v>
      </c>
      <c r="D6" s="20">
        <v>757000</v>
      </c>
      <c r="E6" s="40">
        <v>0</v>
      </c>
      <c r="F6" s="40">
        <v>0</v>
      </c>
      <c r="G6" s="39">
        <f t="shared" ref="G6:G13" si="1">SUM(D6:F6)</f>
        <v>757000</v>
      </c>
      <c r="K6" s="520"/>
    </row>
    <row r="7" spans="2:11" x14ac:dyDescent="0.2">
      <c r="B7" s="25">
        <v>6</v>
      </c>
      <c r="C7" s="16">
        <v>39743</v>
      </c>
      <c r="D7" s="26">
        <v>767000</v>
      </c>
      <c r="E7" s="39">
        <v>0</v>
      </c>
      <c r="F7" s="39">
        <v>0</v>
      </c>
      <c r="G7" s="39">
        <f t="shared" si="1"/>
        <v>767000</v>
      </c>
      <c r="K7" s="520"/>
    </row>
    <row r="8" spans="2:11" x14ac:dyDescent="0.2">
      <c r="B8" s="19">
        <v>7</v>
      </c>
      <c r="C8" s="11">
        <v>39743</v>
      </c>
      <c r="D8" s="20">
        <v>501300</v>
      </c>
      <c r="E8" s="40">
        <v>0</v>
      </c>
      <c r="F8" s="40">
        <v>0</v>
      </c>
      <c r="G8" s="39">
        <f t="shared" si="1"/>
        <v>501300</v>
      </c>
      <c r="K8" s="520"/>
    </row>
    <row r="9" spans="2:11" x14ac:dyDescent="0.2">
      <c r="B9" s="19">
        <v>8</v>
      </c>
      <c r="C9" s="11">
        <v>39797</v>
      </c>
      <c r="D9" s="20">
        <v>671000</v>
      </c>
      <c r="E9" s="40">
        <v>0</v>
      </c>
      <c r="F9" s="40">
        <v>0</v>
      </c>
      <c r="G9" s="39">
        <f t="shared" si="1"/>
        <v>671000</v>
      </c>
      <c r="K9" s="520"/>
    </row>
    <row r="10" spans="2:11" x14ac:dyDescent="0.2">
      <c r="B10" s="25">
        <v>9</v>
      </c>
      <c r="C10" s="16">
        <v>39799</v>
      </c>
      <c r="D10" s="26">
        <v>505000</v>
      </c>
      <c r="E10" s="39">
        <v>0</v>
      </c>
      <c r="F10" s="39">
        <v>0</v>
      </c>
      <c r="G10" s="39">
        <f t="shared" si="1"/>
        <v>505000</v>
      </c>
      <c r="K10" s="520"/>
    </row>
    <row r="11" spans="2:11" x14ac:dyDescent="0.2">
      <c r="B11" s="25">
        <v>10</v>
      </c>
      <c r="C11" s="16">
        <v>39862</v>
      </c>
      <c r="D11" s="26">
        <v>728000</v>
      </c>
      <c r="E11" s="39">
        <v>0</v>
      </c>
      <c r="F11" s="39">
        <v>0</v>
      </c>
      <c r="G11" s="39">
        <f t="shared" si="1"/>
        <v>728000</v>
      </c>
      <c r="K11" s="520"/>
    </row>
    <row r="12" spans="2:11" x14ac:dyDescent="0.2">
      <c r="B12" s="25">
        <v>11</v>
      </c>
      <c r="C12" s="16">
        <v>39870</v>
      </c>
      <c r="D12" s="26">
        <v>817000</v>
      </c>
      <c r="E12" s="39">
        <v>0</v>
      </c>
      <c r="F12" s="39">
        <v>0</v>
      </c>
      <c r="G12" s="39">
        <f t="shared" si="1"/>
        <v>817000</v>
      </c>
      <c r="K12" s="520"/>
    </row>
    <row r="13" spans="2:11" x14ac:dyDescent="0.2">
      <c r="B13" s="25">
        <v>12</v>
      </c>
      <c r="C13" s="16">
        <v>39912</v>
      </c>
      <c r="D13" s="26">
        <v>728000</v>
      </c>
      <c r="E13" s="39">
        <v>0</v>
      </c>
      <c r="F13" s="39">
        <v>0</v>
      </c>
      <c r="G13" s="39">
        <f t="shared" si="1"/>
        <v>728000</v>
      </c>
      <c r="K13" s="520"/>
    </row>
    <row r="14" spans="2:11" x14ac:dyDescent="0.2">
      <c r="B14" s="19">
        <v>13</v>
      </c>
      <c r="C14" s="11">
        <v>39948</v>
      </c>
      <c r="D14" s="20">
        <v>693000</v>
      </c>
      <c r="E14" s="40">
        <v>0</v>
      </c>
      <c r="F14" s="40">
        <v>0</v>
      </c>
      <c r="G14" s="39">
        <f t="shared" si="0"/>
        <v>693000</v>
      </c>
      <c r="K14" s="520"/>
    </row>
    <row r="15" spans="2:11" x14ac:dyDescent="0.2">
      <c r="B15" s="19">
        <v>14</v>
      </c>
      <c r="C15" s="11">
        <v>39993</v>
      </c>
      <c r="D15" s="20">
        <v>565000</v>
      </c>
      <c r="E15" s="40">
        <v>0</v>
      </c>
      <c r="F15" s="40">
        <v>0</v>
      </c>
      <c r="G15" s="39">
        <f t="shared" si="0"/>
        <v>565000</v>
      </c>
      <c r="K15" s="520"/>
    </row>
    <row r="16" spans="2:11" x14ac:dyDescent="0.2">
      <c r="B16" s="19">
        <v>15</v>
      </c>
      <c r="C16" s="11">
        <v>40002</v>
      </c>
      <c r="D16" s="20">
        <v>475000</v>
      </c>
      <c r="E16" s="40">
        <v>0</v>
      </c>
      <c r="F16" s="40">
        <v>0</v>
      </c>
      <c r="G16" s="39">
        <f t="shared" si="0"/>
        <v>475000</v>
      </c>
      <c r="K16" s="520"/>
    </row>
    <row r="17" spans="1:11" x14ac:dyDescent="0.2">
      <c r="B17" s="25">
        <v>16</v>
      </c>
      <c r="C17" s="16">
        <v>40044</v>
      </c>
      <c r="D17" s="26">
        <v>371000</v>
      </c>
      <c r="E17" s="39">
        <v>0</v>
      </c>
      <c r="F17" s="39">
        <v>0</v>
      </c>
      <c r="G17" s="39">
        <f t="shared" si="0"/>
        <v>371000</v>
      </c>
      <c r="K17" s="520"/>
    </row>
    <row r="18" spans="1:11" x14ac:dyDescent="0.2">
      <c r="B18" s="19">
        <v>17</v>
      </c>
      <c r="C18" s="11">
        <v>40057</v>
      </c>
      <c r="D18" s="20">
        <v>364000</v>
      </c>
      <c r="E18" s="40">
        <v>0</v>
      </c>
      <c r="F18" s="40">
        <v>0</v>
      </c>
      <c r="G18" s="39">
        <f t="shared" si="0"/>
        <v>364000</v>
      </c>
      <c r="J18" s="233"/>
    </row>
    <row r="19" spans="1:11" x14ac:dyDescent="0.2">
      <c r="B19" s="19">
        <v>18</v>
      </c>
      <c r="C19" s="11">
        <v>40072</v>
      </c>
      <c r="D19" s="20">
        <v>355000</v>
      </c>
      <c r="E19" s="40">
        <v>0</v>
      </c>
      <c r="F19" s="40">
        <v>0</v>
      </c>
      <c r="G19" s="39">
        <f t="shared" si="0"/>
        <v>355000</v>
      </c>
      <c r="J19" s="233"/>
    </row>
    <row r="20" spans="1:11" x14ac:dyDescent="0.2">
      <c r="B20" s="25">
        <v>19</v>
      </c>
      <c r="C20" s="16">
        <v>40112</v>
      </c>
      <c r="D20" s="26">
        <v>344000</v>
      </c>
      <c r="E20" s="39">
        <v>0</v>
      </c>
      <c r="F20" s="39">
        <v>0</v>
      </c>
      <c r="G20" s="39">
        <f t="shared" si="0"/>
        <v>344000</v>
      </c>
      <c r="J20" s="233"/>
    </row>
    <row r="21" spans="1:11" x14ac:dyDescent="0.2">
      <c r="B21" s="25">
        <v>20</v>
      </c>
      <c r="C21" s="16">
        <v>40142</v>
      </c>
      <c r="D21" s="26">
        <v>332000</v>
      </c>
      <c r="E21" s="39">
        <v>0</v>
      </c>
      <c r="F21" s="39">
        <v>0</v>
      </c>
      <c r="G21" s="39">
        <f t="shared" si="0"/>
        <v>332000</v>
      </c>
      <c r="J21" s="233"/>
    </row>
    <row r="22" spans="1:11" x14ac:dyDescent="0.2">
      <c r="B22" s="25">
        <v>21</v>
      </c>
      <c r="C22" s="16">
        <v>40177</v>
      </c>
      <c r="D22" s="26">
        <v>312000</v>
      </c>
      <c r="E22" s="39">
        <v>0</v>
      </c>
      <c r="F22" s="39">
        <v>0</v>
      </c>
      <c r="G22" s="39">
        <f t="shared" si="0"/>
        <v>312000</v>
      </c>
    </row>
    <row r="23" spans="1:11" x14ac:dyDescent="0.2">
      <c r="B23" s="25">
        <v>22</v>
      </c>
      <c r="C23" s="16">
        <v>40211</v>
      </c>
      <c r="D23" s="26">
        <v>201000</v>
      </c>
      <c r="E23" s="39">
        <v>0</v>
      </c>
      <c r="F23" s="39">
        <v>0</v>
      </c>
      <c r="G23" s="39">
        <f t="shared" si="0"/>
        <v>201000</v>
      </c>
    </row>
    <row r="24" spans="1:11" x14ac:dyDescent="0.2">
      <c r="B24" s="19">
        <v>23</v>
      </c>
      <c r="C24" s="11">
        <v>40239</v>
      </c>
      <c r="D24" s="20">
        <v>185000</v>
      </c>
      <c r="E24" s="40">
        <v>0</v>
      </c>
      <c r="F24" s="40">
        <v>0</v>
      </c>
      <c r="G24" s="39">
        <f>SUM(D24:F24)</f>
        <v>185000</v>
      </c>
    </row>
    <row r="25" spans="1:11" x14ac:dyDescent="0.2">
      <c r="B25" s="25">
        <v>24</v>
      </c>
      <c r="C25" s="16">
        <v>40254</v>
      </c>
      <c r="D25" s="26">
        <v>138000</v>
      </c>
      <c r="E25" s="39">
        <v>0</v>
      </c>
      <c r="F25" s="39">
        <v>0</v>
      </c>
      <c r="G25" s="39">
        <f t="shared" si="0"/>
        <v>138000</v>
      </c>
    </row>
    <row r="26" spans="1:11" x14ac:dyDescent="0.2">
      <c r="B26" s="25">
        <v>25</v>
      </c>
      <c r="C26" s="16">
        <v>40284</v>
      </c>
      <c r="D26" s="26">
        <v>14976000</v>
      </c>
      <c r="E26" s="39">
        <v>0</v>
      </c>
      <c r="F26" s="26">
        <v>0</v>
      </c>
      <c r="G26" s="39">
        <f t="shared" si="0"/>
        <v>14976000</v>
      </c>
    </row>
    <row r="27" spans="1:11" x14ac:dyDescent="0.2">
      <c r="A27" s="21" t="s">
        <v>89</v>
      </c>
      <c r="B27" s="25">
        <v>26</v>
      </c>
      <c r="C27" s="16">
        <v>40302</v>
      </c>
      <c r="D27" s="26">
        <v>600000</v>
      </c>
      <c r="E27" s="39">
        <v>0</v>
      </c>
      <c r="F27" s="39">
        <v>0</v>
      </c>
      <c r="G27" s="39">
        <f>SUM(D27:F27)</f>
        <v>600000</v>
      </c>
    </row>
    <row r="28" spans="1:11" ht="13.5" thickBot="1" x14ac:dyDescent="0.25">
      <c r="B28" s="25">
        <v>27</v>
      </c>
      <c r="C28" s="16">
        <v>40331</v>
      </c>
      <c r="D28" s="26">
        <v>231700</v>
      </c>
      <c r="E28" s="39">
        <v>0</v>
      </c>
      <c r="F28" s="39">
        <v>0</v>
      </c>
      <c r="G28" s="39">
        <f>SUM(D28:F28)</f>
        <v>231700</v>
      </c>
    </row>
    <row r="29" spans="1:11" ht="13.5" thickBot="1" x14ac:dyDescent="0.25">
      <c r="C29" s="5" t="s">
        <v>0</v>
      </c>
      <c r="D29" s="41">
        <f>SUM(D2:D28)</f>
        <v>26452000</v>
      </c>
      <c r="E29" s="41">
        <f>SUM(E2:E26)</f>
        <v>0</v>
      </c>
      <c r="F29" s="41">
        <f>SUM(F2:F28)</f>
        <v>2500</v>
      </c>
      <c r="G29" s="41">
        <f>SUM(G2:G28)</f>
        <v>26454500</v>
      </c>
      <c r="H29" s="521" t="s">
        <v>141</v>
      </c>
      <c r="I29" s="522"/>
    </row>
    <row r="30" spans="1:11" x14ac:dyDescent="0.2">
      <c r="A30" s="212" t="s">
        <v>132</v>
      </c>
      <c r="D30" s="180">
        <f>D29-1697049.67</f>
        <v>24754950.329999998</v>
      </c>
      <c r="E30" s="180">
        <v>0</v>
      </c>
      <c r="F30" s="180">
        <f>F29-0</f>
        <v>2500</v>
      </c>
      <c r="G30" s="41">
        <f>SUM(D30:F30)</f>
        <v>24757450.329999998</v>
      </c>
      <c r="H30" s="329">
        <f>G29-G30</f>
        <v>1697049.6700000018</v>
      </c>
      <c r="I30" s="331" t="s">
        <v>142</v>
      </c>
    </row>
    <row r="31" spans="1:11" ht="13.5" thickBot="1" x14ac:dyDescent="0.25">
      <c r="A31" s="212"/>
      <c r="D31" s="180">
        <f>D30-273106.8</f>
        <v>24481843.529999997</v>
      </c>
      <c r="E31" s="180"/>
      <c r="F31" s="180">
        <f>F30-0</f>
        <v>2500</v>
      </c>
      <c r="G31" s="41">
        <f>SUM(D31:F31)</f>
        <v>24484343.529999997</v>
      </c>
      <c r="H31" s="330">
        <v>273106.8</v>
      </c>
      <c r="I31" s="332" t="s">
        <v>143</v>
      </c>
    </row>
    <row r="32" spans="1:11" x14ac:dyDescent="0.2">
      <c r="A32" s="212"/>
      <c r="D32" s="180"/>
      <c r="E32" s="180"/>
      <c r="F32" s="180"/>
      <c r="G32" s="41"/>
      <c r="H32" s="276"/>
      <c r="I32" s="20"/>
    </row>
    <row r="33" spans="1:11" x14ac:dyDescent="0.2">
      <c r="A33" s="508" t="s">
        <v>26</v>
      </c>
      <c r="B33" s="508"/>
      <c r="C33" s="275">
        <v>40313</v>
      </c>
      <c r="D33" s="288" t="s">
        <v>58</v>
      </c>
      <c r="F33" s="274"/>
    </row>
    <row r="34" spans="1:11" x14ac:dyDescent="0.2">
      <c r="B34" s="316" t="s">
        <v>154</v>
      </c>
      <c r="C34" s="275">
        <v>40340</v>
      </c>
      <c r="D34" s="288" t="s">
        <v>58</v>
      </c>
    </row>
    <row r="35" spans="1:11" x14ac:dyDescent="0.2">
      <c r="A35" s="514" t="s">
        <v>25</v>
      </c>
      <c r="B35" s="514"/>
      <c r="C35" s="514"/>
      <c r="D35" s="514"/>
      <c r="E35" s="514"/>
      <c r="F35" s="514"/>
      <c r="G35" s="514"/>
      <c r="H35" s="514"/>
      <c r="I35" s="514"/>
      <c r="J35" s="514"/>
    </row>
    <row r="36" spans="1:11" x14ac:dyDescent="0.2">
      <c r="A36" s="2" t="s">
        <v>7</v>
      </c>
      <c r="B36" s="2" t="s">
        <v>8</v>
      </c>
      <c r="C36" s="2" t="s">
        <v>9</v>
      </c>
      <c r="D36" s="2" t="s">
        <v>10</v>
      </c>
      <c r="E36" s="2" t="s">
        <v>11</v>
      </c>
      <c r="F36" s="2" t="s">
        <v>12</v>
      </c>
      <c r="G36" s="2" t="s">
        <v>13</v>
      </c>
      <c r="H36" s="2"/>
      <c r="I36" s="2"/>
      <c r="J36" s="2" t="s">
        <v>14</v>
      </c>
    </row>
    <row r="37" spans="1:11" ht="38.25" x14ac:dyDescent="0.2">
      <c r="A37" s="6" t="s">
        <v>15</v>
      </c>
      <c r="B37" s="6" t="s">
        <v>16</v>
      </c>
      <c r="C37" s="6" t="s">
        <v>17</v>
      </c>
      <c r="D37" s="6" t="s">
        <v>18</v>
      </c>
      <c r="E37" s="6" t="s">
        <v>19</v>
      </c>
      <c r="F37" s="6" t="s">
        <v>20</v>
      </c>
      <c r="G37" s="6" t="s">
        <v>76</v>
      </c>
      <c r="H37" s="6" t="s">
        <v>22</v>
      </c>
      <c r="I37" s="6" t="s">
        <v>50</v>
      </c>
      <c r="J37" s="6" t="s">
        <v>21</v>
      </c>
    </row>
    <row r="38" spans="1:11" s="1" customFormat="1" x14ac:dyDescent="0.2">
      <c r="A38" s="223" t="s">
        <v>41</v>
      </c>
      <c r="B38" s="224">
        <f>C33</f>
        <v>40313</v>
      </c>
      <c r="C38" s="225">
        <v>40359</v>
      </c>
      <c r="D38" s="220">
        <f>+C38-B38+1</f>
        <v>47</v>
      </c>
      <c r="E38" s="226">
        <v>3.25</v>
      </c>
      <c r="F38" s="221">
        <f>D29</f>
        <v>26452000</v>
      </c>
      <c r="G38" s="459">
        <f>+D38/365*E38/100*F38</f>
        <v>110699.80821917807</v>
      </c>
      <c r="H38" s="462">
        <f>D29/20</f>
        <v>1322600</v>
      </c>
      <c r="I38" s="227"/>
      <c r="J38" s="222">
        <f t="shared" ref="J38:J57" si="2">F38-H38</f>
        <v>25129400</v>
      </c>
    </row>
    <row r="39" spans="1:11" x14ac:dyDescent="0.2">
      <c r="A39" s="223" t="s">
        <v>42</v>
      </c>
      <c r="B39" s="224">
        <v>40360</v>
      </c>
      <c r="C39" s="225">
        <v>40451</v>
      </c>
      <c r="D39" s="220">
        <f>+C39-B39+1</f>
        <v>92</v>
      </c>
      <c r="E39" s="226">
        <v>3.25</v>
      </c>
      <c r="F39" s="221">
        <f t="shared" ref="F39:F57" si="3">J38</f>
        <v>25129400</v>
      </c>
      <c r="G39" s="221">
        <f>+D39/365*E39/100*F39</f>
        <v>205854.53698630139</v>
      </c>
      <c r="H39" s="461">
        <f>D29/20</f>
        <v>1322600</v>
      </c>
      <c r="I39" s="227"/>
      <c r="J39" s="222">
        <f>F39-H39</f>
        <v>23806800</v>
      </c>
    </row>
    <row r="40" spans="1:11" x14ac:dyDescent="0.2">
      <c r="A40" s="223" t="s">
        <v>31</v>
      </c>
      <c r="B40" s="224">
        <f>C39+1</f>
        <v>40452</v>
      </c>
      <c r="C40" s="225">
        <v>40543</v>
      </c>
      <c r="D40" s="220">
        <f>+C40-B40+1</f>
        <v>92</v>
      </c>
      <c r="E40" s="226">
        <v>3.25</v>
      </c>
      <c r="F40" s="221">
        <f t="shared" si="3"/>
        <v>23806800</v>
      </c>
      <c r="G40" s="221">
        <f>+D40/365*E40/100*F40</f>
        <v>195020.0876712329</v>
      </c>
      <c r="H40" s="461">
        <f>H39</f>
        <v>1322600</v>
      </c>
      <c r="I40" s="227"/>
      <c r="J40" s="222">
        <f t="shared" si="2"/>
        <v>22484200</v>
      </c>
    </row>
    <row r="41" spans="1:11" x14ac:dyDescent="0.2">
      <c r="A41" s="31" t="s">
        <v>43</v>
      </c>
      <c r="B41" s="27">
        <f>C40+1</f>
        <v>40544</v>
      </c>
      <c r="C41" s="27">
        <v>40633</v>
      </c>
      <c r="D41" s="48">
        <f t="shared" ref="D41:D57" si="4">+C41-B41+1</f>
        <v>90</v>
      </c>
      <c r="E41" s="48">
        <v>3.25</v>
      </c>
      <c r="F41" s="217">
        <f t="shared" si="3"/>
        <v>22484200</v>
      </c>
      <c r="G41" s="460">
        <f>+D41/365*E41/100*F41</f>
        <v>180181.60273972602</v>
      </c>
      <c r="H41" s="40">
        <f>H40</f>
        <v>1322600</v>
      </c>
      <c r="I41" s="218"/>
      <c r="J41" s="219">
        <f t="shared" si="2"/>
        <v>21161600</v>
      </c>
    </row>
    <row r="42" spans="1:11" x14ac:dyDescent="0.2">
      <c r="A42" s="31" t="s">
        <v>44</v>
      </c>
      <c r="B42" s="27">
        <f t="shared" ref="B42:B57" si="5">C41+1</f>
        <v>40634</v>
      </c>
      <c r="C42" s="27">
        <v>40724</v>
      </c>
      <c r="D42" s="48">
        <f t="shared" si="4"/>
        <v>91</v>
      </c>
      <c r="E42" s="48">
        <v>3.25</v>
      </c>
      <c r="F42" s="217">
        <f t="shared" si="3"/>
        <v>21161600</v>
      </c>
      <c r="G42" s="217">
        <f t="shared" ref="G42:G57" si="6">+D42/365*E42/100*F42</f>
        <v>171466.93698630139</v>
      </c>
      <c r="H42" s="40">
        <f>H41</f>
        <v>1322600</v>
      </c>
      <c r="I42" s="218"/>
      <c r="J42" s="219">
        <f t="shared" si="2"/>
        <v>19839000</v>
      </c>
    </row>
    <row r="43" spans="1:11" x14ac:dyDescent="0.2">
      <c r="A43" s="31" t="s">
        <v>45</v>
      </c>
      <c r="B43" s="27">
        <f t="shared" si="5"/>
        <v>40725</v>
      </c>
      <c r="C43" s="27">
        <v>40816</v>
      </c>
      <c r="D43" s="48">
        <f t="shared" si="4"/>
        <v>92</v>
      </c>
      <c r="E43" s="48">
        <v>3.25</v>
      </c>
      <c r="F43" s="217">
        <f t="shared" si="3"/>
        <v>19839000</v>
      </c>
      <c r="G43" s="217">
        <f>+D43/365*E43/100*F43</f>
        <v>162516.73972602742</v>
      </c>
      <c r="H43" s="217">
        <f>(D30-SUM(H38:H42))/15+H30</f>
        <v>2906513.0253333347</v>
      </c>
      <c r="I43" s="218"/>
      <c r="J43" s="219">
        <f t="shared" si="2"/>
        <v>16932486.974666666</v>
      </c>
      <c r="K43" s="41">
        <f>H43-H30</f>
        <v>1209463.3553333329</v>
      </c>
    </row>
    <row r="44" spans="1:11" x14ac:dyDescent="0.2">
      <c r="A44" s="31" t="s">
        <v>32</v>
      </c>
      <c r="B44" s="27">
        <f t="shared" si="5"/>
        <v>40817</v>
      </c>
      <c r="C44" s="27">
        <v>40908</v>
      </c>
      <c r="D44" s="48">
        <f t="shared" si="4"/>
        <v>92</v>
      </c>
      <c r="E44" s="48">
        <v>3.25</v>
      </c>
      <c r="F44" s="217">
        <f t="shared" si="3"/>
        <v>16932486.974666666</v>
      </c>
      <c r="G44" s="217">
        <f t="shared" si="6"/>
        <v>138707.22206644749</v>
      </c>
      <c r="H44" s="217">
        <f>($D$30-SUM(H38:H42))/15</f>
        <v>1209463.3553333331</v>
      </c>
      <c r="I44" s="218"/>
      <c r="J44" s="219">
        <f t="shared" si="2"/>
        <v>15723023.619333332</v>
      </c>
    </row>
    <row r="45" spans="1:11" x14ac:dyDescent="0.2">
      <c r="A45" s="223" t="s">
        <v>38</v>
      </c>
      <c r="B45" s="224">
        <f t="shared" si="5"/>
        <v>40909</v>
      </c>
      <c r="C45" s="224">
        <v>40999</v>
      </c>
      <c r="D45" s="228">
        <f t="shared" si="4"/>
        <v>91</v>
      </c>
      <c r="E45" s="226">
        <v>3.25</v>
      </c>
      <c r="F45" s="221">
        <f t="shared" si="3"/>
        <v>15723023.619333332</v>
      </c>
      <c r="G45" s="221">
        <f>+D45/366*E45/100*F45</f>
        <v>127051.4818420173</v>
      </c>
      <c r="H45" s="221">
        <f>H44</f>
        <v>1209463.3553333331</v>
      </c>
      <c r="I45" s="227"/>
      <c r="J45" s="222">
        <f t="shared" si="2"/>
        <v>14513560.263999999</v>
      </c>
    </row>
    <row r="46" spans="1:11" x14ac:dyDescent="0.2">
      <c r="A46" s="223" t="s">
        <v>46</v>
      </c>
      <c r="B46" s="224">
        <f t="shared" si="5"/>
        <v>41000</v>
      </c>
      <c r="C46" s="224">
        <v>41090</v>
      </c>
      <c r="D46" s="228">
        <f t="shared" si="4"/>
        <v>91</v>
      </c>
      <c r="E46" s="226">
        <v>3.25</v>
      </c>
      <c r="F46" s="221">
        <f t="shared" si="3"/>
        <v>14513560.263999999</v>
      </c>
      <c r="G46" s="221">
        <f>+D46/366*E46/100*F46</f>
        <v>117278.29093109288</v>
      </c>
      <c r="H46" s="221">
        <f>H45</f>
        <v>1209463.3553333331</v>
      </c>
      <c r="I46" s="227"/>
      <c r="J46" s="222">
        <f t="shared" si="2"/>
        <v>13304096.908666665</v>
      </c>
    </row>
    <row r="47" spans="1:11" x14ac:dyDescent="0.2">
      <c r="A47" s="223" t="s">
        <v>47</v>
      </c>
      <c r="B47" s="224">
        <f t="shared" si="5"/>
        <v>41091</v>
      </c>
      <c r="C47" s="224">
        <v>41182</v>
      </c>
      <c r="D47" s="228">
        <f t="shared" si="4"/>
        <v>92</v>
      </c>
      <c r="E47" s="226">
        <v>3.25</v>
      </c>
      <c r="F47" s="221">
        <f t="shared" si="3"/>
        <v>13304096.908666665</v>
      </c>
      <c r="G47" s="221">
        <f>+D47/366*E47/100*F47</f>
        <v>108686.47474566483</v>
      </c>
      <c r="H47" s="221">
        <f>H46+H31</f>
        <v>1482570.1553333332</v>
      </c>
      <c r="I47" s="227"/>
      <c r="J47" s="222">
        <f>F47-H47</f>
        <v>11821526.753333332</v>
      </c>
      <c r="K47" s="41">
        <f>H47-H31</f>
        <v>1209463.3553333331</v>
      </c>
    </row>
    <row r="48" spans="1:11" x14ac:dyDescent="0.2">
      <c r="A48" s="223" t="s">
        <v>33</v>
      </c>
      <c r="B48" s="224">
        <f t="shared" si="5"/>
        <v>41183</v>
      </c>
      <c r="C48" s="224">
        <v>41274</v>
      </c>
      <c r="D48" s="228">
        <f t="shared" si="4"/>
        <v>92</v>
      </c>
      <c r="E48" s="226">
        <v>3.25</v>
      </c>
      <c r="F48" s="221">
        <f>J47</f>
        <v>11821526.753333332</v>
      </c>
      <c r="G48" s="221">
        <f>+D48/366*E48/100*F48</f>
        <v>96574.767738979965</v>
      </c>
      <c r="H48" s="221">
        <f>J47/10</f>
        <v>1182152.6753333332</v>
      </c>
      <c r="I48" s="227"/>
      <c r="J48" s="222">
        <f>F48-H48</f>
        <v>10639374.077999998</v>
      </c>
      <c r="K48" s="41"/>
    </row>
    <row r="49" spans="1:10" x14ac:dyDescent="0.2">
      <c r="A49" s="31" t="s">
        <v>60</v>
      </c>
      <c r="B49" s="27">
        <f t="shared" si="5"/>
        <v>41275</v>
      </c>
      <c r="C49" s="27">
        <v>41364</v>
      </c>
      <c r="D49" s="48">
        <f t="shared" si="4"/>
        <v>90</v>
      </c>
      <c r="E49" s="48">
        <v>3.25</v>
      </c>
      <c r="F49" s="217">
        <f>J48</f>
        <v>10639374.077999998</v>
      </c>
      <c r="G49" s="217">
        <f t="shared" si="6"/>
        <v>85260.737474383539</v>
      </c>
      <c r="H49" s="217">
        <f t="shared" ref="H49:H57" si="7">H48</f>
        <v>1182152.6753333332</v>
      </c>
      <c r="I49" s="218"/>
      <c r="J49" s="219">
        <f>F49-H49</f>
        <v>9457221.4026666656</v>
      </c>
    </row>
    <row r="50" spans="1:10" x14ac:dyDescent="0.2">
      <c r="A50" s="31" t="s">
        <v>61</v>
      </c>
      <c r="B50" s="27">
        <f t="shared" si="5"/>
        <v>41365</v>
      </c>
      <c r="C50" s="27">
        <v>41455</v>
      </c>
      <c r="D50" s="48">
        <f t="shared" si="4"/>
        <v>91</v>
      </c>
      <c r="E50" s="48">
        <v>3.25</v>
      </c>
      <c r="F50" s="217">
        <f t="shared" si="3"/>
        <v>9457221.4026666656</v>
      </c>
      <c r="G50" s="217">
        <f t="shared" si="6"/>
        <v>76629.403557223734</v>
      </c>
      <c r="H50" s="217">
        <f t="shared" si="7"/>
        <v>1182152.6753333332</v>
      </c>
      <c r="I50" s="218"/>
      <c r="J50" s="219">
        <f t="shared" si="2"/>
        <v>8275068.7273333324</v>
      </c>
    </row>
    <row r="51" spans="1:10" x14ac:dyDescent="0.2">
      <c r="A51" s="31" t="s">
        <v>62</v>
      </c>
      <c r="B51" s="27">
        <f t="shared" si="5"/>
        <v>41456</v>
      </c>
      <c r="C51" s="27">
        <v>41547</v>
      </c>
      <c r="D51" s="48">
        <f t="shared" si="4"/>
        <v>92</v>
      </c>
      <c r="E51" s="48">
        <v>3.25</v>
      </c>
      <c r="F51" s="217">
        <f t="shared" si="3"/>
        <v>8275068.7273333324</v>
      </c>
      <c r="G51" s="217">
        <f t="shared" si="6"/>
        <v>67787.549300621002</v>
      </c>
      <c r="H51" s="217">
        <f t="shared" si="7"/>
        <v>1182152.6753333332</v>
      </c>
      <c r="I51" s="218"/>
      <c r="J51" s="219">
        <f t="shared" si="2"/>
        <v>7092916.0519999992</v>
      </c>
    </row>
    <row r="52" spans="1:10" x14ac:dyDescent="0.2">
      <c r="A52" s="31" t="s">
        <v>63</v>
      </c>
      <c r="B52" s="27">
        <f t="shared" si="5"/>
        <v>41548</v>
      </c>
      <c r="C52" s="27">
        <v>41639</v>
      </c>
      <c r="D52" s="48">
        <f t="shared" si="4"/>
        <v>92</v>
      </c>
      <c r="E52" s="48">
        <v>3.25</v>
      </c>
      <c r="F52" s="217">
        <f t="shared" si="3"/>
        <v>7092916.0519999992</v>
      </c>
      <c r="G52" s="217">
        <f t="shared" si="6"/>
        <v>58103.613686246572</v>
      </c>
      <c r="H52" s="217">
        <f t="shared" si="7"/>
        <v>1182152.6753333332</v>
      </c>
      <c r="I52" s="218"/>
      <c r="J52" s="219">
        <f t="shared" si="2"/>
        <v>5910763.376666666</v>
      </c>
    </row>
    <row r="53" spans="1:10" x14ac:dyDescent="0.2">
      <c r="A53" s="223" t="s">
        <v>65</v>
      </c>
      <c r="B53" s="224">
        <f t="shared" si="5"/>
        <v>41640</v>
      </c>
      <c r="C53" s="224">
        <v>41729</v>
      </c>
      <c r="D53" s="228">
        <f t="shared" si="4"/>
        <v>90</v>
      </c>
      <c r="E53" s="226">
        <v>3.25</v>
      </c>
      <c r="F53" s="221">
        <f t="shared" si="3"/>
        <v>5910763.376666666</v>
      </c>
      <c r="G53" s="221">
        <f t="shared" si="6"/>
        <v>47367.076374657525</v>
      </c>
      <c r="H53" s="221">
        <f t="shared" si="7"/>
        <v>1182152.6753333332</v>
      </c>
      <c r="I53" s="227"/>
      <c r="J53" s="222">
        <f t="shared" si="2"/>
        <v>4728610.7013333328</v>
      </c>
    </row>
    <row r="54" spans="1:10" x14ac:dyDescent="0.2">
      <c r="A54" s="223" t="s">
        <v>66</v>
      </c>
      <c r="B54" s="224">
        <f t="shared" si="5"/>
        <v>41730</v>
      </c>
      <c r="C54" s="224">
        <v>41820</v>
      </c>
      <c r="D54" s="228">
        <f t="shared" si="4"/>
        <v>91</v>
      </c>
      <c r="E54" s="226">
        <v>3.25</v>
      </c>
      <c r="F54" s="221">
        <f t="shared" si="3"/>
        <v>4728610.7013333328</v>
      </c>
      <c r="G54" s="221">
        <f t="shared" si="6"/>
        <v>38314.701778611867</v>
      </c>
      <c r="H54" s="221">
        <f t="shared" si="7"/>
        <v>1182152.6753333332</v>
      </c>
      <c r="I54" s="227"/>
      <c r="J54" s="222">
        <f t="shared" si="2"/>
        <v>3546458.0259999996</v>
      </c>
    </row>
    <row r="55" spans="1:10" x14ac:dyDescent="0.2">
      <c r="A55" s="229" t="s">
        <v>67</v>
      </c>
      <c r="B55" s="224">
        <f t="shared" si="5"/>
        <v>41821</v>
      </c>
      <c r="C55" s="224">
        <v>41912</v>
      </c>
      <c r="D55" s="228">
        <f t="shared" si="4"/>
        <v>92</v>
      </c>
      <c r="E55" s="226">
        <v>3.25</v>
      </c>
      <c r="F55" s="221">
        <f t="shared" si="3"/>
        <v>3546458.0259999996</v>
      </c>
      <c r="G55" s="221">
        <f t="shared" si="6"/>
        <v>29051.806843123286</v>
      </c>
      <c r="H55" s="221">
        <f t="shared" si="7"/>
        <v>1182152.6753333332</v>
      </c>
      <c r="I55" s="227"/>
      <c r="J55" s="222">
        <f t="shared" si="2"/>
        <v>2364305.3506666664</v>
      </c>
    </row>
    <row r="56" spans="1:10" x14ac:dyDescent="0.2">
      <c r="A56" s="230" t="s">
        <v>68</v>
      </c>
      <c r="B56" s="231">
        <f t="shared" si="5"/>
        <v>41913</v>
      </c>
      <c r="C56" s="224">
        <v>42004</v>
      </c>
      <c r="D56" s="228">
        <f t="shared" si="4"/>
        <v>92</v>
      </c>
      <c r="E56" s="226">
        <v>3.25</v>
      </c>
      <c r="F56" s="221">
        <f t="shared" si="3"/>
        <v>2364305.3506666664</v>
      </c>
      <c r="G56" s="221">
        <f t="shared" si="6"/>
        <v>19367.87122874886</v>
      </c>
      <c r="H56" s="221">
        <f t="shared" si="7"/>
        <v>1182152.6753333332</v>
      </c>
      <c r="I56" s="227"/>
      <c r="J56" s="222">
        <f t="shared" si="2"/>
        <v>1182152.6753333332</v>
      </c>
    </row>
    <row r="57" spans="1:10" x14ac:dyDescent="0.2">
      <c r="A57" s="52" t="s">
        <v>69</v>
      </c>
      <c r="B57" s="27">
        <f t="shared" si="5"/>
        <v>42005</v>
      </c>
      <c r="C57" s="27">
        <v>42094</v>
      </c>
      <c r="D57" s="48">
        <f t="shared" si="4"/>
        <v>90</v>
      </c>
      <c r="E57" s="48">
        <v>3.25</v>
      </c>
      <c r="F57" s="217">
        <f t="shared" si="3"/>
        <v>1182152.6753333332</v>
      </c>
      <c r="G57" s="217">
        <f t="shared" si="6"/>
        <v>9473.4152749315053</v>
      </c>
      <c r="H57" s="217">
        <f t="shared" si="7"/>
        <v>1182152.6753333332</v>
      </c>
      <c r="I57" s="218"/>
      <c r="J57" s="219">
        <f t="shared" si="2"/>
        <v>0</v>
      </c>
    </row>
    <row r="58" spans="1:10" x14ac:dyDescent="0.2">
      <c r="A58" s="51"/>
      <c r="B58" s="27"/>
      <c r="C58" s="27"/>
      <c r="D58" s="48"/>
      <c r="E58" s="49"/>
      <c r="F58" s="217"/>
      <c r="G58" s="217"/>
      <c r="H58" s="277">
        <f>SUM(H38:H57)</f>
        <v>26451999.999999993</v>
      </c>
      <c r="I58" s="218"/>
      <c r="J58" s="219"/>
    </row>
    <row r="59" spans="1:10" x14ac:dyDescent="0.2">
      <c r="A59" s="31"/>
      <c r="B59" s="27"/>
      <c r="C59" s="27"/>
      <c r="D59" s="48"/>
      <c r="E59" s="48"/>
      <c r="F59" s="28"/>
      <c r="G59" s="29"/>
      <c r="H59" s="29"/>
      <c r="I59" s="30"/>
      <c r="J59" s="70"/>
    </row>
    <row r="61" spans="1:10" x14ac:dyDescent="0.2">
      <c r="A61" s="517" t="s">
        <v>73</v>
      </c>
      <c r="B61" s="518"/>
      <c r="C61" s="518"/>
      <c r="D61" s="518"/>
      <c r="E61" s="518"/>
      <c r="F61" s="518"/>
      <c r="G61" s="518"/>
      <c r="H61" s="518"/>
      <c r="I61" s="518"/>
      <c r="J61" s="519"/>
    </row>
    <row r="62" spans="1:10" x14ac:dyDescent="0.2">
      <c r="A62" s="2" t="s">
        <v>7</v>
      </c>
      <c r="B62" s="2" t="s">
        <v>8</v>
      </c>
      <c r="C62" s="2" t="s">
        <v>9</v>
      </c>
      <c r="D62" s="2" t="s">
        <v>10</v>
      </c>
      <c r="E62" s="2" t="s">
        <v>11</v>
      </c>
      <c r="F62" s="2" t="s">
        <v>12</v>
      </c>
      <c r="G62" s="2" t="s">
        <v>13</v>
      </c>
      <c r="H62" s="2"/>
      <c r="I62" s="2"/>
      <c r="J62" s="2" t="s">
        <v>14</v>
      </c>
    </row>
    <row r="63" spans="1:10" ht="51" x14ac:dyDescent="0.2">
      <c r="A63" s="6" t="s">
        <v>15</v>
      </c>
      <c r="B63" s="6" t="s">
        <v>16</v>
      </c>
      <c r="C63" s="77" t="s">
        <v>17</v>
      </c>
      <c r="D63" s="77" t="s">
        <v>18</v>
      </c>
      <c r="E63" s="77" t="s">
        <v>19</v>
      </c>
      <c r="F63" s="77" t="s">
        <v>20</v>
      </c>
      <c r="G63" s="77" t="s">
        <v>49</v>
      </c>
      <c r="H63" s="77" t="s">
        <v>22</v>
      </c>
      <c r="I63" s="77" t="s">
        <v>50</v>
      </c>
      <c r="J63" s="77" t="s">
        <v>21</v>
      </c>
    </row>
    <row r="64" spans="1:10" x14ac:dyDescent="0.2">
      <c r="A64" s="463" t="s">
        <v>34</v>
      </c>
      <c r="B64" s="464">
        <f>C2</f>
        <v>39574</v>
      </c>
      <c r="C64" s="431">
        <v>39629</v>
      </c>
      <c r="D64" s="465">
        <f>+C64-B64+1</f>
        <v>56</v>
      </c>
      <c r="E64" s="432">
        <v>6.77</v>
      </c>
      <c r="F64" s="466">
        <f>F29</f>
        <v>2500</v>
      </c>
      <c r="G64" s="467">
        <f>+D64/366*E64/100*F64</f>
        <v>25.896174863387976</v>
      </c>
      <c r="H64" s="467"/>
      <c r="I64" s="467"/>
      <c r="J64" s="433">
        <f>F64+G64</f>
        <v>2525.8961748633878</v>
      </c>
    </row>
    <row r="65" spans="1:17" x14ac:dyDescent="0.2">
      <c r="A65" s="468" t="s">
        <v>35</v>
      </c>
      <c r="B65" s="469">
        <f>C64+1</f>
        <v>39630</v>
      </c>
      <c r="C65" s="431">
        <v>39721</v>
      </c>
      <c r="D65" s="465">
        <f>+C65-B65+1</f>
        <v>92</v>
      </c>
      <c r="E65" s="432">
        <v>5.3</v>
      </c>
      <c r="F65" s="466">
        <f>+J64</f>
        <v>2525.8961748633878</v>
      </c>
      <c r="G65" s="467">
        <f>+D65/366*E65/100*F65</f>
        <v>33.651010242169072</v>
      </c>
      <c r="H65" s="467"/>
      <c r="I65" s="467"/>
      <c r="J65" s="433">
        <f t="shared" ref="J65:J71" si="8">+F65+G65</f>
        <v>2559.5471851055568</v>
      </c>
    </row>
    <row r="66" spans="1:17" x14ac:dyDescent="0.2">
      <c r="A66" s="468" t="s">
        <v>29</v>
      </c>
      <c r="B66" s="469">
        <v>39722</v>
      </c>
      <c r="C66" s="469">
        <v>39813</v>
      </c>
      <c r="D66" s="470">
        <f t="shared" ref="D66:D72" si="9">+C66-B66+1</f>
        <v>92</v>
      </c>
      <c r="E66" s="432">
        <v>5</v>
      </c>
      <c r="F66" s="433">
        <f t="shared" ref="F66:F71" si="10">+J65</f>
        <v>2559.5471851055568</v>
      </c>
      <c r="G66" s="433">
        <f>+D66/366*E66/100*F66</f>
        <v>32.169172271818475</v>
      </c>
      <c r="H66" s="433"/>
      <c r="I66" s="471"/>
      <c r="J66" s="472">
        <f t="shared" si="8"/>
        <v>2591.7163573773751</v>
      </c>
    </row>
    <row r="67" spans="1:17" x14ac:dyDescent="0.2">
      <c r="A67" s="31" t="s">
        <v>36</v>
      </c>
      <c r="B67" s="27">
        <f t="shared" ref="B67:B72" si="11">C66+1</f>
        <v>39814</v>
      </c>
      <c r="C67" s="27">
        <v>39903</v>
      </c>
      <c r="D67" s="48">
        <f t="shared" si="9"/>
        <v>90</v>
      </c>
      <c r="E67" s="49">
        <v>4.5199999999999996</v>
      </c>
      <c r="F67" s="50">
        <f t="shared" si="10"/>
        <v>2591.7163573773751</v>
      </c>
      <c r="G67" s="50">
        <f t="shared" ref="G67:G72" si="12">+D67/365*E67/100*F67</f>
        <v>28.885211347427841</v>
      </c>
      <c r="H67" s="50"/>
      <c r="I67" s="78"/>
      <c r="J67" s="79">
        <f t="shared" si="8"/>
        <v>2620.6015687248027</v>
      </c>
    </row>
    <row r="68" spans="1:17" x14ac:dyDescent="0.2">
      <c r="A68" s="31" t="s">
        <v>37</v>
      </c>
      <c r="B68" s="27">
        <f t="shared" si="11"/>
        <v>39904</v>
      </c>
      <c r="C68" s="27">
        <v>39994</v>
      </c>
      <c r="D68" s="48">
        <f t="shared" si="9"/>
        <v>91</v>
      </c>
      <c r="E68" s="49">
        <v>3.37</v>
      </c>
      <c r="F68" s="50">
        <f t="shared" si="10"/>
        <v>2620.6015687248027</v>
      </c>
      <c r="G68" s="50">
        <f t="shared" si="12"/>
        <v>22.018078988516034</v>
      </c>
      <c r="H68" s="50"/>
      <c r="I68" s="78"/>
      <c r="J68" s="79">
        <f t="shared" si="8"/>
        <v>2642.619647713319</v>
      </c>
    </row>
    <row r="69" spans="1:17" x14ac:dyDescent="0.2">
      <c r="A69" s="31" t="s">
        <v>39</v>
      </c>
      <c r="B69" s="27">
        <f t="shared" si="11"/>
        <v>39995</v>
      </c>
      <c r="C69" s="27">
        <v>40086</v>
      </c>
      <c r="D69" s="48">
        <f t="shared" si="9"/>
        <v>92</v>
      </c>
      <c r="E69" s="49">
        <v>3.25</v>
      </c>
      <c r="F69" s="50">
        <f t="shared" si="10"/>
        <v>2642.619647713319</v>
      </c>
      <c r="G69" s="50">
        <f t="shared" si="12"/>
        <v>21.647760949761164</v>
      </c>
      <c r="H69" s="50"/>
      <c r="I69" s="78"/>
      <c r="J69" s="79">
        <f t="shared" si="8"/>
        <v>2664.26740866308</v>
      </c>
    </row>
    <row r="70" spans="1:17" x14ac:dyDescent="0.2">
      <c r="A70" s="31" t="s">
        <v>30</v>
      </c>
      <c r="B70" s="27">
        <f t="shared" si="11"/>
        <v>40087</v>
      </c>
      <c r="C70" s="27">
        <v>40178</v>
      </c>
      <c r="D70" s="48">
        <f t="shared" si="9"/>
        <v>92</v>
      </c>
      <c r="E70" s="49">
        <v>3.25</v>
      </c>
      <c r="F70" s="50">
        <f t="shared" si="10"/>
        <v>2664.26740866308</v>
      </c>
      <c r="G70" s="50">
        <f t="shared" si="12"/>
        <v>21.825094662746878</v>
      </c>
      <c r="H70" s="50"/>
      <c r="I70" s="78"/>
      <c r="J70" s="79">
        <f t="shared" si="8"/>
        <v>2686.0925033258268</v>
      </c>
    </row>
    <row r="71" spans="1:17" x14ac:dyDescent="0.2">
      <c r="A71" s="473" t="s">
        <v>40</v>
      </c>
      <c r="B71" s="444">
        <f t="shared" si="11"/>
        <v>40179</v>
      </c>
      <c r="C71" s="444">
        <v>40268</v>
      </c>
      <c r="D71" s="456">
        <f t="shared" si="9"/>
        <v>90</v>
      </c>
      <c r="E71" s="438">
        <v>3.25</v>
      </c>
      <c r="F71" s="439">
        <f t="shared" si="10"/>
        <v>2686.0925033258268</v>
      </c>
      <c r="G71" s="439">
        <f t="shared" si="12"/>
        <v>21.525535814323405</v>
      </c>
      <c r="H71" s="439"/>
      <c r="I71" s="474"/>
      <c r="J71" s="475">
        <f t="shared" si="8"/>
        <v>2707.6180391401504</v>
      </c>
    </row>
    <row r="72" spans="1:17" x14ac:dyDescent="0.2">
      <c r="A72" s="473" t="s">
        <v>41</v>
      </c>
      <c r="B72" s="444">
        <f t="shared" si="11"/>
        <v>40269</v>
      </c>
      <c r="C72" s="444">
        <v>40359</v>
      </c>
      <c r="D72" s="456">
        <f t="shared" si="9"/>
        <v>91</v>
      </c>
      <c r="E72" s="438">
        <v>3.25</v>
      </c>
      <c r="F72" s="439">
        <f>+J71</f>
        <v>2707.6180391401504</v>
      </c>
      <c r="G72" s="439">
        <f t="shared" si="12"/>
        <v>21.9391242486493</v>
      </c>
      <c r="H72" s="439">
        <f>F$64/20</f>
        <v>125</v>
      </c>
      <c r="I72" s="474">
        <f>G$73/20</f>
        <v>11.477858169440006</v>
      </c>
      <c r="J72" s="475">
        <f>+F72+G72-H72-I72</f>
        <v>2593.0793052193599</v>
      </c>
      <c r="K72" s="21" t="s">
        <v>74</v>
      </c>
    </row>
    <row r="73" spans="1:17" x14ac:dyDescent="0.2">
      <c r="A73" s="45"/>
      <c r="B73" s="46"/>
      <c r="C73" s="46"/>
      <c r="D73" s="46"/>
      <c r="E73" s="516" t="s">
        <v>51</v>
      </c>
      <c r="F73" s="516"/>
      <c r="G73" s="35">
        <f>SUM(G64:G72)</f>
        <v>229.55716338880012</v>
      </c>
      <c r="H73" s="46"/>
      <c r="I73" s="46"/>
      <c r="J73" s="79"/>
    </row>
    <row r="74" spans="1:17" x14ac:dyDescent="0.2">
      <c r="A74" s="473" t="s">
        <v>42</v>
      </c>
      <c r="B74" s="444">
        <f>C72+1</f>
        <v>40360</v>
      </c>
      <c r="C74" s="444">
        <v>40451</v>
      </c>
      <c r="D74" s="456">
        <f>+C74-B74+1</f>
        <v>92</v>
      </c>
      <c r="E74" s="438">
        <v>3.25</v>
      </c>
      <c r="F74" s="439">
        <f>+J72</f>
        <v>2593.0793052193599</v>
      </c>
      <c r="G74" s="439">
        <f t="shared" ref="G74:G79" si="13">+D74/365*E74/100*F74</f>
        <v>21.24193732220791</v>
      </c>
      <c r="H74" s="439">
        <f>F$64/20</f>
        <v>125</v>
      </c>
      <c r="I74" s="474">
        <f t="shared" ref="I74:I92" si="14">G$73/20</f>
        <v>11.477858169440006</v>
      </c>
      <c r="J74" s="475">
        <f>+F74-H74-I74</f>
        <v>2456.6014470499199</v>
      </c>
    </row>
    <row r="75" spans="1:17" x14ac:dyDescent="0.2">
      <c r="A75" s="473" t="s">
        <v>31</v>
      </c>
      <c r="B75" s="444">
        <f>C74+1</f>
        <v>40452</v>
      </c>
      <c r="C75" s="444">
        <v>40543</v>
      </c>
      <c r="D75" s="456">
        <f t="shared" ref="D75:D84" si="15">+C75-B75+1</f>
        <v>92</v>
      </c>
      <c r="E75" s="438">
        <v>3.25</v>
      </c>
      <c r="F75" s="439">
        <f>J74</f>
        <v>2456.6014470499199</v>
      </c>
      <c r="G75" s="439">
        <f t="shared" si="13"/>
        <v>20.123940621039072</v>
      </c>
      <c r="H75" s="439">
        <f t="shared" ref="H75:H89" si="16">F$64/20</f>
        <v>125</v>
      </c>
      <c r="I75" s="474">
        <f t="shared" si="14"/>
        <v>11.477858169440006</v>
      </c>
      <c r="J75" s="475">
        <f t="shared" ref="J75:J91" si="17">+F75-H75-I75</f>
        <v>2320.1235888804799</v>
      </c>
    </row>
    <row r="76" spans="1:17" x14ac:dyDescent="0.2">
      <c r="A76" s="31" t="s">
        <v>43</v>
      </c>
      <c r="B76" s="27">
        <f t="shared" ref="B76:B84" si="18">C75+1</f>
        <v>40544</v>
      </c>
      <c r="C76" s="27">
        <v>40633</v>
      </c>
      <c r="D76" s="48">
        <f t="shared" si="15"/>
        <v>90</v>
      </c>
      <c r="E76" s="49">
        <v>3.25</v>
      </c>
      <c r="F76" s="60">
        <f t="shared" ref="F76:F92" si="19">J75</f>
        <v>2320.1235888804799</v>
      </c>
      <c r="G76" s="50">
        <f t="shared" si="13"/>
        <v>18.592771225960011</v>
      </c>
      <c r="H76" s="50">
        <f t="shared" si="16"/>
        <v>125</v>
      </c>
      <c r="I76" s="78">
        <f t="shared" si="14"/>
        <v>11.477858169440006</v>
      </c>
      <c r="J76" s="81">
        <f t="shared" si="17"/>
        <v>2183.64573071104</v>
      </c>
    </row>
    <row r="77" spans="1:17" x14ac:dyDescent="0.2">
      <c r="A77" s="31" t="s">
        <v>44</v>
      </c>
      <c r="B77" s="27">
        <f t="shared" si="18"/>
        <v>40634</v>
      </c>
      <c r="C77" s="27">
        <v>40724</v>
      </c>
      <c r="D77" s="48">
        <f t="shared" si="15"/>
        <v>91</v>
      </c>
      <c r="E77" s="49">
        <v>3.25</v>
      </c>
      <c r="F77" s="60">
        <f t="shared" si="19"/>
        <v>2183.64573071104</v>
      </c>
      <c r="G77" s="50">
        <f t="shared" si="13"/>
        <v>17.693513009802469</v>
      </c>
      <c r="H77" s="50">
        <f t="shared" si="16"/>
        <v>125</v>
      </c>
      <c r="I77" s="78">
        <f t="shared" si="14"/>
        <v>11.477858169440006</v>
      </c>
      <c r="J77" s="81">
        <f t="shared" si="17"/>
        <v>2047.1678725416</v>
      </c>
      <c r="Q77" s="232"/>
    </row>
    <row r="78" spans="1:17" x14ac:dyDescent="0.2">
      <c r="A78" s="31" t="s">
        <v>45</v>
      </c>
      <c r="B78" s="27">
        <f t="shared" si="18"/>
        <v>40725</v>
      </c>
      <c r="C78" s="27">
        <v>40816</v>
      </c>
      <c r="D78" s="48">
        <f t="shared" si="15"/>
        <v>92</v>
      </c>
      <c r="E78" s="49">
        <v>3.25</v>
      </c>
      <c r="F78" s="60">
        <f t="shared" si="19"/>
        <v>2047.1678725416</v>
      </c>
      <c r="G78" s="50">
        <f t="shared" si="13"/>
        <v>16.76995051753256</v>
      </c>
      <c r="H78" s="50">
        <f t="shared" si="16"/>
        <v>125</v>
      </c>
      <c r="I78" s="78">
        <f t="shared" si="14"/>
        <v>11.477858169440006</v>
      </c>
      <c r="J78" s="81">
        <f t="shared" si="17"/>
        <v>1910.69001437216</v>
      </c>
      <c r="Q78" s="232"/>
    </row>
    <row r="79" spans="1:17" x14ac:dyDescent="0.2">
      <c r="A79" s="31" t="s">
        <v>32</v>
      </c>
      <c r="B79" s="27">
        <f t="shared" si="18"/>
        <v>40817</v>
      </c>
      <c r="C79" s="27">
        <v>40908</v>
      </c>
      <c r="D79" s="48">
        <f t="shared" si="15"/>
        <v>92</v>
      </c>
      <c r="E79" s="49">
        <v>3.25</v>
      </c>
      <c r="F79" s="60">
        <f t="shared" si="19"/>
        <v>1910.69001437216</v>
      </c>
      <c r="G79" s="50">
        <f t="shared" si="13"/>
        <v>15.651953816363724</v>
      </c>
      <c r="H79" s="50">
        <f t="shared" si="16"/>
        <v>125</v>
      </c>
      <c r="I79" s="78">
        <f t="shared" si="14"/>
        <v>11.477858169440006</v>
      </c>
      <c r="J79" s="81">
        <f t="shared" si="17"/>
        <v>1774.2121562027201</v>
      </c>
    </row>
    <row r="80" spans="1:17" x14ac:dyDescent="0.2">
      <c r="A80" s="56" t="s">
        <v>38</v>
      </c>
      <c r="B80" s="57">
        <f t="shared" si="18"/>
        <v>40909</v>
      </c>
      <c r="C80" s="57">
        <v>40999</v>
      </c>
      <c r="D80" s="58">
        <f t="shared" si="15"/>
        <v>91</v>
      </c>
      <c r="E80" s="59">
        <v>3.25</v>
      </c>
      <c r="F80" s="60">
        <f t="shared" si="19"/>
        <v>1774.2121562027201</v>
      </c>
      <c r="G80" s="60">
        <f>+D80/366*E80/100*F80</f>
        <v>14.336700688441379</v>
      </c>
      <c r="H80" s="60">
        <f t="shared" si="16"/>
        <v>125</v>
      </c>
      <c r="I80" s="80">
        <f t="shared" si="14"/>
        <v>11.477858169440006</v>
      </c>
      <c r="J80" s="81">
        <f t="shared" si="17"/>
        <v>1637.7342980332801</v>
      </c>
    </row>
    <row r="81" spans="1:10" x14ac:dyDescent="0.2">
      <c r="A81" s="89" t="s">
        <v>46</v>
      </c>
      <c r="B81" s="57">
        <f t="shared" si="18"/>
        <v>41000</v>
      </c>
      <c r="C81" s="57">
        <v>41090</v>
      </c>
      <c r="D81" s="58">
        <f t="shared" si="15"/>
        <v>91</v>
      </c>
      <c r="E81" s="59">
        <v>3.25</v>
      </c>
      <c r="F81" s="60">
        <f t="shared" si="19"/>
        <v>1637.7342980332801</v>
      </c>
      <c r="G81" s="60">
        <f>+D81/366*E81/100*F81</f>
        <v>13.233877558561273</v>
      </c>
      <c r="H81" s="60">
        <f t="shared" si="16"/>
        <v>125</v>
      </c>
      <c r="I81" s="80">
        <f t="shared" si="14"/>
        <v>11.477858169440006</v>
      </c>
      <c r="J81" s="81">
        <f t="shared" si="17"/>
        <v>1501.2564398638401</v>
      </c>
    </row>
    <row r="82" spans="1:10" x14ac:dyDescent="0.2">
      <c r="A82" s="66" t="s">
        <v>47</v>
      </c>
      <c r="B82" s="90">
        <f t="shared" si="18"/>
        <v>41091</v>
      </c>
      <c r="C82" s="57">
        <v>41182</v>
      </c>
      <c r="D82" s="58">
        <f t="shared" si="15"/>
        <v>92</v>
      </c>
      <c r="E82" s="59">
        <v>3.25</v>
      </c>
      <c r="F82" s="60">
        <f t="shared" si="19"/>
        <v>1501.2564398638401</v>
      </c>
      <c r="G82" s="60">
        <f>+D82/366*E82/100*F82</f>
        <v>12.264362719106236</v>
      </c>
      <c r="H82" s="60">
        <f t="shared" si="16"/>
        <v>125</v>
      </c>
      <c r="I82" s="80">
        <f t="shared" si="14"/>
        <v>11.477858169440006</v>
      </c>
      <c r="J82" s="81">
        <f t="shared" si="17"/>
        <v>1364.7785816944001</v>
      </c>
    </row>
    <row r="83" spans="1:10" x14ac:dyDescent="0.2">
      <c r="A83" s="91" t="s">
        <v>33</v>
      </c>
      <c r="B83" s="57">
        <f t="shared" si="18"/>
        <v>41183</v>
      </c>
      <c r="C83" s="57">
        <v>41274</v>
      </c>
      <c r="D83" s="58">
        <f t="shared" si="15"/>
        <v>92</v>
      </c>
      <c r="E83" s="59">
        <v>3.25</v>
      </c>
      <c r="F83" s="60">
        <f t="shared" si="19"/>
        <v>1364.7785816944001</v>
      </c>
      <c r="G83" s="60">
        <f>+D83/366*E83/100*F83</f>
        <v>11.149420653732943</v>
      </c>
      <c r="H83" s="60">
        <f t="shared" si="16"/>
        <v>125</v>
      </c>
      <c r="I83" s="80">
        <f t="shared" si="14"/>
        <v>11.477858169440006</v>
      </c>
      <c r="J83" s="81">
        <f t="shared" si="17"/>
        <v>1228.3007235249602</v>
      </c>
    </row>
    <row r="84" spans="1:10" x14ac:dyDescent="0.2">
      <c r="A84" s="31" t="s">
        <v>60</v>
      </c>
      <c r="B84" s="27">
        <f t="shared" si="18"/>
        <v>41275</v>
      </c>
      <c r="C84" s="27">
        <v>41364</v>
      </c>
      <c r="D84" s="48">
        <f t="shared" si="15"/>
        <v>90</v>
      </c>
      <c r="E84" s="49">
        <v>3.25</v>
      </c>
      <c r="F84" s="60">
        <f t="shared" si="19"/>
        <v>1228.3007235249602</v>
      </c>
      <c r="G84" s="50">
        <f t="shared" ref="G84:G92" si="20">+D84/365*E84/100*F84</f>
        <v>9.8432318255082425</v>
      </c>
      <c r="H84" s="50">
        <f t="shared" si="16"/>
        <v>125</v>
      </c>
      <c r="I84" s="78">
        <f t="shared" si="14"/>
        <v>11.477858169440006</v>
      </c>
      <c r="J84" s="81">
        <f t="shared" si="17"/>
        <v>1091.8228653555202</v>
      </c>
    </row>
    <row r="85" spans="1:10" x14ac:dyDescent="0.2">
      <c r="A85" s="31" t="s">
        <v>61</v>
      </c>
      <c r="B85" s="27">
        <f>C84+1</f>
        <v>41365</v>
      </c>
      <c r="C85" s="27">
        <v>41455</v>
      </c>
      <c r="D85" s="48">
        <f>+C85-B85+1</f>
        <v>91</v>
      </c>
      <c r="E85" s="49">
        <v>3.25</v>
      </c>
      <c r="F85" s="60">
        <f t="shared" si="19"/>
        <v>1091.8228653555202</v>
      </c>
      <c r="G85" s="50">
        <f t="shared" si="20"/>
        <v>8.8467565049012364</v>
      </c>
      <c r="H85" s="50">
        <f t="shared" si="16"/>
        <v>125</v>
      </c>
      <c r="I85" s="78">
        <f t="shared" si="14"/>
        <v>11.477858169440006</v>
      </c>
      <c r="J85" s="81">
        <f t="shared" si="17"/>
        <v>955.34500718608024</v>
      </c>
    </row>
    <row r="86" spans="1:10" x14ac:dyDescent="0.2">
      <c r="A86" s="31" t="s">
        <v>62</v>
      </c>
      <c r="B86" s="27">
        <f t="shared" ref="B86:B92" si="21">C85+1</f>
        <v>41456</v>
      </c>
      <c r="C86" s="27">
        <v>41547</v>
      </c>
      <c r="D86" s="48">
        <f t="shared" ref="D86:D92" si="22">+C86-B86+1</f>
        <v>92</v>
      </c>
      <c r="E86" s="49">
        <v>3.25</v>
      </c>
      <c r="F86" s="60">
        <f t="shared" si="19"/>
        <v>955.34500718608024</v>
      </c>
      <c r="G86" s="50">
        <f t="shared" si="20"/>
        <v>7.8259769081818638</v>
      </c>
      <c r="H86" s="50">
        <f t="shared" si="16"/>
        <v>125</v>
      </c>
      <c r="I86" s="78">
        <f t="shared" si="14"/>
        <v>11.477858169440006</v>
      </c>
      <c r="J86" s="81">
        <f t="shared" si="17"/>
        <v>818.86714901664027</v>
      </c>
    </row>
    <row r="87" spans="1:10" x14ac:dyDescent="0.2">
      <c r="A87" s="31" t="s">
        <v>63</v>
      </c>
      <c r="B87" s="27">
        <f t="shared" si="21"/>
        <v>41548</v>
      </c>
      <c r="C87" s="27">
        <v>41639</v>
      </c>
      <c r="D87" s="48">
        <f t="shared" si="22"/>
        <v>92</v>
      </c>
      <c r="E87" s="49">
        <v>3.25</v>
      </c>
      <c r="F87" s="60">
        <f t="shared" si="19"/>
        <v>818.86714901664027</v>
      </c>
      <c r="G87" s="50">
        <f t="shared" si="20"/>
        <v>6.7079802070130263</v>
      </c>
      <c r="H87" s="50">
        <f t="shared" si="16"/>
        <v>125</v>
      </c>
      <c r="I87" s="78">
        <f t="shared" si="14"/>
        <v>11.477858169440006</v>
      </c>
      <c r="J87" s="81">
        <f t="shared" si="17"/>
        <v>682.3892908472003</v>
      </c>
    </row>
    <row r="88" spans="1:10" x14ac:dyDescent="0.2">
      <c r="A88" s="56" t="s">
        <v>65</v>
      </c>
      <c r="B88" s="57">
        <f t="shared" si="21"/>
        <v>41640</v>
      </c>
      <c r="C88" s="57">
        <v>41729</v>
      </c>
      <c r="D88" s="58">
        <f t="shared" si="22"/>
        <v>90</v>
      </c>
      <c r="E88" s="59">
        <v>3.25</v>
      </c>
      <c r="F88" s="60">
        <f t="shared" si="19"/>
        <v>682.3892908472003</v>
      </c>
      <c r="G88" s="60">
        <f t="shared" si="20"/>
        <v>5.4684621252823584</v>
      </c>
      <c r="H88" s="60">
        <f t="shared" si="16"/>
        <v>125</v>
      </c>
      <c r="I88" s="80">
        <f t="shared" si="14"/>
        <v>11.477858169440006</v>
      </c>
      <c r="J88" s="81">
        <f t="shared" si="17"/>
        <v>545.91143267776033</v>
      </c>
    </row>
    <row r="89" spans="1:10" x14ac:dyDescent="0.2">
      <c r="A89" s="56" t="s">
        <v>66</v>
      </c>
      <c r="B89" s="57">
        <f t="shared" si="21"/>
        <v>41730</v>
      </c>
      <c r="C89" s="57">
        <v>41820</v>
      </c>
      <c r="D89" s="58">
        <f t="shared" si="22"/>
        <v>91</v>
      </c>
      <c r="E89" s="59">
        <v>3.25</v>
      </c>
      <c r="F89" s="60">
        <f t="shared" si="19"/>
        <v>545.91143267776033</v>
      </c>
      <c r="G89" s="60">
        <f t="shared" si="20"/>
        <v>4.42337825245062</v>
      </c>
      <c r="H89" s="60">
        <f t="shared" si="16"/>
        <v>125</v>
      </c>
      <c r="I89" s="80">
        <f t="shared" si="14"/>
        <v>11.477858169440006</v>
      </c>
      <c r="J89" s="81">
        <f t="shared" si="17"/>
        <v>409.43357450832031</v>
      </c>
    </row>
    <row r="90" spans="1:10" x14ac:dyDescent="0.2">
      <c r="A90" s="89" t="s">
        <v>67</v>
      </c>
      <c r="B90" s="57">
        <f t="shared" si="21"/>
        <v>41821</v>
      </c>
      <c r="C90" s="57">
        <v>41912</v>
      </c>
      <c r="D90" s="58">
        <f t="shared" si="22"/>
        <v>92</v>
      </c>
      <c r="E90" s="59">
        <v>3.25</v>
      </c>
      <c r="F90" s="60">
        <f t="shared" si="19"/>
        <v>409.43357450832031</v>
      </c>
      <c r="G90" s="60">
        <f t="shared" si="20"/>
        <v>3.3539901035065145</v>
      </c>
      <c r="H90" s="60">
        <f>F$64/20</f>
        <v>125</v>
      </c>
      <c r="I90" s="80">
        <f t="shared" si="14"/>
        <v>11.477858169440006</v>
      </c>
      <c r="J90" s="81">
        <f t="shared" si="17"/>
        <v>272.95571633888028</v>
      </c>
    </row>
    <row r="91" spans="1:10" x14ac:dyDescent="0.2">
      <c r="A91" s="66" t="s">
        <v>68</v>
      </c>
      <c r="B91" s="90">
        <f t="shared" si="21"/>
        <v>41913</v>
      </c>
      <c r="C91" s="57">
        <v>42004</v>
      </c>
      <c r="D91" s="58">
        <f t="shared" si="22"/>
        <v>92</v>
      </c>
      <c r="E91" s="59">
        <v>3.25</v>
      </c>
      <c r="F91" s="60">
        <f t="shared" si="19"/>
        <v>272.95571633888028</v>
      </c>
      <c r="G91" s="60">
        <f t="shared" si="20"/>
        <v>2.2359934023376771</v>
      </c>
      <c r="H91" s="60">
        <f>F$64/20</f>
        <v>125</v>
      </c>
      <c r="I91" s="80">
        <f t="shared" si="14"/>
        <v>11.477858169440006</v>
      </c>
      <c r="J91" s="81">
        <f t="shared" si="17"/>
        <v>136.47785816944028</v>
      </c>
    </row>
    <row r="92" spans="1:10" x14ac:dyDescent="0.2">
      <c r="A92" s="52" t="s">
        <v>69</v>
      </c>
      <c r="B92" s="27">
        <f t="shared" si="21"/>
        <v>42005</v>
      </c>
      <c r="C92" s="27">
        <v>42094</v>
      </c>
      <c r="D92" s="48">
        <f t="shared" si="22"/>
        <v>90</v>
      </c>
      <c r="E92" s="49">
        <v>3.25</v>
      </c>
      <c r="F92" s="60">
        <f t="shared" si="19"/>
        <v>136.47785816944028</v>
      </c>
      <c r="G92" s="60">
        <f t="shared" si="20"/>
        <v>1.0936924250564735</v>
      </c>
      <c r="H92" s="60">
        <f>F$64/20</f>
        <v>125</v>
      </c>
      <c r="I92" s="80">
        <f t="shared" si="14"/>
        <v>11.477858169440006</v>
      </c>
      <c r="J92" s="81">
        <f>+F92-H92-I92</f>
        <v>2.7533531010703882E-13</v>
      </c>
    </row>
    <row r="93" spans="1:10" x14ac:dyDescent="0.2">
      <c r="A93" s="31"/>
      <c r="B93" s="27"/>
      <c r="C93" s="27"/>
      <c r="D93" s="48"/>
      <c r="E93" s="49"/>
      <c r="F93" s="60"/>
      <c r="G93" s="60"/>
      <c r="H93" s="278">
        <f>SUM(H71:H92)</f>
        <v>2500</v>
      </c>
      <c r="I93" s="80"/>
      <c r="J93" s="81"/>
    </row>
    <row r="94" spans="1:10" x14ac:dyDescent="0.2">
      <c r="A94" s="31"/>
      <c r="B94" s="27"/>
      <c r="C94" s="27"/>
      <c r="D94" s="48"/>
      <c r="E94" s="49"/>
      <c r="F94" s="60"/>
      <c r="G94" s="60"/>
      <c r="H94" s="60"/>
      <c r="I94" s="80"/>
      <c r="J94" s="81"/>
    </row>
    <row r="95" spans="1:10" x14ac:dyDescent="0.2">
      <c r="A95" s="32"/>
      <c r="B95" s="33"/>
      <c r="C95" s="27"/>
      <c r="D95" s="48"/>
      <c r="E95" s="49"/>
      <c r="F95" s="82"/>
      <c r="G95" s="82"/>
      <c r="H95" s="82"/>
      <c r="I95" s="78"/>
      <c r="J95" s="46"/>
    </row>
  </sheetData>
  <mergeCells count="7">
    <mergeCell ref="K1:K3"/>
    <mergeCell ref="E73:F73"/>
    <mergeCell ref="A33:B33"/>
    <mergeCell ref="A35:J35"/>
    <mergeCell ref="A61:J61"/>
    <mergeCell ref="K5:K17"/>
    <mergeCell ref="H29:I29"/>
  </mergeCells>
  <phoneticPr fontId="2" type="noConversion"/>
  <pageMargins left="0.5" right="0.5" top="1" bottom="0.89" header="0.5" footer="0.5"/>
  <pageSetup scale="59" orientation="landscape" r:id="rId1"/>
  <headerFooter alignWithMargins="0">
    <oddHeader>&amp;RTO9 Annual Update
Attachment 4
WP Schedule 22
Page &amp;P of &amp;N</oddHeader>
    <oddFooter>&amp;C&amp;A</oddFooter>
  </headerFooter>
  <rowBreaks count="1" manualBreakCount="1">
    <brk id="58" max="9" man="1"/>
  </rowBreaks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 enableFormatConditionsCalculation="0"/>
  <dimension ref="A1:O55"/>
  <sheetViews>
    <sheetView zoomScale="85" zoomScaleNormal="85" zoomScaleSheetLayoutView="90" workbookViewId="0"/>
  </sheetViews>
  <sheetFormatPr defaultColWidth="9.140625" defaultRowHeight="12.75" x14ac:dyDescent="0.2"/>
  <cols>
    <col min="1" max="1" width="12.28515625" style="21" customWidth="1"/>
    <col min="2" max="2" width="11" style="21" customWidth="1"/>
    <col min="3" max="3" width="12" style="21" customWidth="1"/>
    <col min="4" max="7" width="16.28515625" style="21" customWidth="1"/>
    <col min="8" max="8" width="19.85546875" style="21" bestFit="1" customWidth="1"/>
    <col min="9" max="9" width="11.42578125" style="21" customWidth="1"/>
    <col min="10" max="10" width="19.85546875" style="21" bestFit="1" customWidth="1"/>
    <col min="11" max="16384" width="9.140625" style="21"/>
  </cols>
  <sheetData>
    <row r="1" spans="1:15" ht="51" x14ac:dyDescent="0.2">
      <c r="B1" s="3" t="s">
        <v>23</v>
      </c>
      <c r="C1" s="4" t="s">
        <v>6</v>
      </c>
      <c r="D1" s="3" t="s">
        <v>5</v>
      </c>
      <c r="E1" s="3" t="s">
        <v>1</v>
      </c>
      <c r="F1" s="3" t="s">
        <v>24</v>
      </c>
      <c r="G1" s="4" t="s">
        <v>0</v>
      </c>
    </row>
    <row r="2" spans="1:15" x14ac:dyDescent="0.2">
      <c r="B2" s="7">
        <v>1</v>
      </c>
      <c r="C2" s="12">
        <v>40970</v>
      </c>
      <c r="D2" s="13">
        <v>300000</v>
      </c>
      <c r="E2" s="13">
        <v>0</v>
      </c>
      <c r="F2" s="13">
        <v>7000</v>
      </c>
      <c r="G2" s="39">
        <f>SUM(D2:F2)</f>
        <v>307000</v>
      </c>
    </row>
    <row r="3" spans="1:15" x14ac:dyDescent="0.2">
      <c r="C3" s="5" t="s">
        <v>0</v>
      </c>
      <c r="D3" s="41">
        <f>SUM(D2:D2)</f>
        <v>300000</v>
      </c>
      <c r="E3" s="41">
        <f>SUM(E2:E2)</f>
        <v>0</v>
      </c>
      <c r="F3" s="41">
        <f>SUM(F2:F2)</f>
        <v>7000</v>
      </c>
      <c r="G3" s="41">
        <f>SUM(G2:G2)</f>
        <v>307000</v>
      </c>
    </row>
    <row r="5" spans="1:15" x14ac:dyDescent="0.2">
      <c r="A5" s="508" t="s">
        <v>26</v>
      </c>
      <c r="B5" s="508"/>
      <c r="C5" s="15">
        <v>40962</v>
      </c>
      <c r="D5" s="1" t="s">
        <v>58</v>
      </c>
      <c r="F5" s="274" t="s">
        <v>149</v>
      </c>
      <c r="G5" s="15">
        <v>40949</v>
      </c>
      <c r="H5" s="15"/>
    </row>
    <row r="7" spans="1:15" x14ac:dyDescent="0.2">
      <c r="A7" s="514" t="s">
        <v>25</v>
      </c>
      <c r="B7" s="514"/>
      <c r="C7" s="514"/>
      <c r="D7" s="514"/>
      <c r="E7" s="514"/>
      <c r="F7" s="514"/>
      <c r="G7" s="514"/>
      <c r="H7" s="514"/>
      <c r="I7" s="514"/>
      <c r="J7" s="514"/>
    </row>
    <row r="8" spans="1:15" x14ac:dyDescent="0.2">
      <c r="A8" s="2" t="s">
        <v>7</v>
      </c>
      <c r="B8" s="2" t="s">
        <v>8</v>
      </c>
      <c r="C8" s="2" t="s">
        <v>9</v>
      </c>
      <c r="D8" s="2" t="s">
        <v>10</v>
      </c>
      <c r="E8" s="2" t="s">
        <v>11</v>
      </c>
      <c r="F8" s="2" t="s">
        <v>12</v>
      </c>
      <c r="G8" s="2" t="s">
        <v>13</v>
      </c>
      <c r="H8" s="2"/>
      <c r="I8" s="2"/>
      <c r="J8" s="2" t="s">
        <v>14</v>
      </c>
    </row>
    <row r="9" spans="1:15" ht="51" x14ac:dyDescent="0.2">
      <c r="A9" s="6" t="s">
        <v>15</v>
      </c>
      <c r="B9" s="6" t="s">
        <v>16</v>
      </c>
      <c r="C9" s="6" t="s">
        <v>17</v>
      </c>
      <c r="D9" s="6" t="s">
        <v>18</v>
      </c>
      <c r="E9" s="6" t="s">
        <v>19</v>
      </c>
      <c r="F9" s="6" t="s">
        <v>20</v>
      </c>
      <c r="G9" s="6" t="s">
        <v>49</v>
      </c>
      <c r="H9" s="6" t="s">
        <v>22</v>
      </c>
      <c r="I9" s="6" t="s">
        <v>50</v>
      </c>
      <c r="J9" s="6" t="s">
        <v>21</v>
      </c>
    </row>
    <row r="10" spans="1:15" x14ac:dyDescent="0.2">
      <c r="A10" s="67" t="s">
        <v>38</v>
      </c>
      <c r="B10" s="83">
        <f>C5</f>
        <v>40962</v>
      </c>
      <c r="C10" s="83">
        <v>40999</v>
      </c>
      <c r="D10" s="85">
        <f t="shared" ref="D10:D30" si="0">+C10-B10+1</f>
        <v>38</v>
      </c>
      <c r="E10" s="86">
        <v>3.25</v>
      </c>
      <c r="F10" s="84">
        <f>D3</f>
        <v>300000</v>
      </c>
      <c r="G10" s="84">
        <f t="shared" ref="G10:G24" si="1">D10/365*E10/100*F10</f>
        <v>1015.068493150685</v>
      </c>
      <c r="H10" s="87">
        <f>D3/20</f>
        <v>15000</v>
      </c>
      <c r="I10" s="87"/>
      <c r="J10" s="88"/>
    </row>
    <row r="11" spans="1:15" x14ac:dyDescent="0.2">
      <c r="A11" s="67" t="s">
        <v>46</v>
      </c>
      <c r="B11" s="83">
        <f t="shared" ref="B11:B30" si="2">C10+1</f>
        <v>41000</v>
      </c>
      <c r="C11" s="83">
        <v>41090</v>
      </c>
      <c r="D11" s="85">
        <f t="shared" si="0"/>
        <v>91</v>
      </c>
      <c r="E11" s="86">
        <v>3.25</v>
      </c>
      <c r="F11" s="84">
        <f t="shared" ref="F11:F24" si="3">F10-H10</f>
        <v>285000</v>
      </c>
      <c r="G11" s="84">
        <f t="shared" si="1"/>
        <v>2309.2808219178082</v>
      </c>
      <c r="H11" s="87">
        <f t="shared" ref="H11:H29" si="4">H10</f>
        <v>15000</v>
      </c>
      <c r="I11" s="87"/>
      <c r="J11" s="88"/>
    </row>
    <row r="12" spans="1:15" x14ac:dyDescent="0.2">
      <c r="A12" s="67" t="s">
        <v>47</v>
      </c>
      <c r="B12" s="83">
        <f t="shared" si="2"/>
        <v>41091</v>
      </c>
      <c r="C12" s="83">
        <v>41182</v>
      </c>
      <c r="D12" s="85">
        <f t="shared" si="0"/>
        <v>92</v>
      </c>
      <c r="E12" s="86">
        <v>3.25</v>
      </c>
      <c r="F12" s="84">
        <f t="shared" si="3"/>
        <v>270000</v>
      </c>
      <c r="G12" s="84">
        <f t="shared" si="1"/>
        <v>2211.7808219178082</v>
      </c>
      <c r="H12" s="87">
        <f t="shared" si="4"/>
        <v>15000</v>
      </c>
      <c r="I12" s="87"/>
      <c r="J12" s="88"/>
    </row>
    <row r="13" spans="1:15" x14ac:dyDescent="0.2">
      <c r="A13" s="67" t="s">
        <v>33</v>
      </c>
      <c r="B13" s="83">
        <f t="shared" si="2"/>
        <v>41183</v>
      </c>
      <c r="C13" s="83">
        <v>41274</v>
      </c>
      <c r="D13" s="100">
        <f t="shared" si="0"/>
        <v>92</v>
      </c>
      <c r="E13" s="101">
        <v>3.25</v>
      </c>
      <c r="F13" s="102">
        <f t="shared" si="3"/>
        <v>255000</v>
      </c>
      <c r="G13" s="102">
        <f t="shared" si="1"/>
        <v>2088.9041095890411</v>
      </c>
      <c r="H13" s="103">
        <f t="shared" si="4"/>
        <v>15000</v>
      </c>
      <c r="I13" s="87"/>
      <c r="J13" s="211"/>
    </row>
    <row r="14" spans="1:15" ht="12" customHeight="1" x14ac:dyDescent="0.2">
      <c r="A14" s="98" t="s">
        <v>60</v>
      </c>
      <c r="B14" s="99">
        <f t="shared" si="2"/>
        <v>41275</v>
      </c>
      <c r="C14" s="99">
        <v>41364</v>
      </c>
      <c r="D14" s="100">
        <f t="shared" si="0"/>
        <v>90</v>
      </c>
      <c r="E14" s="101">
        <v>3.25</v>
      </c>
      <c r="F14" s="102">
        <f t="shared" si="3"/>
        <v>240000</v>
      </c>
      <c r="G14" s="102">
        <f t="shared" si="1"/>
        <v>1923.2876712328766</v>
      </c>
      <c r="H14" s="103">
        <f t="shared" si="4"/>
        <v>15000</v>
      </c>
      <c r="I14" s="87"/>
    </row>
    <row r="15" spans="1:15" x14ac:dyDescent="0.2">
      <c r="A15" s="98" t="s">
        <v>61</v>
      </c>
      <c r="B15" s="99">
        <f t="shared" si="2"/>
        <v>41365</v>
      </c>
      <c r="C15" s="99">
        <v>41455</v>
      </c>
      <c r="D15" s="100">
        <f t="shared" si="0"/>
        <v>91</v>
      </c>
      <c r="E15" s="101">
        <v>3.25</v>
      </c>
      <c r="F15" s="102">
        <f t="shared" si="3"/>
        <v>225000</v>
      </c>
      <c r="G15" s="102">
        <f t="shared" si="1"/>
        <v>1823.1164383561645</v>
      </c>
      <c r="H15" s="103">
        <f t="shared" si="4"/>
        <v>15000</v>
      </c>
      <c r="I15" s="87"/>
    </row>
    <row r="16" spans="1:15" ht="12.75" customHeight="1" x14ac:dyDescent="0.2">
      <c r="A16" s="98" t="s">
        <v>62</v>
      </c>
      <c r="B16" s="99">
        <f t="shared" si="2"/>
        <v>41456</v>
      </c>
      <c r="C16" s="99">
        <v>41547</v>
      </c>
      <c r="D16" s="100">
        <f t="shared" si="0"/>
        <v>92</v>
      </c>
      <c r="E16" s="101">
        <v>3.25</v>
      </c>
      <c r="F16" s="102">
        <v>0</v>
      </c>
      <c r="G16" s="102">
        <f t="shared" si="1"/>
        <v>0</v>
      </c>
      <c r="H16" s="103">
        <v>0</v>
      </c>
      <c r="I16" s="87"/>
      <c r="J16" s="524" t="s">
        <v>159</v>
      </c>
      <c r="K16" s="525"/>
      <c r="L16" s="525"/>
      <c r="M16" s="442"/>
      <c r="N16" s="442"/>
      <c r="O16" s="442"/>
    </row>
    <row r="17" spans="1:15" x14ac:dyDescent="0.2">
      <c r="A17" s="98" t="s">
        <v>63</v>
      </c>
      <c r="B17" s="99">
        <f t="shared" si="2"/>
        <v>41548</v>
      </c>
      <c r="C17" s="99">
        <v>41639</v>
      </c>
      <c r="D17" s="85">
        <f t="shared" si="0"/>
        <v>92</v>
      </c>
      <c r="E17" s="86">
        <v>3.25</v>
      </c>
      <c r="F17" s="84">
        <f t="shared" si="3"/>
        <v>0</v>
      </c>
      <c r="G17" s="84">
        <f t="shared" si="1"/>
        <v>0</v>
      </c>
      <c r="H17" s="87">
        <f t="shared" si="4"/>
        <v>0</v>
      </c>
      <c r="I17" s="87"/>
      <c r="J17" s="526"/>
      <c r="K17" s="525"/>
      <c r="L17" s="525"/>
      <c r="M17" s="442"/>
      <c r="N17" s="442"/>
      <c r="O17" s="442"/>
    </row>
    <row r="18" spans="1:15" x14ac:dyDescent="0.2">
      <c r="A18" s="67" t="s">
        <v>65</v>
      </c>
      <c r="B18" s="83">
        <f t="shared" si="2"/>
        <v>41640</v>
      </c>
      <c r="C18" s="83">
        <v>41729</v>
      </c>
      <c r="D18" s="85">
        <f t="shared" si="0"/>
        <v>90</v>
      </c>
      <c r="E18" s="86">
        <v>3.25</v>
      </c>
      <c r="F18" s="84">
        <f t="shared" si="3"/>
        <v>0</v>
      </c>
      <c r="G18" s="84">
        <f t="shared" si="1"/>
        <v>0</v>
      </c>
      <c r="H18" s="87">
        <f t="shared" si="4"/>
        <v>0</v>
      </c>
      <c r="I18" s="87"/>
    </row>
    <row r="19" spans="1:15" x14ac:dyDescent="0.2">
      <c r="A19" s="67" t="s">
        <v>66</v>
      </c>
      <c r="B19" s="83">
        <f t="shared" si="2"/>
        <v>41730</v>
      </c>
      <c r="C19" s="83">
        <v>41820</v>
      </c>
      <c r="D19" s="85">
        <f t="shared" si="0"/>
        <v>91</v>
      </c>
      <c r="E19" s="86">
        <v>3.25</v>
      </c>
      <c r="F19" s="84">
        <f t="shared" si="3"/>
        <v>0</v>
      </c>
      <c r="G19" s="84">
        <f t="shared" si="1"/>
        <v>0</v>
      </c>
      <c r="H19" s="87">
        <f t="shared" si="4"/>
        <v>0</v>
      </c>
      <c r="I19" s="87"/>
    </row>
    <row r="20" spans="1:15" x14ac:dyDescent="0.2">
      <c r="A20" s="67" t="s">
        <v>67</v>
      </c>
      <c r="B20" s="83">
        <f t="shared" si="2"/>
        <v>41821</v>
      </c>
      <c r="C20" s="83">
        <v>41912</v>
      </c>
      <c r="D20" s="85">
        <f t="shared" si="0"/>
        <v>92</v>
      </c>
      <c r="E20" s="86">
        <v>3.25</v>
      </c>
      <c r="F20" s="84">
        <f t="shared" si="3"/>
        <v>0</v>
      </c>
      <c r="G20" s="84">
        <f t="shared" si="1"/>
        <v>0</v>
      </c>
      <c r="H20" s="87">
        <f t="shared" si="4"/>
        <v>0</v>
      </c>
      <c r="I20" s="87"/>
    </row>
    <row r="21" spans="1:15" x14ac:dyDescent="0.2">
      <c r="A21" s="67" t="s">
        <v>68</v>
      </c>
      <c r="B21" s="83">
        <f t="shared" si="2"/>
        <v>41913</v>
      </c>
      <c r="C21" s="83">
        <v>42004</v>
      </c>
      <c r="D21" s="100">
        <f t="shared" si="0"/>
        <v>92</v>
      </c>
      <c r="E21" s="101">
        <v>3.25</v>
      </c>
      <c r="F21" s="102">
        <f t="shared" si="3"/>
        <v>0</v>
      </c>
      <c r="G21" s="102">
        <f t="shared" si="1"/>
        <v>0</v>
      </c>
      <c r="H21" s="103">
        <f t="shared" si="4"/>
        <v>0</v>
      </c>
      <c r="I21" s="87"/>
    </row>
    <row r="22" spans="1:15" x14ac:dyDescent="0.2">
      <c r="A22" s="98" t="s">
        <v>69</v>
      </c>
      <c r="B22" s="99">
        <f t="shared" si="2"/>
        <v>42005</v>
      </c>
      <c r="C22" s="99">
        <v>42094</v>
      </c>
      <c r="D22" s="100">
        <f t="shared" si="0"/>
        <v>90</v>
      </c>
      <c r="E22" s="101">
        <v>3.25</v>
      </c>
      <c r="F22" s="102">
        <f t="shared" si="3"/>
        <v>0</v>
      </c>
      <c r="G22" s="102">
        <f t="shared" si="1"/>
        <v>0</v>
      </c>
      <c r="H22" s="103">
        <f t="shared" si="4"/>
        <v>0</v>
      </c>
      <c r="I22" s="87"/>
    </row>
    <row r="23" spans="1:15" x14ac:dyDescent="0.2">
      <c r="A23" s="98" t="s">
        <v>70</v>
      </c>
      <c r="B23" s="99">
        <f t="shared" si="2"/>
        <v>42095</v>
      </c>
      <c r="C23" s="99">
        <v>42185</v>
      </c>
      <c r="D23" s="100">
        <f t="shared" si="0"/>
        <v>91</v>
      </c>
      <c r="E23" s="101">
        <v>3.25</v>
      </c>
      <c r="F23" s="102">
        <f t="shared" si="3"/>
        <v>0</v>
      </c>
      <c r="G23" s="102">
        <f t="shared" si="1"/>
        <v>0</v>
      </c>
      <c r="H23" s="103">
        <f t="shared" si="4"/>
        <v>0</v>
      </c>
      <c r="I23" s="87"/>
    </row>
    <row r="24" spans="1:15" x14ac:dyDescent="0.2">
      <c r="A24" s="98" t="s">
        <v>71</v>
      </c>
      <c r="B24" s="99">
        <f t="shared" si="2"/>
        <v>42186</v>
      </c>
      <c r="C24" s="99">
        <v>42277</v>
      </c>
      <c r="D24" s="100">
        <f t="shared" si="0"/>
        <v>92</v>
      </c>
      <c r="E24" s="101">
        <v>3.25</v>
      </c>
      <c r="F24" s="102">
        <f t="shared" si="3"/>
        <v>0</v>
      </c>
      <c r="G24" s="102">
        <f t="shared" si="1"/>
        <v>0</v>
      </c>
      <c r="H24" s="103">
        <f t="shared" si="4"/>
        <v>0</v>
      </c>
      <c r="I24" s="87"/>
    </row>
    <row r="25" spans="1:15" x14ac:dyDescent="0.2">
      <c r="A25" s="98" t="s">
        <v>72</v>
      </c>
      <c r="B25" s="99">
        <f t="shared" si="2"/>
        <v>42278</v>
      </c>
      <c r="C25" s="99">
        <v>42369</v>
      </c>
      <c r="D25" s="85">
        <f t="shared" si="0"/>
        <v>92</v>
      </c>
      <c r="E25" s="86">
        <v>3.25</v>
      </c>
      <c r="F25" s="84">
        <f t="shared" ref="F25:F30" si="5">F24-H24</f>
        <v>0</v>
      </c>
      <c r="G25" s="84">
        <f t="shared" ref="G25:G30" si="6">D25/365*E25/100*F25</f>
        <v>0</v>
      </c>
      <c r="H25" s="87">
        <f t="shared" si="4"/>
        <v>0</v>
      </c>
      <c r="I25" s="87"/>
    </row>
    <row r="26" spans="1:15" x14ac:dyDescent="0.2">
      <c r="A26" s="67" t="s">
        <v>77</v>
      </c>
      <c r="B26" s="83">
        <f t="shared" si="2"/>
        <v>42370</v>
      </c>
      <c r="C26" s="83">
        <v>42460</v>
      </c>
      <c r="D26" s="85">
        <f t="shared" si="0"/>
        <v>91</v>
      </c>
      <c r="E26" s="86">
        <v>3.25</v>
      </c>
      <c r="F26" s="84">
        <f t="shared" si="5"/>
        <v>0</v>
      </c>
      <c r="G26" s="84">
        <f t="shared" si="6"/>
        <v>0</v>
      </c>
      <c r="H26" s="87">
        <f t="shared" si="4"/>
        <v>0</v>
      </c>
      <c r="I26" s="87"/>
    </row>
    <row r="27" spans="1:15" x14ac:dyDescent="0.2">
      <c r="A27" s="67" t="s">
        <v>78</v>
      </c>
      <c r="B27" s="83">
        <f t="shared" si="2"/>
        <v>42461</v>
      </c>
      <c r="C27" s="83">
        <v>42551</v>
      </c>
      <c r="D27" s="85">
        <f t="shared" si="0"/>
        <v>91</v>
      </c>
      <c r="E27" s="86">
        <v>3.25</v>
      </c>
      <c r="F27" s="84">
        <f t="shared" si="5"/>
        <v>0</v>
      </c>
      <c r="G27" s="84">
        <f t="shared" si="6"/>
        <v>0</v>
      </c>
      <c r="H27" s="87">
        <f t="shared" si="4"/>
        <v>0</v>
      </c>
      <c r="I27" s="87"/>
    </row>
    <row r="28" spans="1:15" x14ac:dyDescent="0.2">
      <c r="A28" s="67" t="s">
        <v>79</v>
      </c>
      <c r="B28" s="83">
        <f t="shared" si="2"/>
        <v>42552</v>
      </c>
      <c r="C28" s="83">
        <v>42643</v>
      </c>
      <c r="D28" s="85">
        <f t="shared" si="0"/>
        <v>92</v>
      </c>
      <c r="E28" s="86">
        <v>3.25</v>
      </c>
      <c r="F28" s="84">
        <f t="shared" si="5"/>
        <v>0</v>
      </c>
      <c r="G28" s="84">
        <f t="shared" si="6"/>
        <v>0</v>
      </c>
      <c r="H28" s="87">
        <f t="shared" si="4"/>
        <v>0</v>
      </c>
      <c r="I28" s="87"/>
    </row>
    <row r="29" spans="1:15" x14ac:dyDescent="0.2">
      <c r="A29" s="67" t="s">
        <v>80</v>
      </c>
      <c r="B29" s="83">
        <f t="shared" si="2"/>
        <v>42644</v>
      </c>
      <c r="C29" s="83">
        <v>42735</v>
      </c>
      <c r="D29" s="100">
        <f t="shared" si="0"/>
        <v>92</v>
      </c>
      <c r="E29" s="101">
        <v>3.25</v>
      </c>
      <c r="F29" s="102">
        <f t="shared" si="5"/>
        <v>0</v>
      </c>
      <c r="G29" s="102">
        <f t="shared" si="6"/>
        <v>0</v>
      </c>
      <c r="H29" s="103">
        <f t="shared" si="4"/>
        <v>0</v>
      </c>
      <c r="I29" s="87"/>
    </row>
    <row r="30" spans="1:15" x14ac:dyDescent="0.2">
      <c r="A30" s="98" t="s">
        <v>81</v>
      </c>
      <c r="B30" s="99">
        <f t="shared" si="2"/>
        <v>42736</v>
      </c>
      <c r="C30" s="99">
        <v>42825</v>
      </c>
      <c r="D30" s="100">
        <f t="shared" si="0"/>
        <v>90</v>
      </c>
      <c r="E30" s="101">
        <v>3.25</v>
      </c>
      <c r="F30" s="102">
        <f t="shared" si="5"/>
        <v>0</v>
      </c>
      <c r="G30" s="102">
        <f t="shared" si="6"/>
        <v>0</v>
      </c>
      <c r="H30" s="103">
        <v>0</v>
      </c>
      <c r="I30" s="107"/>
    </row>
    <row r="32" spans="1:15" x14ac:dyDescent="0.2">
      <c r="A32" s="523" t="s">
        <v>90</v>
      </c>
      <c r="B32" s="523"/>
      <c r="C32" s="523"/>
      <c r="D32" s="523"/>
      <c r="E32" s="523"/>
      <c r="F32" s="523"/>
      <c r="G32" s="523"/>
      <c r="H32" s="523"/>
      <c r="I32" s="523"/>
      <c r="J32" s="523"/>
    </row>
    <row r="33" spans="1:15" x14ac:dyDescent="0.2">
      <c r="A33" s="2" t="s">
        <v>7</v>
      </c>
      <c r="B33" s="2" t="s">
        <v>8</v>
      </c>
      <c r="C33" s="2" t="s">
        <v>9</v>
      </c>
      <c r="D33" s="2" t="s">
        <v>10</v>
      </c>
      <c r="E33" s="2" t="s">
        <v>11</v>
      </c>
      <c r="F33" s="2" t="s">
        <v>12</v>
      </c>
      <c r="G33" s="2" t="s">
        <v>13</v>
      </c>
      <c r="H33" s="2"/>
      <c r="I33" s="2"/>
      <c r="J33" s="2" t="s">
        <v>14</v>
      </c>
    </row>
    <row r="34" spans="1:15" ht="51" x14ac:dyDescent="0.2">
      <c r="A34" s="6" t="s">
        <v>15</v>
      </c>
      <c r="B34" s="6" t="s">
        <v>16</v>
      </c>
      <c r="C34" s="6" t="s">
        <v>17</v>
      </c>
      <c r="D34" s="6" t="s">
        <v>18</v>
      </c>
      <c r="E34" s="6" t="s">
        <v>19</v>
      </c>
      <c r="F34" s="6" t="s">
        <v>20</v>
      </c>
      <c r="G34" s="6" t="s">
        <v>49</v>
      </c>
      <c r="H34" s="6" t="s">
        <v>22</v>
      </c>
      <c r="I34" s="6" t="s">
        <v>50</v>
      </c>
      <c r="J34" s="6" t="s">
        <v>21</v>
      </c>
    </row>
    <row r="35" spans="1:15" x14ac:dyDescent="0.2">
      <c r="A35" s="67" t="s">
        <v>38</v>
      </c>
      <c r="B35" s="83">
        <f>C5</f>
        <v>40962</v>
      </c>
      <c r="C35" s="83">
        <v>40999</v>
      </c>
      <c r="D35" s="85">
        <f t="shared" ref="D35:D55" si="7">+C35-B35+1</f>
        <v>38</v>
      </c>
      <c r="E35" s="86">
        <v>3.25</v>
      </c>
      <c r="F35" s="84">
        <f>F3</f>
        <v>7000</v>
      </c>
      <c r="G35" s="84">
        <f t="shared" ref="G35:G55" si="8">D35/365*E35/100*F35</f>
        <v>23.684931506849317</v>
      </c>
      <c r="H35" s="87">
        <f>F3/20</f>
        <v>350</v>
      </c>
      <c r="I35" s="87"/>
      <c r="J35" s="88"/>
    </row>
    <row r="36" spans="1:15" x14ac:dyDescent="0.2">
      <c r="A36" s="67" t="s">
        <v>46</v>
      </c>
      <c r="B36" s="83">
        <f t="shared" ref="B36:B55" si="9">C35+1</f>
        <v>41000</v>
      </c>
      <c r="C36" s="83">
        <v>41090</v>
      </c>
      <c r="D36" s="85">
        <f t="shared" si="7"/>
        <v>91</v>
      </c>
      <c r="E36" s="86">
        <v>3.25</v>
      </c>
      <c r="F36" s="84">
        <f t="shared" ref="F36:F55" si="10">F35-H35</f>
        <v>6650</v>
      </c>
      <c r="G36" s="84">
        <f t="shared" si="8"/>
        <v>53.883219178082193</v>
      </c>
      <c r="H36" s="87">
        <f t="shared" ref="H36:H54" si="11">H35</f>
        <v>350</v>
      </c>
      <c r="I36" s="87"/>
      <c r="J36" s="88"/>
    </row>
    <row r="37" spans="1:15" x14ac:dyDescent="0.2">
      <c r="A37" s="67" t="s">
        <v>47</v>
      </c>
      <c r="B37" s="83">
        <f t="shared" si="9"/>
        <v>41091</v>
      </c>
      <c r="C37" s="83">
        <v>41182</v>
      </c>
      <c r="D37" s="85">
        <f t="shared" si="7"/>
        <v>92</v>
      </c>
      <c r="E37" s="86">
        <v>3.25</v>
      </c>
      <c r="F37" s="84">
        <f t="shared" si="10"/>
        <v>6300</v>
      </c>
      <c r="G37" s="84">
        <f t="shared" si="8"/>
        <v>51.608219178082194</v>
      </c>
      <c r="H37" s="87">
        <f t="shared" si="11"/>
        <v>350</v>
      </c>
      <c r="I37" s="87"/>
      <c r="J37" s="88"/>
    </row>
    <row r="38" spans="1:15" x14ac:dyDescent="0.2">
      <c r="A38" s="67" t="s">
        <v>33</v>
      </c>
      <c r="B38" s="83">
        <f t="shared" si="9"/>
        <v>41183</v>
      </c>
      <c r="C38" s="83">
        <v>41274</v>
      </c>
      <c r="D38" s="100">
        <f t="shared" si="7"/>
        <v>92</v>
      </c>
      <c r="E38" s="101">
        <v>3.25</v>
      </c>
      <c r="F38" s="102">
        <f t="shared" si="10"/>
        <v>5950</v>
      </c>
      <c r="G38" s="102">
        <f t="shared" si="8"/>
        <v>48.741095890410961</v>
      </c>
      <c r="H38" s="103">
        <f t="shared" si="11"/>
        <v>350</v>
      </c>
      <c r="I38" s="87"/>
      <c r="J38" s="88"/>
    </row>
    <row r="39" spans="1:15" x14ac:dyDescent="0.2">
      <c r="A39" s="98" t="s">
        <v>60</v>
      </c>
      <c r="B39" s="99">
        <f t="shared" si="9"/>
        <v>41275</v>
      </c>
      <c r="C39" s="99">
        <v>41364</v>
      </c>
      <c r="D39" s="100">
        <f t="shared" si="7"/>
        <v>90</v>
      </c>
      <c r="E39" s="101">
        <v>3.25</v>
      </c>
      <c r="F39" s="102">
        <f t="shared" si="10"/>
        <v>5600</v>
      </c>
      <c r="G39" s="102">
        <f t="shared" si="8"/>
        <v>44.87671232876712</v>
      </c>
      <c r="H39" s="103">
        <f t="shared" si="11"/>
        <v>350</v>
      </c>
      <c r="I39" s="87"/>
    </row>
    <row r="40" spans="1:15" x14ac:dyDescent="0.2">
      <c r="A40" s="98" t="s">
        <v>61</v>
      </c>
      <c r="B40" s="99">
        <f t="shared" si="9"/>
        <v>41365</v>
      </c>
      <c r="C40" s="99">
        <v>41455</v>
      </c>
      <c r="D40" s="100">
        <f t="shared" si="7"/>
        <v>91</v>
      </c>
      <c r="E40" s="101">
        <v>3.25</v>
      </c>
      <c r="F40" s="102">
        <f t="shared" si="10"/>
        <v>5250</v>
      </c>
      <c r="G40" s="102">
        <f t="shared" si="8"/>
        <v>42.539383561643838</v>
      </c>
      <c r="H40" s="103">
        <f t="shared" si="11"/>
        <v>350</v>
      </c>
      <c r="I40" s="87"/>
    </row>
    <row r="41" spans="1:15" x14ac:dyDescent="0.2">
      <c r="A41" s="98" t="s">
        <v>62</v>
      </c>
      <c r="B41" s="99">
        <f>SUM(B6+B11+B16+B21+B26+B31+B36)</f>
        <v>207739</v>
      </c>
      <c r="C41" s="99">
        <v>41547</v>
      </c>
      <c r="D41" s="100">
        <f t="shared" si="7"/>
        <v>-166191</v>
      </c>
      <c r="E41" s="101">
        <v>3.25</v>
      </c>
      <c r="F41" s="102">
        <v>0</v>
      </c>
      <c r="G41" s="102">
        <f t="shared" si="8"/>
        <v>0</v>
      </c>
      <c r="H41" s="103">
        <v>0</v>
      </c>
      <c r="I41" s="87"/>
      <c r="J41" s="498" t="s">
        <v>159</v>
      </c>
      <c r="K41" s="527"/>
      <c r="L41" s="527"/>
      <c r="M41" s="443"/>
      <c r="N41" s="443"/>
      <c r="O41" s="443"/>
    </row>
    <row r="42" spans="1:15" x14ac:dyDescent="0.2">
      <c r="A42" s="98" t="s">
        <v>63</v>
      </c>
      <c r="B42" s="99">
        <f t="shared" si="9"/>
        <v>41548</v>
      </c>
      <c r="C42" s="99">
        <v>41639</v>
      </c>
      <c r="D42" s="85">
        <f t="shared" si="7"/>
        <v>92</v>
      </c>
      <c r="E42" s="86">
        <v>3.25</v>
      </c>
      <c r="F42" s="84">
        <f t="shared" si="10"/>
        <v>0</v>
      </c>
      <c r="G42" s="84">
        <f t="shared" si="8"/>
        <v>0</v>
      </c>
      <c r="H42" s="87">
        <f t="shared" si="11"/>
        <v>0</v>
      </c>
      <c r="I42" s="171"/>
      <c r="J42" s="528"/>
      <c r="K42" s="527"/>
      <c r="L42" s="527"/>
      <c r="M42" s="443"/>
      <c r="N42" s="443"/>
      <c r="O42" s="443"/>
    </row>
    <row r="43" spans="1:15" x14ac:dyDescent="0.2">
      <c r="A43" s="67" t="s">
        <v>65</v>
      </c>
      <c r="B43" s="83">
        <f t="shared" si="9"/>
        <v>41640</v>
      </c>
      <c r="C43" s="83">
        <v>41729</v>
      </c>
      <c r="D43" s="85">
        <f t="shared" si="7"/>
        <v>90</v>
      </c>
      <c r="E43" s="86">
        <v>3.25</v>
      </c>
      <c r="F43" s="84">
        <f t="shared" si="10"/>
        <v>0</v>
      </c>
      <c r="G43" s="84">
        <f t="shared" si="8"/>
        <v>0</v>
      </c>
      <c r="H43" s="87">
        <f t="shared" si="11"/>
        <v>0</v>
      </c>
      <c r="I43" s="171"/>
    </row>
    <row r="44" spans="1:15" x14ac:dyDescent="0.2">
      <c r="A44" s="67" t="s">
        <v>66</v>
      </c>
      <c r="B44" s="83">
        <f t="shared" si="9"/>
        <v>41730</v>
      </c>
      <c r="C44" s="83">
        <v>41820</v>
      </c>
      <c r="D44" s="85">
        <f t="shared" si="7"/>
        <v>91</v>
      </c>
      <c r="E44" s="86">
        <v>3.25</v>
      </c>
      <c r="F44" s="84">
        <f t="shared" si="10"/>
        <v>0</v>
      </c>
      <c r="G44" s="84">
        <f t="shared" si="8"/>
        <v>0</v>
      </c>
      <c r="H44" s="87">
        <f t="shared" si="11"/>
        <v>0</v>
      </c>
      <c r="I44" s="171"/>
    </row>
    <row r="45" spans="1:15" x14ac:dyDescent="0.2">
      <c r="A45" s="67" t="s">
        <v>67</v>
      </c>
      <c r="B45" s="83">
        <f t="shared" si="9"/>
        <v>41821</v>
      </c>
      <c r="C45" s="83">
        <v>41912</v>
      </c>
      <c r="D45" s="85">
        <f t="shared" si="7"/>
        <v>92</v>
      </c>
      <c r="E45" s="86">
        <v>3.25</v>
      </c>
      <c r="F45" s="84">
        <f t="shared" si="10"/>
        <v>0</v>
      </c>
      <c r="G45" s="84">
        <f t="shared" si="8"/>
        <v>0</v>
      </c>
      <c r="H45" s="87">
        <f t="shared" si="11"/>
        <v>0</v>
      </c>
      <c r="I45" s="171"/>
    </row>
    <row r="46" spans="1:15" x14ac:dyDescent="0.2">
      <c r="A46" s="67" t="s">
        <v>68</v>
      </c>
      <c r="B46" s="83">
        <f t="shared" si="9"/>
        <v>41913</v>
      </c>
      <c r="C46" s="83">
        <v>42004</v>
      </c>
      <c r="D46" s="100">
        <f t="shared" si="7"/>
        <v>92</v>
      </c>
      <c r="E46" s="101">
        <v>3.25</v>
      </c>
      <c r="F46" s="102">
        <f t="shared" si="10"/>
        <v>0</v>
      </c>
      <c r="G46" s="102">
        <f t="shared" si="8"/>
        <v>0</v>
      </c>
      <c r="H46" s="103">
        <f t="shared" si="11"/>
        <v>0</v>
      </c>
      <c r="I46" s="171"/>
    </row>
    <row r="47" spans="1:15" x14ac:dyDescent="0.2">
      <c r="A47" s="98" t="s">
        <v>69</v>
      </c>
      <c r="B47" s="99">
        <f t="shared" si="9"/>
        <v>42005</v>
      </c>
      <c r="C47" s="99">
        <v>42094</v>
      </c>
      <c r="D47" s="100">
        <f t="shared" si="7"/>
        <v>90</v>
      </c>
      <c r="E47" s="101">
        <v>3.25</v>
      </c>
      <c r="F47" s="102">
        <f t="shared" si="10"/>
        <v>0</v>
      </c>
      <c r="G47" s="102">
        <f t="shared" si="8"/>
        <v>0</v>
      </c>
      <c r="H47" s="103">
        <f t="shared" si="11"/>
        <v>0</v>
      </c>
      <c r="I47" s="107"/>
    </row>
    <row r="48" spans="1:15" x14ac:dyDescent="0.2">
      <c r="A48" s="98" t="s">
        <v>70</v>
      </c>
      <c r="B48" s="99">
        <f t="shared" si="9"/>
        <v>42095</v>
      </c>
      <c r="C48" s="99">
        <v>42185</v>
      </c>
      <c r="D48" s="100">
        <f t="shared" si="7"/>
        <v>91</v>
      </c>
      <c r="E48" s="101">
        <v>3.25</v>
      </c>
      <c r="F48" s="102">
        <f t="shared" si="10"/>
        <v>0</v>
      </c>
      <c r="G48" s="102">
        <f t="shared" si="8"/>
        <v>0</v>
      </c>
      <c r="H48" s="103">
        <f t="shared" si="11"/>
        <v>0</v>
      </c>
      <c r="I48" s="171"/>
    </row>
    <row r="49" spans="1:9" x14ac:dyDescent="0.2">
      <c r="A49" s="98" t="s">
        <v>71</v>
      </c>
      <c r="B49" s="99">
        <f t="shared" si="9"/>
        <v>42186</v>
      </c>
      <c r="C49" s="99">
        <v>42277</v>
      </c>
      <c r="D49" s="100">
        <f t="shared" si="7"/>
        <v>92</v>
      </c>
      <c r="E49" s="101">
        <v>3.25</v>
      </c>
      <c r="F49" s="102">
        <f t="shared" si="10"/>
        <v>0</v>
      </c>
      <c r="G49" s="102">
        <f t="shared" si="8"/>
        <v>0</v>
      </c>
      <c r="H49" s="103">
        <f t="shared" si="11"/>
        <v>0</v>
      </c>
      <c r="I49" s="171"/>
    </row>
    <row r="50" spans="1:9" x14ac:dyDescent="0.2">
      <c r="A50" s="98" t="s">
        <v>72</v>
      </c>
      <c r="B50" s="99">
        <f t="shared" si="9"/>
        <v>42278</v>
      </c>
      <c r="C50" s="99">
        <v>42369</v>
      </c>
      <c r="D50" s="85">
        <f t="shared" si="7"/>
        <v>92</v>
      </c>
      <c r="E50" s="86">
        <v>3.25</v>
      </c>
      <c r="F50" s="84">
        <f t="shared" si="10"/>
        <v>0</v>
      </c>
      <c r="G50" s="84">
        <f t="shared" si="8"/>
        <v>0</v>
      </c>
      <c r="H50" s="87">
        <f t="shared" si="11"/>
        <v>0</v>
      </c>
      <c r="I50" s="171"/>
    </row>
    <row r="51" spans="1:9" x14ac:dyDescent="0.2">
      <c r="A51" s="67" t="s">
        <v>77</v>
      </c>
      <c r="B51" s="83">
        <f t="shared" si="9"/>
        <v>42370</v>
      </c>
      <c r="C51" s="83">
        <v>42460</v>
      </c>
      <c r="D51" s="85">
        <f t="shared" si="7"/>
        <v>91</v>
      </c>
      <c r="E51" s="86">
        <v>3.25</v>
      </c>
      <c r="F51" s="84">
        <f t="shared" si="10"/>
        <v>0</v>
      </c>
      <c r="G51" s="84">
        <f t="shared" si="8"/>
        <v>0</v>
      </c>
      <c r="H51" s="87">
        <f t="shared" si="11"/>
        <v>0</v>
      </c>
      <c r="I51" s="107"/>
    </row>
    <row r="52" spans="1:9" x14ac:dyDescent="0.2">
      <c r="A52" s="67" t="s">
        <v>78</v>
      </c>
      <c r="B52" s="83">
        <f t="shared" si="9"/>
        <v>42461</v>
      </c>
      <c r="C52" s="83">
        <v>42551</v>
      </c>
      <c r="D52" s="85">
        <f t="shared" si="7"/>
        <v>91</v>
      </c>
      <c r="E52" s="86">
        <v>3.25</v>
      </c>
      <c r="F52" s="84">
        <f t="shared" si="10"/>
        <v>0</v>
      </c>
      <c r="G52" s="84">
        <f t="shared" si="8"/>
        <v>0</v>
      </c>
      <c r="H52" s="87">
        <f t="shared" si="11"/>
        <v>0</v>
      </c>
      <c r="I52" s="171"/>
    </row>
    <row r="53" spans="1:9" x14ac:dyDescent="0.2">
      <c r="A53" s="67" t="s">
        <v>79</v>
      </c>
      <c r="B53" s="83">
        <f t="shared" si="9"/>
        <v>42552</v>
      </c>
      <c r="C53" s="83">
        <v>42643</v>
      </c>
      <c r="D53" s="85">
        <f t="shared" si="7"/>
        <v>92</v>
      </c>
      <c r="E53" s="86">
        <v>3.25</v>
      </c>
      <c r="F53" s="84">
        <f t="shared" si="10"/>
        <v>0</v>
      </c>
      <c r="G53" s="84">
        <f t="shared" si="8"/>
        <v>0</v>
      </c>
      <c r="H53" s="87">
        <f t="shared" si="11"/>
        <v>0</v>
      </c>
      <c r="I53" s="171"/>
    </row>
    <row r="54" spans="1:9" x14ac:dyDescent="0.2">
      <c r="A54" s="67" t="s">
        <v>80</v>
      </c>
      <c r="B54" s="83">
        <f t="shared" si="9"/>
        <v>42644</v>
      </c>
      <c r="C54" s="83">
        <v>42735</v>
      </c>
      <c r="D54" s="100">
        <f t="shared" si="7"/>
        <v>92</v>
      </c>
      <c r="E54" s="101">
        <v>3.25</v>
      </c>
      <c r="F54" s="102">
        <f t="shared" si="10"/>
        <v>0</v>
      </c>
      <c r="G54" s="102">
        <f t="shared" si="8"/>
        <v>0</v>
      </c>
      <c r="H54" s="103">
        <f t="shared" si="11"/>
        <v>0</v>
      </c>
      <c r="I54" s="171"/>
    </row>
    <row r="55" spans="1:9" x14ac:dyDescent="0.2">
      <c r="A55" s="98" t="s">
        <v>81</v>
      </c>
      <c r="B55" s="99">
        <f t="shared" si="9"/>
        <v>42736</v>
      </c>
      <c r="C55" s="99">
        <v>42825</v>
      </c>
      <c r="D55" s="100">
        <f t="shared" si="7"/>
        <v>90</v>
      </c>
      <c r="E55" s="101">
        <v>3.25</v>
      </c>
      <c r="F55" s="102">
        <f t="shared" si="10"/>
        <v>0</v>
      </c>
      <c r="G55" s="102">
        <f t="shared" si="8"/>
        <v>0</v>
      </c>
      <c r="H55" s="103">
        <v>0</v>
      </c>
      <c r="I55" s="107"/>
    </row>
  </sheetData>
  <mergeCells count="5">
    <mergeCell ref="A5:B5"/>
    <mergeCell ref="A7:J7"/>
    <mergeCell ref="A32:J32"/>
    <mergeCell ref="J16:L17"/>
    <mergeCell ref="J41:L42"/>
  </mergeCells>
  <phoneticPr fontId="2" type="noConversion"/>
  <pageMargins left="0.5" right="0.5" top="1" bottom="0.89" header="0.5" footer="0.5"/>
  <pageSetup scale="58" orientation="landscape" r:id="rId1"/>
  <headerFooter alignWithMargins="0">
    <oddHeader>&amp;RTO9 Annual Update
Attachment 4
WP Schedule 22
Page &amp;P of &amp;N</oddHeader>
    <oddFooter>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11</vt:i4>
      </vt:variant>
    </vt:vector>
  </HeadingPairs>
  <TitlesOfParts>
    <vt:vector size="21" baseType="lpstr">
      <vt:lpstr>2013 Quarterly</vt:lpstr>
      <vt:lpstr>2012 Quarterly</vt:lpstr>
      <vt:lpstr>Alta Vista</vt:lpstr>
      <vt:lpstr>Antelope Power Plant</vt:lpstr>
      <vt:lpstr>NRG El Segundo</vt:lpstr>
      <vt:lpstr>Sentinel</vt:lpstr>
      <vt:lpstr>Inland Empire Energy Center</vt:lpstr>
      <vt:lpstr>Blythe I</vt:lpstr>
      <vt:lpstr>Mountain View IV Project</vt:lpstr>
      <vt:lpstr>Mountainview</vt:lpstr>
      <vt:lpstr>'2012 Quarterly'!Print_Area</vt:lpstr>
      <vt:lpstr>'2013 Quarterly'!Print_Area</vt:lpstr>
      <vt:lpstr>'Alta Vista'!Print_Area</vt:lpstr>
      <vt:lpstr>'Antelope Power Plant'!Print_Area</vt:lpstr>
      <vt:lpstr>'Blythe I'!Print_Area</vt:lpstr>
      <vt:lpstr>'Inland Empire Energy Center'!Print_Area</vt:lpstr>
      <vt:lpstr>'Mountain View IV Project'!Print_Area</vt:lpstr>
      <vt:lpstr>'NRG El Segundo'!Print_Area</vt:lpstr>
      <vt:lpstr>Sentinel!Print_Area</vt:lpstr>
      <vt:lpstr>'2012 Quarterly'!Print_Titles</vt:lpstr>
      <vt:lpstr>'2013 Quarterly'!Print_Titles</vt:lpstr>
    </vt:vector>
  </TitlesOfParts>
  <Company>Edison International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Transmission Credit 2006 Interest Refunds</dc:title>
  <dc:creator>Jo Reichenbach</dc:creator>
  <cp:lastModifiedBy>Kim, Jee Young</cp:lastModifiedBy>
  <cp:lastPrinted>2014-08-04T23:33:34Z</cp:lastPrinted>
  <dcterms:created xsi:type="dcterms:W3CDTF">2006-03-16T23:48:07Z</dcterms:created>
  <dcterms:modified xsi:type="dcterms:W3CDTF">2014-11-21T22:59:47Z</dcterms:modified>
</cp:coreProperties>
</file>