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45" windowWidth="19065" windowHeight="12615"/>
  </bookViews>
  <sheets>
    <sheet name="26-TaxRates" sheetId="5" r:id="rId1"/>
    <sheet name="I - Composite Tax Rate" sheetId="1" r:id="rId2"/>
    <sheet name="Apportionment" sheetId="2" r:id="rId3"/>
    <sheet name="II - IV  Apportionment Detail" sheetId="4" r:id="rId4"/>
  </sheets>
  <externalReferences>
    <externalReference r:id="rId5"/>
  </externalReferences>
  <definedNames>
    <definedName name="_xlnm.Print_Area" localSheetId="0">'26-TaxRates'!$A$1:$F$79</definedName>
    <definedName name="_xlnm.Print_Area" localSheetId="1">'I - Composite Tax Rate'!$A$1:$H$41</definedName>
    <definedName name="_xlnm.Print_Titles" localSheetId="3">'II - IV  Apportionment Detail'!$1:$3</definedName>
  </definedNames>
  <calcPr calcId="145621" calcMode="manual"/>
</workbook>
</file>

<file path=xl/calcChain.xml><?xml version="1.0" encoding="utf-8"?>
<calcChain xmlns="http://schemas.openxmlformats.org/spreadsheetml/2006/main">
  <c r="G120" i="4" l="1"/>
  <c r="F28" i="2" l="1"/>
  <c r="F44" i="2"/>
  <c r="D71" i="5" l="1"/>
  <c r="F55" i="5"/>
  <c r="F57" i="5" s="1"/>
  <c r="F58" i="5" s="1"/>
  <c r="C55" i="5"/>
  <c r="D49" i="5"/>
  <c r="D48" i="5"/>
  <c r="D47" i="5"/>
  <c r="D46" i="5"/>
  <c r="A8" i="5"/>
  <c r="A9" i="5" s="1"/>
  <c r="A10" i="5" s="1"/>
  <c r="A11" i="5" s="1"/>
  <c r="A12" i="5" s="1"/>
  <c r="A13" i="5" s="1"/>
  <c r="A14" i="5" s="1"/>
  <c r="A15" i="5" s="1"/>
  <c r="A16" i="5" s="1"/>
  <c r="A17" i="5" s="1"/>
  <c r="A18" i="5" s="1"/>
  <c r="A19" i="5" s="1"/>
  <c r="A20" i="5" s="1"/>
  <c r="A21" i="5" s="1"/>
  <c r="A22" i="5" s="1"/>
  <c r="D7" i="5"/>
  <c r="D51" i="5" l="1"/>
  <c r="D14" i="5" s="1"/>
  <c r="A23" i="5"/>
  <c r="A24" i="5" l="1"/>
  <c r="A25" i="5" l="1"/>
  <c r="A26" i="5" l="1"/>
  <c r="A27" i="5" s="1"/>
  <c r="A28" i="5" s="1"/>
  <c r="A29" i="5" s="1"/>
  <c r="A30" i="5" l="1"/>
  <c r="A31" i="5" l="1"/>
  <c r="A32" i="5" l="1"/>
  <c r="A33" i="5" l="1"/>
  <c r="A34" i="5" s="1"/>
  <c r="A35" i="5" s="1"/>
  <c r="A36" i="5" s="1"/>
  <c r="A37" i="5" s="1"/>
  <c r="A38" i="5" s="1"/>
  <c r="A39" i="5" s="1"/>
  <c r="A40" i="5" l="1"/>
  <c r="E46" i="5"/>
  <c r="A41" i="5" l="1"/>
  <c r="E47" i="5"/>
  <c r="A42" i="5" l="1"/>
  <c r="E48" i="5"/>
  <c r="A43" i="5" l="1"/>
  <c r="A44" i="5" s="1"/>
  <c r="A45" i="5" s="1"/>
  <c r="A46" i="5" s="1"/>
  <c r="E49" i="5"/>
  <c r="A47" i="5" l="1"/>
  <c r="A48" i="5" s="1"/>
  <c r="A49" i="5" s="1"/>
  <c r="A50" i="5" s="1"/>
  <c r="A51" i="5" s="1"/>
  <c r="A52" i="5" l="1"/>
  <c r="A53" i="5" s="1"/>
  <c r="A54" i="5" s="1"/>
  <c r="A55" i="5" s="1"/>
  <c r="E14" i="5"/>
  <c r="E51" i="5"/>
  <c r="A56" i="5" l="1"/>
  <c r="A57" i="5" s="1"/>
  <c r="A58" i="5" s="1"/>
  <c r="C57" i="5"/>
  <c r="C58" i="5"/>
  <c r="G98" i="4" l="1"/>
  <c r="F17" i="2" l="1"/>
  <c r="F16" i="2"/>
  <c r="G60" i="4" l="1"/>
  <c r="B28" i="2" l="1"/>
  <c r="F57" i="4"/>
  <c r="E57" i="4"/>
  <c r="G57" i="4" s="1"/>
  <c r="B44" i="2" l="1"/>
  <c r="B30" i="1"/>
  <c r="B38" i="1" l="1"/>
  <c r="B34" i="1"/>
  <c r="B26" i="1"/>
  <c r="B27" i="1"/>
  <c r="B39" i="1"/>
  <c r="B35" i="1"/>
  <c r="B31" i="1"/>
  <c r="B47" i="2"/>
  <c r="B31" i="2"/>
  <c r="B30" i="2"/>
  <c r="B29" i="2"/>
  <c r="B15" i="2"/>
  <c r="B13" i="2"/>
  <c r="F15" i="2" l="1"/>
  <c r="E88" i="4"/>
  <c r="B45" i="2" s="1"/>
  <c r="F21" i="4"/>
  <c r="F23" i="4" s="1"/>
  <c r="E21" i="4"/>
  <c r="E23" i="4" s="1"/>
  <c r="E13" i="2"/>
  <c r="F13" i="2" s="1"/>
  <c r="B42" i="2"/>
  <c r="B26" i="2"/>
  <c r="D30" i="1"/>
  <c r="E14" i="1" s="1"/>
  <c r="C46" i="1"/>
  <c r="D46" i="1" s="1"/>
  <c r="E46" i="1" s="1"/>
  <c r="F46" i="1" s="1"/>
  <c r="G46" i="1" s="1"/>
  <c r="D26" i="1"/>
  <c r="E12" i="1" s="1"/>
  <c r="E51" i="2"/>
  <c r="E35" i="2"/>
  <c r="B35" i="2"/>
  <c r="D34" i="1"/>
  <c r="E15" i="1" s="1"/>
  <c r="C33" i="2" l="1"/>
  <c r="C32" i="2"/>
  <c r="C28" i="2"/>
  <c r="C29" i="2"/>
  <c r="C31" i="2"/>
  <c r="C30" i="2"/>
  <c r="B46" i="2"/>
  <c r="G23" i="4"/>
  <c r="D38" i="1"/>
  <c r="E13" i="1" s="1"/>
  <c r="F88" i="4"/>
  <c r="G88" i="4" s="1"/>
  <c r="B51" i="2" l="1"/>
  <c r="E35" i="4"/>
  <c r="B14" i="2"/>
  <c r="G112" i="4"/>
  <c r="G91" i="4"/>
  <c r="G27" i="4"/>
  <c r="G109" i="4"/>
  <c r="E69" i="4"/>
  <c r="C48" i="2" l="1"/>
  <c r="C49" i="2"/>
  <c r="C44" i="2"/>
  <c r="C47" i="2"/>
  <c r="C45" i="2"/>
  <c r="C46" i="2"/>
  <c r="E14" i="2"/>
  <c r="F14" i="2" s="1"/>
  <c r="B12" i="2"/>
  <c r="F32" i="4"/>
  <c r="F35" i="4" s="1"/>
  <c r="G35" i="4" s="1"/>
  <c r="G37" i="4" s="1"/>
  <c r="G40" i="4" s="1"/>
  <c r="G94" i="4"/>
  <c r="G96" i="4" s="1"/>
  <c r="F12" i="2" l="1"/>
  <c r="E19" i="2"/>
  <c r="B19" i="2"/>
  <c r="G116" i="4"/>
  <c r="G118" i="4" s="1"/>
  <c r="C57" i="2" l="1"/>
  <c r="C16" i="2"/>
  <c r="C17" i="2"/>
  <c r="C13" i="2"/>
  <c r="C15" i="2"/>
  <c r="C14" i="2"/>
  <c r="C12" i="2"/>
  <c r="F69" i="4"/>
  <c r="G69" i="4" l="1"/>
  <c r="G73" i="4" s="1"/>
  <c r="G75" i="4" s="1"/>
  <c r="G70" i="4"/>
  <c r="G71" i="4"/>
  <c r="F19" i="2"/>
  <c r="G17" i="2" l="1"/>
  <c r="G16" i="2"/>
  <c r="G15" i="2"/>
  <c r="G13" i="2"/>
  <c r="G12" i="2"/>
  <c r="G14" i="2"/>
  <c r="G19" i="2" l="1"/>
  <c r="C19" i="2"/>
  <c r="C12" i="1"/>
  <c r="F12" i="1" s="1"/>
  <c r="G12" i="1" l="1"/>
  <c r="C51" i="2" l="1"/>
  <c r="F46" i="2"/>
  <c r="F49" i="2"/>
  <c r="F47" i="2"/>
  <c r="F48" i="2"/>
  <c r="F45" i="2"/>
  <c r="F51" i="2" l="1"/>
  <c r="G46" i="2" s="1"/>
  <c r="G49" i="2"/>
  <c r="G47" i="2"/>
  <c r="G45" i="2" l="1"/>
  <c r="G44" i="2"/>
  <c r="G48" i="2"/>
  <c r="G51" i="2"/>
  <c r="F35" i="2"/>
  <c r="G30" i="2" s="1"/>
  <c r="F32" i="2"/>
  <c r="C35" i="2"/>
  <c r="F31" i="2"/>
  <c r="G58" i="2"/>
  <c r="C15" i="1" s="1"/>
  <c r="F15" i="1" s="1"/>
  <c r="G15" i="1" s="1"/>
  <c r="G59" i="2"/>
  <c r="C14" i="1" s="1"/>
  <c r="F14" i="1" s="1"/>
  <c r="G14" i="1" s="1"/>
  <c r="G60" i="2"/>
  <c r="C13" i="1" s="1"/>
  <c r="F13" i="1" s="1"/>
  <c r="F30" i="2"/>
  <c r="F29" i="2"/>
  <c r="F33" i="2"/>
  <c r="G31" i="2" l="1"/>
  <c r="F16" i="1"/>
  <c r="G16" i="1" s="1"/>
  <c r="G18" i="1" s="1"/>
  <c r="G28" i="2"/>
  <c r="G29" i="2"/>
  <c r="G32" i="2"/>
  <c r="G33" i="2"/>
  <c r="G13" i="1"/>
  <c r="G35" i="2" l="1"/>
  <c r="G20" i="1"/>
  <c r="G22" i="1" s="1"/>
</calcChain>
</file>

<file path=xl/sharedStrings.xml><?xml version="1.0" encoding="utf-8"?>
<sst xmlns="http://schemas.openxmlformats.org/spreadsheetml/2006/main" count="385" uniqueCount="237">
  <si>
    <t>Apportionment</t>
  </si>
  <si>
    <t>Gross</t>
  </si>
  <si>
    <t>Gross Receipts</t>
  </si>
  <si>
    <t>Adjusted</t>
  </si>
  <si>
    <t>Receipts</t>
  </si>
  <si>
    <t>Adjustments*</t>
  </si>
  <si>
    <t>Sales</t>
  </si>
  <si>
    <t>Factor</t>
  </si>
  <si>
    <t>California</t>
  </si>
  <si>
    <t>New Mexico</t>
  </si>
  <si>
    <t>Arizona</t>
  </si>
  <si>
    <t>D.C.</t>
  </si>
  <si>
    <t>Nevada</t>
  </si>
  <si>
    <t>Other</t>
  </si>
  <si>
    <t>Everywhere</t>
  </si>
  <si>
    <t>Wages</t>
  </si>
  <si>
    <t>Property</t>
  </si>
  <si>
    <t>Apportionment Factors</t>
  </si>
  <si>
    <t>Southern California Edison</t>
  </si>
  <si>
    <t>Effective State Tax Rates &amp; Composite Tax Rate</t>
  </si>
  <si>
    <t>REGULAR TAX</t>
  </si>
  <si>
    <t>Statutory</t>
  </si>
  <si>
    <t>Ratio of State</t>
  </si>
  <si>
    <t>Effective State</t>
  </si>
  <si>
    <t>Ratemaking</t>
  </si>
  <si>
    <t>State</t>
  </si>
  <si>
    <t>Tax Rate</t>
  </si>
  <si>
    <t>Income to CA</t>
  </si>
  <si>
    <t>Tax Rates</t>
  </si>
  <si>
    <t>Total States</t>
  </si>
  <si>
    <t>Federal Statutory Rate</t>
  </si>
  <si>
    <t>or</t>
  </si>
  <si>
    <t>California net income</t>
  </si>
  <si>
    <t>=</t>
  </si>
  <si>
    <t>Arizona net income</t>
  </si>
  <si>
    <t>New Mexico net income</t>
  </si>
  <si>
    <t>ALTERNATIVE MINIMUM TAX</t>
  </si>
  <si>
    <t>Alternative Minimum Tax Rate</t>
  </si>
  <si>
    <t>DC</t>
  </si>
  <si>
    <t>DC net income</t>
  </si>
  <si>
    <t>1.</t>
  </si>
  <si>
    <t>II.  Calculation of Arizona Apportionment Factor</t>
  </si>
  <si>
    <t>Value of real and tangible personal property (by averaging the value of owned property</t>
  </si>
  <si>
    <t>at the beginning and end of the tax period; rented property at capitalized value)</t>
  </si>
  <si>
    <t>Column A</t>
  </si>
  <si>
    <t>Column B</t>
  </si>
  <si>
    <t>Column C</t>
  </si>
  <si>
    <t>Total Within</t>
  </si>
  <si>
    <t>Total</t>
  </si>
  <si>
    <t>Ratio within</t>
  </si>
  <si>
    <t>A / B</t>
  </si>
  <si>
    <t>a.</t>
  </si>
  <si>
    <t>Inventories</t>
  </si>
  <si>
    <t>Depreciable assets - (do not include Construction in Progress)</t>
  </si>
  <si>
    <t>Land</t>
  </si>
  <si>
    <t>Other Assets - (describe)</t>
  </si>
  <si>
    <t>Less: Nonbusiness property (if included in above totals)</t>
  </si>
  <si>
    <t>Total of section a</t>
  </si>
  <si>
    <t>b.</t>
  </si>
  <si>
    <t>Rented property (capitalize at 8 times net rental paid)</t>
  </si>
  <si>
    <t>Owned property (at original cost):</t>
  </si>
  <si>
    <t>c.</t>
  </si>
  <si>
    <t>Total owned and rented property (section a total plus section b)</t>
  </si>
  <si>
    <t>Property Factor</t>
  </si>
  <si>
    <t>Payroll Factor</t>
  </si>
  <si>
    <t>Total Wages, salaries, commissions and other compensation to employees</t>
  </si>
  <si>
    <t>(per Federal Form 1120 or payroll reports)</t>
  </si>
  <si>
    <t>2.</t>
  </si>
  <si>
    <t>3.</t>
  </si>
  <si>
    <t>Sales Factor</t>
  </si>
  <si>
    <t>Sales delivered or shipped to Arizona purchasers</t>
  </si>
  <si>
    <t>Other gross receipts</t>
  </si>
  <si>
    <t>Total sales and other gross receipts</t>
  </si>
  <si>
    <t>d.</t>
  </si>
  <si>
    <t>e.</t>
  </si>
  <si>
    <t>Sales factor (for Column A - multiply item c by item d; for column B - enter the</t>
  </si>
  <si>
    <t>amount from item c)</t>
  </si>
  <si>
    <t>X 2  OR  X 8</t>
  </si>
  <si>
    <t>4.</t>
  </si>
  <si>
    <t>Total Ratio - add C1(c), C2, and C3(e), in Column C</t>
  </si>
  <si>
    <t>5.</t>
  </si>
  <si>
    <t>result in column C</t>
  </si>
  <si>
    <t>Inventory</t>
  </si>
  <si>
    <t>Buildings</t>
  </si>
  <si>
    <t>Furniture and fixtures</t>
  </si>
  <si>
    <t>Total property</t>
  </si>
  <si>
    <t>Payroll</t>
  </si>
  <si>
    <t>(i)  Shipped from outside California</t>
  </si>
  <si>
    <t>Sales shipped from California to:</t>
  </si>
  <si>
    <t>(i)  The United States Government</t>
  </si>
  <si>
    <t>(ii) Purchasers in a state where the taxpayer is not taxable.</t>
  </si>
  <si>
    <t>Other gross receipts (rents, royalties, interest, etc.)</t>
  </si>
  <si>
    <t>Total Percent. Add the percentages in column (c).</t>
  </si>
  <si>
    <t>II.  Calculation of California Apportionment Factor</t>
  </si>
  <si>
    <t>Average annual value of inventory</t>
  </si>
  <si>
    <t>Average annual value of real property</t>
  </si>
  <si>
    <t>Rented property (Annual rental value times 8)</t>
  </si>
  <si>
    <t>Total compensation of employees</t>
  </si>
  <si>
    <t>Gross receipts</t>
  </si>
  <si>
    <t>TOTAL FACTORS (Add lines 1, 2, and 3)</t>
  </si>
  <si>
    <r>
      <t>AVERAGE FACTOR</t>
    </r>
    <r>
      <rPr>
        <sz val="10"/>
        <rFont val="Arial"/>
        <family val="2"/>
      </rPr>
      <t xml:space="preserve"> (Divide line 4 by the number of factors computed above)</t>
    </r>
  </si>
  <si>
    <t>III.  Calculation of New Mexico Apportionment Factor</t>
  </si>
  <si>
    <t>IV.  Calculation of Washington, D.C. Apportionment Factor</t>
  </si>
  <si>
    <t>Washington, D.C.</t>
  </si>
  <si>
    <t>Average value of real estate and tangible personal property owned or rented to</t>
  </si>
  <si>
    <t>and used by the corporation.</t>
  </si>
  <si>
    <t>Total compensation paid or accrued by the corporation.</t>
  </si>
  <si>
    <t>All gross receipts of the corporation other than gross receipts from non-business</t>
  </si>
  <si>
    <r>
      <t>DC APPORTIONMENT FACTOR</t>
    </r>
    <r>
      <rPr>
        <sz val="10"/>
        <rFont val="Arial"/>
        <family val="2"/>
      </rPr>
      <t xml:space="preserve"> (Divide line 4 by 3)</t>
    </r>
  </si>
  <si>
    <t>SOUTHERN CALIFORNIA EDISON COMPANY</t>
  </si>
  <si>
    <t>A</t>
  </si>
  <si>
    <t>B</t>
  </si>
  <si>
    <t>C</t>
  </si>
  <si>
    <t>D = A x B x C</t>
  </si>
  <si>
    <t>E = D</t>
  </si>
  <si>
    <t>California Form 100W, Line 18 - Net Income</t>
  </si>
  <si>
    <t>New Mexico Form CIT-1, Line 9 - New Mexico Net Taxable Income</t>
  </si>
  <si>
    <t>D.C. Tax Form D-20 SUB Corpration, Line 30 - Net Income</t>
  </si>
  <si>
    <t>Sch 26, Line 16</t>
  </si>
  <si>
    <t>Sch 26, Line 19</t>
  </si>
  <si>
    <t>Sch 26, Line 18</t>
  </si>
  <si>
    <t>Sch 26, Line 17</t>
  </si>
  <si>
    <t>Sch 26, Line 33</t>
  </si>
  <si>
    <t>Sch 26, Line 35</t>
  </si>
  <si>
    <t>Sch 26, Line 34</t>
  </si>
  <si>
    <t>Sch 26, Line 36</t>
  </si>
  <si>
    <r>
      <t>Weight Arizona sales - (</t>
    </r>
    <r>
      <rPr>
        <i/>
        <sz val="8"/>
        <rFont val="Arial"/>
        <family val="2"/>
      </rPr>
      <t>STANDARD</t>
    </r>
    <r>
      <rPr>
        <sz val="8"/>
        <rFont val="Arial"/>
        <family val="2"/>
      </rPr>
      <t xml:space="preserve"> uses X 2; </t>
    </r>
    <r>
      <rPr>
        <i/>
        <sz val="8"/>
        <rFont val="Arial"/>
        <family val="2"/>
      </rPr>
      <t>ENHANCED</t>
    </r>
    <r>
      <rPr>
        <sz val="8"/>
        <rFont val="Arial"/>
        <family val="2"/>
      </rPr>
      <t xml:space="preserve"> uses X 8)</t>
    </r>
  </si>
  <si>
    <r>
      <t xml:space="preserve">Average apportionment ratio </t>
    </r>
    <r>
      <rPr>
        <sz val="8"/>
        <rFont val="Arial"/>
        <family val="2"/>
      </rPr>
      <t>- divide line C4, Column C, by the denomiator</t>
    </r>
  </si>
  <si>
    <r>
      <t>(</t>
    </r>
    <r>
      <rPr>
        <i/>
        <sz val="8"/>
        <rFont val="Arial"/>
        <family val="2"/>
      </rPr>
      <t>STANDARD</t>
    </r>
    <r>
      <rPr>
        <sz val="8"/>
        <rFont val="Arial"/>
        <family val="2"/>
      </rPr>
      <t xml:space="preserve"> divides by four (4); </t>
    </r>
    <r>
      <rPr>
        <i/>
        <sz val="8"/>
        <rFont val="Arial"/>
        <family val="2"/>
      </rPr>
      <t>ENHANCED</t>
    </r>
    <r>
      <rPr>
        <sz val="8"/>
        <rFont val="Arial"/>
        <family val="2"/>
      </rPr>
      <t xml:space="preserve"> divides by ten (10)).  Enter the</t>
    </r>
  </si>
  <si>
    <t>Sales delivered or shipped to California purchasers:</t>
  </si>
  <si>
    <t xml:space="preserve">Single Sales Factor </t>
  </si>
  <si>
    <t>income (Weight Sales STANDARD uses X 2).</t>
  </si>
  <si>
    <t xml:space="preserve">DC </t>
  </si>
  <si>
    <t>Arizona Form 120, Line 5- Adjusted Business Income</t>
  </si>
  <si>
    <t>Total Sales (Double-weighted sales factor</t>
  </si>
  <si>
    <t xml:space="preserve">utilized for the apportionment determination. </t>
  </si>
  <si>
    <t>Machinery and equipment (including delivery equipment)</t>
  </si>
  <si>
    <t>Other tangible assets</t>
  </si>
  <si>
    <t>Rented property used in the business</t>
  </si>
  <si>
    <t>Total Property</t>
  </si>
  <si>
    <t>Total Payroll</t>
  </si>
  <si>
    <t>Total percent</t>
  </si>
  <si>
    <r>
      <rPr>
        <b/>
        <sz val="10"/>
        <rFont val="Arial"/>
        <family val="2"/>
      </rPr>
      <t>Apportionment percentage.</t>
    </r>
    <r>
      <rPr>
        <sz val="10"/>
        <rFont val="Arial"/>
        <family val="2"/>
      </rPr>
      <t xml:space="preserve">  Divide line 4 by 4.</t>
    </r>
  </si>
  <si>
    <t>For 2012, standard apportionment factor was utilized for the</t>
  </si>
  <si>
    <t>apportionment determination (property, payroll, double-weighted</t>
  </si>
  <si>
    <t>sales).</t>
  </si>
  <si>
    <t>For 2012, property, payroll, and double-weighted sales factor were</t>
  </si>
  <si>
    <t>utilized for the apportionment determination.</t>
  </si>
  <si>
    <t>For 2012, property, payroll, and single-weighted sales factor were</t>
  </si>
  <si>
    <t>Federal Benefit of State Taxes</t>
  </si>
  <si>
    <t>Total Composite Tax Rate - 2012</t>
  </si>
  <si>
    <t>Total for California</t>
  </si>
  <si>
    <t>Other States</t>
  </si>
  <si>
    <t>2012 TR</t>
  </si>
  <si>
    <t xml:space="preserve">* Adjustments have been made to reflect exclusion of balancing account adjustments and treasury interest from the CA </t>
  </si>
  <si>
    <t xml:space="preserve">2012 Update:  </t>
  </si>
  <si>
    <t>Arizona provides the option of apportioning using a standard 3-factor formula with</t>
  </si>
  <si>
    <t>California provides the option of apportioning using a single sales factor with market</t>
  </si>
  <si>
    <t>sourcing or a standard 3-factor formula with double-weighting of the sales factor and</t>
  </si>
  <si>
    <t>cost of performance sourcing.  SCE made the single sales factor election for 2011</t>
  </si>
  <si>
    <t>double-weighting of the sales factor or an enhanced sales factor methodology which</t>
  </si>
  <si>
    <t>uses 3 factors, but weights the sales factor at 80%.  SCE used the standard</t>
  </si>
  <si>
    <t>For 2012, both California and Arizona had elective apportion methdologies.</t>
  </si>
  <si>
    <t>and used 3-factor apportionment factor for 2012.  Commencing in 2013, use of the</t>
  </si>
  <si>
    <t>single sales factor with market sourcing will be mandatory.</t>
  </si>
  <si>
    <t>apportionment formula for both 2011 and 2012.</t>
  </si>
  <si>
    <t>sales factor.  However, it is included in the denominator sales factor for other states.</t>
  </si>
  <si>
    <r>
      <t xml:space="preserve">Other  </t>
    </r>
    <r>
      <rPr>
        <sz val="10"/>
        <color rgb="FFFF0000"/>
        <rFont val="Arial"/>
        <family val="2"/>
      </rPr>
      <t>[1]</t>
    </r>
  </si>
  <si>
    <t>[1] Cost of performance adjustment is not reflected in the numerator but is in the denominator for all states per Rich Novak.</t>
  </si>
  <si>
    <t>California net income (line 18 of 100W)</t>
  </si>
  <si>
    <t>Tax Apportionment Detail Worksheet By State based on 2012 Tax Return</t>
  </si>
  <si>
    <t>Calculation of Income Tax Rates</t>
  </si>
  <si>
    <t>1) Federal Income Tax rate</t>
  </si>
  <si>
    <t>Inputs are shaded yellow</t>
  </si>
  <si>
    <t>Federal</t>
  </si>
  <si>
    <t>Prior</t>
  </si>
  <si>
    <t>Income Tax</t>
  </si>
  <si>
    <t>Line</t>
  </si>
  <si>
    <t>Year</t>
  </si>
  <si>
    <t>Rate ("FITR")</t>
  </si>
  <si>
    <t>Source</t>
  </si>
  <si>
    <t>Note 1, c Column 2, see also Note 2</t>
  </si>
  <si>
    <t>2) Composite State Income Tax Rate</t>
  </si>
  <si>
    <t>Composite State</t>
  </si>
  <si>
    <t>Rate ("CSITR")</t>
  </si>
  <si>
    <t>for apportionment factors and state tax rates.</t>
  </si>
  <si>
    <t>Calculation of Composite State Income Tax Rate for the Prior Year:</t>
  </si>
  <si>
    <t>Factors ("AFs")</t>
  </si>
  <si>
    <t>1) Input most recent available Apportionment Factors.</t>
  </si>
  <si>
    <t>Tax Rate ("STR")</t>
  </si>
  <si>
    <t>2) Input STR for the Prior Year</t>
  </si>
  <si>
    <t>for each state.  See Notes 1 and 3.</t>
  </si>
  <si>
    <t>Ratio of SCE</t>
  </si>
  <si>
    <t>State Taxable</t>
  </si>
  <si>
    <t>Income to SCE</t>
  </si>
  <si>
    <t>Taxable Income</t>
  </si>
  <si>
    <t>3) Input most recent available ratios based on</t>
  </si>
  <si>
    <t xml:space="preserve">      taxable income from state return filings.</t>
  </si>
  <si>
    <t>Income Tax Rate =</t>
  </si>
  <si>
    <t>3) Capitalized Overhead portion of Electric Payroll Tax Expense</t>
  </si>
  <si>
    <t>Amount</t>
  </si>
  <si>
    <t>Capitalization Rate (Note 4)</t>
  </si>
  <si>
    <t>Notes:</t>
  </si>
  <si>
    <t>1) In the event that statutory marginal tax rates change during the Prior Year, the effective tax rate used in</t>
  </si>
  <si>
    <t xml:space="preserve">the formula shall be weighted by the number of days each such rate was in effect.  For example, a 35% rate </t>
  </si>
  <si>
    <t xml:space="preserve">in effect for 120 days superseded by a 40% rate in effect for the remainder of the year will be calculated as: </t>
  </si>
  <si>
    <t xml:space="preserve"> ((.3500 x 120) + (.4000 x 245))/365 = .3836.</t>
  </si>
  <si>
    <t>Calculation of FITR for Prior Year:</t>
  </si>
  <si>
    <t>(Col 1)</t>
  </si>
  <si>
    <t>(Col 2)</t>
  </si>
  <si>
    <t>FITR</t>
  </si>
  <si>
    <t>Days</t>
  </si>
  <si>
    <t>Note</t>
  </si>
  <si>
    <t>a</t>
  </si>
  <si>
    <t>Input FITR in effect for first part of year and number of days</t>
  </si>
  <si>
    <t>b</t>
  </si>
  <si>
    <t>Input FITR in effect for second part of year and number of days</t>
  </si>
  <si>
    <t>c</t>
  </si>
  <si>
    <t>FITR:</t>
  </si>
  <si>
    <t>= ((Line a, C1)*(Line a, C2)+ (Line b, C1)*(Line b, C2))/365</t>
  </si>
  <si>
    <t>2) Federal Source Statute:</t>
  </si>
  <si>
    <t>Internal Revenue Code Section 11(b)(1)(D)</t>
  </si>
  <si>
    <t>3) State Source Statues (Enter Reference to each State Marginal Tax Rate Statute below):</t>
  </si>
  <si>
    <t>a) California:</t>
  </si>
  <si>
    <t xml:space="preserve">California Code, Division 2, Part 11, Chapter 2, Article 2, Section 23151(e) </t>
  </si>
  <si>
    <t>b) New Mexico</t>
  </si>
  <si>
    <t>New Mexico Statutes, Chapter 7, Article 2A</t>
  </si>
  <si>
    <t>c) Arizona</t>
  </si>
  <si>
    <t>Arizona Statute, Title 43, Part 43.1111</t>
  </si>
  <si>
    <t>d) District of Columbia</t>
  </si>
  <si>
    <t>DC Code, Division VIII, Title 47, Part 47-1807.02(a)(4)</t>
  </si>
  <si>
    <t>4) Capitalization Rate approved in:</t>
  </si>
  <si>
    <t>CPUC D. 12-11-051</t>
  </si>
  <si>
    <t>For the following Prior Years:</t>
  </si>
  <si>
    <t>2012-2014</t>
  </si>
  <si>
    <t>for the applicable Prior Year</t>
  </si>
  <si>
    <t>State Tax Apportionment based on 2012 Tax Return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</si>
</sst>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7"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000%"/>
    <numFmt numFmtId="165" formatCode="0_);\(0\)"/>
    <numFmt numFmtId="166" formatCode="_(* #,##0.000000_);_(* \(#,##0.000000\);_(* &quot;-&quot;??_);_(@_)"/>
    <numFmt numFmtId="167" formatCode="#,##0.0_);\(#,##0.0\)"/>
    <numFmt numFmtId="168" formatCode="0.000%"/>
    <numFmt numFmtId="169" formatCode="_(* #,##0_);_(* \(#,##0\);_(* &quot;-&quot;??_);_(@_)"/>
    <numFmt numFmtId="170" formatCode="_(* #,##0.000000000_);_(* \(#,##0.000000000\);_(* &quot;-&quot;?????????_);_(@_)"/>
    <numFmt numFmtId="171" formatCode="_(* #,##0.0000000_);_(* \(#,##0.0000000\);_(* &quot;-&quot;???????_);_(@_)"/>
    <numFmt numFmtId="172" formatCode="#,##0.000000_);\(#,##0.000000\)"/>
    <numFmt numFmtId="173" formatCode="_(* #,##0.00000_);_(* \(#,##0.00000\);_(* &quot;-&quot;?????_);_(@_)"/>
    <numFmt numFmtId="174" formatCode="#,##0.000000"/>
    <numFmt numFmtId="175" formatCode="&quot;$&quot;#,##0"/>
    <numFmt numFmtId="176" formatCode="0.0%"/>
    <numFmt numFmtId="177" formatCode="_-* #,##0.00\ _D_M_-;\-* #,##0.00\ _D_M_-;_-* &quot;-&quot;??\ _D_M_-;_-@_-"/>
  </numFmts>
  <fonts count="34" x14ac:knownFonts="1">
    <font>
      <sz val="10"/>
      <name val="Arial"/>
    </font>
    <font>
      <sz val="10"/>
      <color theme="1"/>
      <name val="Arial"/>
      <family val="2"/>
    </font>
    <font>
      <sz val="10"/>
      <name val="Arial"/>
      <family val="2"/>
    </font>
    <font>
      <b/>
      <u/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u/>
      <sz val="9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b/>
      <sz val="8"/>
      <color rgb="FFFF0000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i/>
      <sz val="10"/>
      <name val="Arial"/>
      <family val="2"/>
    </font>
    <font>
      <b/>
      <sz val="9"/>
      <color rgb="FFFF0000"/>
      <name val="Arial"/>
      <family val="2"/>
    </font>
    <font>
      <b/>
      <i/>
      <sz val="10"/>
      <name val="Arial"/>
      <family val="2"/>
    </font>
    <font>
      <b/>
      <sz val="10"/>
      <color rgb="FFFF0000"/>
      <name val="Arial"/>
      <family val="2"/>
    </font>
    <font>
      <b/>
      <u val="singleAccounting"/>
      <sz val="10"/>
      <name val="Arial"/>
      <family val="2"/>
    </font>
    <font>
      <sz val="10"/>
      <color rgb="FFFF0000"/>
      <name val="Arial"/>
      <family val="2"/>
    </font>
    <font>
      <u/>
      <sz val="10"/>
      <name val="Arial"/>
      <family val="2"/>
    </font>
    <font>
      <u/>
      <sz val="10"/>
      <color theme="1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8"/>
      <name val="Calibri"/>
      <family val="2"/>
    </font>
    <font>
      <sz val="10"/>
      <name val="MS Sans Serif"/>
      <family val="2"/>
    </font>
    <font>
      <sz val="11"/>
      <color theme="1"/>
      <name val="Calibri"/>
      <family val="2"/>
      <scheme val="minor"/>
    </font>
    <font>
      <b/>
      <sz val="10"/>
      <color indexed="8"/>
      <name val="Arial"/>
      <family val="2"/>
    </font>
    <font>
      <b/>
      <sz val="10"/>
      <color indexed="39"/>
      <name val="Arial"/>
      <family val="2"/>
    </font>
    <font>
      <sz val="10"/>
      <color indexed="8"/>
      <name val="Arial"/>
      <family val="2"/>
    </font>
    <font>
      <b/>
      <sz val="12"/>
      <color indexed="8"/>
      <name val="Arial"/>
      <family val="2"/>
    </font>
    <font>
      <sz val="10"/>
      <color indexed="39"/>
      <name val="Arial"/>
      <family val="2"/>
    </font>
    <font>
      <sz val="19"/>
      <color indexed="48"/>
      <name val="Arial"/>
      <family val="2"/>
    </font>
    <font>
      <sz val="10"/>
      <color indexed="10"/>
      <name val="Arial"/>
      <family val="2"/>
    </font>
    <font>
      <b/>
      <sz val="18"/>
      <color indexed="62"/>
      <name val="Cambria"/>
      <family val="2"/>
    </font>
  </fonts>
  <fills count="3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4"/>
        <bgColor indexed="44"/>
      </patternFill>
    </fill>
    <fill>
      <patternFill patternType="solid">
        <fgColor indexed="54"/>
        <bgColor indexed="54"/>
      </patternFill>
    </fill>
    <fill>
      <patternFill patternType="solid">
        <fgColor indexed="24"/>
        <bgColor indexed="24"/>
      </patternFill>
    </fill>
    <fill>
      <patternFill patternType="solid">
        <fgColor indexed="15"/>
        <bgColor indexed="15"/>
      </patternFill>
    </fill>
    <fill>
      <patternFill patternType="solid">
        <fgColor indexed="45"/>
        <bgColor indexed="45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40"/>
        <bgColor indexed="40"/>
      </patternFill>
    </fill>
    <fill>
      <patternFill patternType="solid">
        <fgColor indexed="22"/>
        <bgColor indexed="22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57"/>
      </patternFill>
    </fill>
    <fill>
      <patternFill patternType="solid">
        <fgColor indexed="43"/>
      </patternFill>
    </fill>
    <fill>
      <patternFill patternType="solid">
        <fgColor indexed="40"/>
      </patternFill>
    </fill>
    <fill>
      <patternFill patternType="solid">
        <fgColor indexed="45"/>
      </patternFill>
    </fill>
    <fill>
      <patternFill patternType="solid">
        <fgColor indexed="29"/>
      </patternFill>
    </fill>
    <fill>
      <patternFill patternType="solid">
        <fgColor indexed="10"/>
      </patternFill>
    </fill>
    <fill>
      <patternFill patternType="solid">
        <fgColor indexed="51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57"/>
      </patternFill>
    </fill>
    <fill>
      <patternFill patternType="solid">
        <fgColor indexed="50"/>
      </patternFill>
    </fill>
    <fill>
      <patternFill patternType="solid">
        <fgColor indexed="11"/>
      </patternFill>
    </fill>
    <fill>
      <patternFill patternType="lightUp">
        <fgColor indexed="48"/>
        <bgColor indexed="41"/>
      </patternFill>
    </fill>
    <fill>
      <patternFill patternType="solid">
        <fgColor indexed="41"/>
      </patternFill>
    </fill>
    <fill>
      <patternFill patternType="solid">
        <fgColor indexed="54"/>
      </patternFill>
    </fill>
    <fill>
      <patternFill patternType="solid">
        <fgColor indexed="44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15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</borders>
  <cellStyleXfs count="157">
    <xf numFmtId="0" fontId="0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1" fillId="6" borderId="0" applyNumberFormat="0" applyBorder="0" applyAlignment="0" applyProtection="0"/>
    <xf numFmtId="0" fontId="21" fillId="7" borderId="0" applyNumberFormat="0" applyBorder="0" applyAlignment="0" applyProtection="0"/>
    <xf numFmtId="0" fontId="22" fillId="8" borderId="0" applyNumberFormat="0" applyBorder="0" applyAlignment="0" applyProtection="0"/>
    <xf numFmtId="0" fontId="21" fillId="9" borderId="0" applyNumberFormat="0" applyBorder="0" applyAlignment="0" applyProtection="0"/>
    <xf numFmtId="0" fontId="21" fillId="10" borderId="0" applyNumberFormat="0" applyBorder="0" applyAlignment="0" applyProtection="0"/>
    <xf numFmtId="0" fontId="22" fillId="11" borderId="0" applyNumberFormat="0" applyBorder="0" applyAlignment="0" applyProtection="0"/>
    <xf numFmtId="0" fontId="21" fillId="12" borderId="0" applyNumberFormat="0" applyBorder="0" applyAlignment="0" applyProtection="0"/>
    <xf numFmtId="0" fontId="21" fillId="13" borderId="0" applyNumberFormat="0" applyBorder="0" applyAlignment="0" applyProtection="0"/>
    <xf numFmtId="0" fontId="22" fillId="14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2" fillId="14" borderId="0" applyNumberFormat="0" applyBorder="0" applyAlignment="0" applyProtection="0"/>
    <xf numFmtId="0" fontId="21" fillId="6" borderId="0" applyNumberFormat="0" applyBorder="0" applyAlignment="0" applyProtection="0"/>
    <xf numFmtId="0" fontId="21" fillId="7" borderId="0" applyNumberFormat="0" applyBorder="0" applyAlignment="0" applyProtection="0"/>
    <xf numFmtId="0" fontId="22" fillId="7" borderId="0" applyNumberFormat="0" applyBorder="0" applyAlignment="0" applyProtection="0"/>
    <xf numFmtId="0" fontId="21" fillId="15" borderId="0" applyNumberFormat="0" applyBorder="0" applyAlignment="0" applyProtection="0"/>
    <xf numFmtId="0" fontId="21" fillId="10" borderId="0" applyNumberFormat="0" applyBorder="0" applyAlignment="0" applyProtection="0"/>
    <xf numFmtId="0" fontId="22" fillId="16" borderId="0" applyNumberFormat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23" fillId="19" borderId="0" applyNumberFormat="0" applyBorder="0" applyAlignment="0" applyProtection="0"/>
    <xf numFmtId="0" fontId="2" fillId="0" borderId="0"/>
    <xf numFmtId="0" fontId="2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" fillId="0" borderId="0"/>
    <xf numFmtId="0" fontId="2" fillId="0" borderId="0"/>
    <xf numFmtId="0" fontId="25" fillId="0" borderId="0"/>
    <xf numFmtId="9" fontId="2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" fontId="26" fillId="20" borderId="7" applyNumberFormat="0" applyProtection="0">
      <alignment vertical="center"/>
    </xf>
    <xf numFmtId="4" fontId="27" fillId="20" borderId="7" applyNumberFormat="0" applyProtection="0">
      <alignment vertical="center"/>
    </xf>
    <xf numFmtId="4" fontId="26" fillId="20" borderId="7" applyNumberFormat="0" applyProtection="0">
      <alignment horizontal="left" vertical="center" indent="1"/>
    </xf>
    <xf numFmtId="0" fontId="26" fillId="20" borderId="7" applyNumberFormat="0" applyProtection="0">
      <alignment horizontal="left" vertical="top" indent="1"/>
    </xf>
    <xf numFmtId="4" fontId="26" fillId="21" borderId="0" applyNumberFormat="0" applyProtection="0">
      <alignment horizontal="left" vertical="center" indent="1"/>
    </xf>
    <xf numFmtId="4" fontId="28" fillId="22" borderId="7" applyNumberFormat="0" applyProtection="0">
      <alignment horizontal="right" vertical="center"/>
    </xf>
    <xf numFmtId="4" fontId="28" fillId="23" borderId="7" applyNumberFormat="0" applyProtection="0">
      <alignment horizontal="right" vertical="center"/>
    </xf>
    <xf numFmtId="4" fontId="28" fillId="24" borderId="7" applyNumberFormat="0" applyProtection="0">
      <alignment horizontal="right" vertical="center"/>
    </xf>
    <xf numFmtId="4" fontId="28" fillId="25" borderId="7" applyNumberFormat="0" applyProtection="0">
      <alignment horizontal="right" vertical="center"/>
    </xf>
    <xf numFmtId="4" fontId="28" fillId="26" borderId="7" applyNumberFormat="0" applyProtection="0">
      <alignment horizontal="right" vertical="center"/>
    </xf>
    <xf numFmtId="4" fontId="28" fillId="27" borderId="7" applyNumberFormat="0" applyProtection="0">
      <alignment horizontal="right" vertical="center"/>
    </xf>
    <xf numFmtId="4" fontId="28" fillId="28" borderId="7" applyNumberFormat="0" applyProtection="0">
      <alignment horizontal="right" vertical="center"/>
    </xf>
    <xf numFmtId="4" fontId="28" fillId="29" borderId="7" applyNumberFormat="0" applyProtection="0">
      <alignment horizontal="right" vertical="center"/>
    </xf>
    <xf numFmtId="4" fontId="28" fillId="30" borderId="7" applyNumberFormat="0" applyProtection="0">
      <alignment horizontal="right" vertical="center"/>
    </xf>
    <xf numFmtId="4" fontId="26" fillId="31" borderId="8" applyNumberFormat="0" applyProtection="0">
      <alignment horizontal="left" vertical="center" indent="1"/>
    </xf>
    <xf numFmtId="4" fontId="28" fillId="32" borderId="0" applyNumberFormat="0" applyProtection="0">
      <alignment horizontal="left" vertical="center" indent="1"/>
    </xf>
    <xf numFmtId="4" fontId="29" fillId="33" borderId="0" applyNumberFormat="0" applyProtection="0">
      <alignment horizontal="left" vertical="center" indent="1"/>
    </xf>
    <xf numFmtId="4" fontId="28" fillId="21" borderId="7" applyNumberFormat="0" applyProtection="0">
      <alignment horizontal="right" vertical="center"/>
    </xf>
    <xf numFmtId="4" fontId="28" fillId="32" borderId="0" applyNumberFormat="0" applyProtection="0">
      <alignment horizontal="left" vertical="center" indent="1"/>
    </xf>
    <xf numFmtId="4" fontId="28" fillId="21" borderId="0" applyNumberFormat="0" applyProtection="0">
      <alignment horizontal="left" vertical="center" indent="1"/>
    </xf>
    <xf numFmtId="0" fontId="2" fillId="33" borderId="7" applyNumberFormat="0" applyProtection="0">
      <alignment horizontal="left" vertical="center" indent="1"/>
    </xf>
    <xf numFmtId="0" fontId="2" fillId="33" borderId="7" applyNumberFormat="0" applyProtection="0">
      <alignment horizontal="left" vertical="center" indent="1"/>
    </xf>
    <xf numFmtId="0" fontId="2" fillId="33" borderId="7" applyNumberFormat="0" applyProtection="0">
      <alignment horizontal="left" vertical="top" indent="1"/>
    </xf>
    <xf numFmtId="0" fontId="2" fillId="33" borderId="7" applyNumberFormat="0" applyProtection="0">
      <alignment horizontal="left" vertical="top" indent="1"/>
    </xf>
    <xf numFmtId="0" fontId="2" fillId="21" borderId="7" applyNumberFormat="0" applyProtection="0">
      <alignment horizontal="left" vertical="center" indent="1"/>
    </xf>
    <xf numFmtId="0" fontId="2" fillId="21" borderId="7" applyNumberFormat="0" applyProtection="0">
      <alignment horizontal="left" vertical="center" indent="1"/>
    </xf>
    <xf numFmtId="0" fontId="2" fillId="21" borderId="7" applyNumberFormat="0" applyProtection="0">
      <alignment horizontal="left" vertical="top" indent="1"/>
    </xf>
    <xf numFmtId="0" fontId="2" fillId="21" borderId="7" applyNumberFormat="0" applyProtection="0">
      <alignment horizontal="left" vertical="top" indent="1"/>
    </xf>
    <xf numFmtId="0" fontId="2" fillId="34" borderId="7" applyNumberFormat="0" applyProtection="0">
      <alignment horizontal="left" vertical="center" indent="1"/>
    </xf>
    <xf numFmtId="0" fontId="2" fillId="34" borderId="7" applyNumberFormat="0" applyProtection="0">
      <alignment horizontal="left" vertical="center" indent="1"/>
    </xf>
    <xf numFmtId="0" fontId="2" fillId="34" borderId="7" applyNumberFormat="0" applyProtection="0">
      <alignment horizontal="left" vertical="top" indent="1"/>
    </xf>
    <xf numFmtId="0" fontId="2" fillId="34" borderId="7" applyNumberFormat="0" applyProtection="0">
      <alignment horizontal="left" vertical="top" indent="1"/>
    </xf>
    <xf numFmtId="0" fontId="2" fillId="32" borderId="7" applyNumberFormat="0" applyProtection="0">
      <alignment horizontal="left" vertical="center" indent="1"/>
    </xf>
    <xf numFmtId="0" fontId="2" fillId="32" borderId="7" applyNumberFormat="0" applyProtection="0">
      <alignment horizontal="left" vertical="center" indent="1"/>
    </xf>
    <xf numFmtId="0" fontId="2" fillId="32" borderId="7" applyNumberFormat="0" applyProtection="0">
      <alignment horizontal="left" vertical="top" indent="1"/>
    </xf>
    <xf numFmtId="0" fontId="2" fillId="32" borderId="7" applyNumberFormat="0" applyProtection="0">
      <alignment horizontal="left" vertical="top" indent="1"/>
    </xf>
    <xf numFmtId="0" fontId="2" fillId="35" borderId="4" applyNumberFormat="0">
      <protection locked="0"/>
    </xf>
    <xf numFmtId="0" fontId="2" fillId="35" borderId="4" applyNumberFormat="0">
      <protection locked="0"/>
    </xf>
    <xf numFmtId="4" fontId="28" fillId="36" borderId="7" applyNumberFormat="0" applyProtection="0">
      <alignment vertical="center"/>
    </xf>
    <xf numFmtId="4" fontId="30" fillId="36" borderId="7" applyNumberFormat="0" applyProtection="0">
      <alignment vertical="center"/>
    </xf>
    <xf numFmtId="4" fontId="28" fillId="36" borderId="7" applyNumberFormat="0" applyProtection="0">
      <alignment horizontal="left" vertical="center" indent="1"/>
    </xf>
    <xf numFmtId="0" fontId="28" fillId="36" borderId="7" applyNumberFormat="0" applyProtection="0">
      <alignment horizontal="left" vertical="top" indent="1"/>
    </xf>
    <xf numFmtId="4" fontId="28" fillId="32" borderId="7" applyNumberFormat="0" applyProtection="0">
      <alignment horizontal="right" vertical="center"/>
    </xf>
    <xf numFmtId="4" fontId="30" fillId="32" borderId="7" applyNumberFormat="0" applyProtection="0">
      <alignment horizontal="right" vertical="center"/>
    </xf>
    <xf numFmtId="4" fontId="28" fillId="21" borderId="7" applyNumberFormat="0" applyProtection="0">
      <alignment horizontal="left" vertical="center" indent="1"/>
    </xf>
    <xf numFmtId="0" fontId="28" fillId="21" borderId="7" applyNumberFormat="0" applyProtection="0">
      <alignment horizontal="left" vertical="top" indent="1"/>
    </xf>
    <xf numFmtId="4" fontId="31" fillId="37" borderId="0" applyNumberFormat="0" applyProtection="0">
      <alignment horizontal="left" vertical="center" indent="1"/>
    </xf>
    <xf numFmtId="4" fontId="32" fillId="32" borderId="7" applyNumberFormat="0" applyProtection="0">
      <alignment horizontal="right" vertical="center"/>
    </xf>
    <xf numFmtId="0" fontId="33" fillId="0" borderId="0" applyNumberFormat="0" applyFill="0" applyBorder="0" applyAlignment="0" applyProtection="0"/>
  </cellStyleXfs>
  <cellXfs count="167">
    <xf numFmtId="0" fontId="0" fillId="0" borderId="0" xfId="0"/>
    <xf numFmtId="41" fontId="4" fillId="0" borderId="0" xfId="0" applyNumberFormat="1" applyFont="1"/>
    <xf numFmtId="0" fontId="4" fillId="0" borderId="0" xfId="0" applyFont="1"/>
    <xf numFmtId="41" fontId="4" fillId="0" borderId="0" xfId="0" applyNumberFormat="1" applyFont="1" applyAlignment="1">
      <alignment horizontal="center"/>
    </xf>
    <xf numFmtId="41" fontId="4" fillId="0" borderId="1" xfId="0" applyNumberFormat="1" applyFont="1" applyBorder="1" applyAlignment="1">
      <alignment horizontal="center"/>
    </xf>
    <xf numFmtId="164" fontId="4" fillId="0" borderId="0" xfId="0" applyNumberFormat="1" applyFont="1"/>
    <xf numFmtId="41" fontId="4" fillId="0" borderId="2" xfId="0" applyNumberFormat="1" applyFont="1" applyBorder="1"/>
    <xf numFmtId="164" fontId="4" fillId="0" borderId="2" xfId="0" applyNumberFormat="1" applyFont="1" applyBorder="1"/>
    <xf numFmtId="0" fontId="5" fillId="0" borderId="0" xfId="0" applyFont="1"/>
    <xf numFmtId="0" fontId="6" fillId="0" borderId="0" xfId="0" applyFont="1"/>
    <xf numFmtId="0" fontId="7" fillId="0" borderId="0" xfId="0" applyFont="1"/>
    <xf numFmtId="165" fontId="6" fillId="0" borderId="0" xfId="0" applyNumberFormat="1" applyFont="1" applyAlignment="1">
      <alignment horizontal="center"/>
    </xf>
    <xf numFmtId="0" fontId="6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0" xfId="0" applyFont="1" applyFill="1"/>
    <xf numFmtId="164" fontId="6" fillId="0" borderId="0" xfId="2" applyNumberFormat="1" applyFont="1" applyFill="1" applyProtection="1">
      <protection locked="0"/>
    </xf>
    <xf numFmtId="166" fontId="6" fillId="0" borderId="0" xfId="1" applyNumberFormat="1" applyFont="1" applyFill="1" applyBorder="1" applyProtection="1">
      <protection locked="0"/>
    </xf>
    <xf numFmtId="164" fontId="6" fillId="0" borderId="0" xfId="0" applyNumberFormat="1" applyFont="1"/>
    <xf numFmtId="164" fontId="6" fillId="0" borderId="0" xfId="2" applyNumberFormat="1" applyFont="1"/>
    <xf numFmtId="164" fontId="6" fillId="0" borderId="1" xfId="2" applyNumberFormat="1" applyFont="1" applyFill="1" applyBorder="1" applyProtection="1">
      <protection locked="0"/>
    </xf>
    <xf numFmtId="166" fontId="6" fillId="0" borderId="1" xfId="1" applyNumberFormat="1" applyFont="1" applyFill="1" applyBorder="1" applyProtection="1">
      <protection locked="0"/>
    </xf>
    <xf numFmtId="164" fontId="6" fillId="0" borderId="1" xfId="0" applyNumberFormat="1" applyFont="1" applyBorder="1"/>
    <xf numFmtId="164" fontId="6" fillId="0" borderId="1" xfId="2" applyNumberFormat="1" applyFont="1" applyBorder="1"/>
    <xf numFmtId="167" fontId="6" fillId="0" borderId="0" xfId="0" applyNumberFormat="1" applyFont="1"/>
    <xf numFmtId="164" fontId="6" fillId="0" borderId="0" xfId="0" applyNumberFormat="1" applyFont="1" applyFill="1"/>
    <xf numFmtId="164" fontId="6" fillId="0" borderId="0" xfId="0" applyNumberFormat="1" applyFont="1" applyBorder="1"/>
    <xf numFmtId="164" fontId="8" fillId="0" borderId="3" xfId="0" applyNumberFormat="1" applyFont="1" applyBorder="1"/>
    <xf numFmtId="169" fontId="6" fillId="0" borderId="0" xfId="1" applyNumberFormat="1" applyFont="1" applyFill="1" applyBorder="1"/>
    <xf numFmtId="169" fontId="6" fillId="0" borderId="0" xfId="1" applyNumberFormat="1" applyFont="1"/>
    <xf numFmtId="0" fontId="4" fillId="0" borderId="0" xfId="0" applyFont="1" applyBorder="1" applyAlignment="1">
      <alignment horizontal="center"/>
    </xf>
    <xf numFmtId="0" fontId="4" fillId="0" borderId="0" xfId="0" applyFont="1" applyBorder="1"/>
    <xf numFmtId="0" fontId="4" fillId="0" borderId="0" xfId="0" applyFont="1" applyBorder="1" applyAlignment="1">
      <alignment horizontal="centerContinuous"/>
    </xf>
    <xf numFmtId="0" fontId="4" fillId="0" borderId="1" xfId="0" quotePrefix="1" applyNumberFormat="1" applyFont="1" applyBorder="1" applyAlignment="1">
      <alignment horizontal="center"/>
    </xf>
    <xf numFmtId="10" fontId="6" fillId="0" borderId="0" xfId="0" applyNumberFormat="1" applyFont="1" applyFill="1" applyBorder="1" applyAlignment="1">
      <alignment horizontal="center"/>
    </xf>
    <xf numFmtId="10" fontId="6" fillId="0" borderId="0" xfId="0" applyNumberFormat="1" applyFont="1" applyFill="1" applyBorder="1" applyAlignment="1" applyProtection="1">
      <alignment horizontal="center"/>
      <protection locked="0"/>
    </xf>
    <xf numFmtId="165" fontId="8" fillId="2" borderId="0" xfId="0" applyNumberFormat="1" applyFont="1" applyFill="1" applyAlignment="1">
      <alignment horizontal="center"/>
    </xf>
    <xf numFmtId="0" fontId="5" fillId="0" borderId="0" xfId="0" applyFont="1" applyAlignment="1">
      <alignment horizontal="center"/>
    </xf>
    <xf numFmtId="41" fontId="5" fillId="0" borderId="0" xfId="0" applyNumberFormat="1" applyFont="1" applyAlignment="1">
      <alignment horizontal="center"/>
    </xf>
    <xf numFmtId="41" fontId="5" fillId="0" borderId="0" xfId="0" quotePrefix="1" applyNumberFormat="1" applyFont="1" applyAlignment="1">
      <alignment horizontal="center"/>
    </xf>
    <xf numFmtId="41" fontId="5" fillId="0" borderId="0" xfId="0" applyNumberFormat="1" applyFont="1" applyAlignment="1">
      <alignment horizontal="left"/>
    </xf>
    <xf numFmtId="41" fontId="4" fillId="0" borderId="0" xfId="0" applyNumberFormat="1" applyFont="1" applyAlignment="1">
      <alignment horizontal="left"/>
    </xf>
    <xf numFmtId="0" fontId="3" fillId="0" borderId="0" xfId="0" applyFont="1" applyAlignment="1">
      <alignment horizontal="center"/>
    </xf>
    <xf numFmtId="0" fontId="5" fillId="0" borderId="1" xfId="0" applyFont="1" applyBorder="1" applyAlignment="1">
      <alignment horizontal="center"/>
    </xf>
    <xf numFmtId="169" fontId="0" fillId="0" borderId="0" xfId="1" applyNumberFormat="1" applyFont="1"/>
    <xf numFmtId="169" fontId="3" fillId="0" borderId="0" xfId="1" applyNumberFormat="1" applyFont="1" applyAlignment="1">
      <alignment horizontal="center"/>
    </xf>
    <xf numFmtId="169" fontId="5" fillId="0" borderId="0" xfId="1" applyNumberFormat="1" applyFont="1" applyAlignment="1">
      <alignment horizontal="center"/>
    </xf>
    <xf numFmtId="169" fontId="5" fillId="0" borderId="1" xfId="1" applyNumberFormat="1" applyFont="1" applyBorder="1" applyAlignment="1">
      <alignment horizontal="center"/>
    </xf>
    <xf numFmtId="169" fontId="0" fillId="0" borderId="1" xfId="1" applyNumberFormat="1" applyFont="1" applyBorder="1"/>
    <xf numFmtId="0" fontId="0" fillId="3" borderId="0" xfId="0" applyFill="1"/>
    <xf numFmtId="0" fontId="0" fillId="3" borderId="0" xfId="0" applyFill="1" applyBorder="1"/>
    <xf numFmtId="0" fontId="0" fillId="3" borderId="1" xfId="0" applyFill="1" applyBorder="1"/>
    <xf numFmtId="41" fontId="5" fillId="0" borderId="0" xfId="0" quotePrefix="1" applyNumberFormat="1" applyFont="1" applyAlignment="1">
      <alignment horizontal="left"/>
    </xf>
    <xf numFmtId="169" fontId="5" fillId="0" borderId="0" xfId="1" applyNumberFormat="1" applyFont="1"/>
    <xf numFmtId="169" fontId="0" fillId="3" borderId="0" xfId="1" applyNumberFormat="1" applyFont="1" applyFill="1"/>
    <xf numFmtId="169" fontId="4" fillId="0" borderId="0" xfId="1" applyNumberFormat="1" applyFont="1"/>
    <xf numFmtId="169" fontId="4" fillId="0" borderId="0" xfId="1" applyNumberFormat="1" applyFont="1" applyAlignment="1">
      <alignment horizontal="center"/>
    </xf>
    <xf numFmtId="169" fontId="0" fillId="3" borderId="1" xfId="1" applyNumberFormat="1" applyFont="1" applyFill="1" applyBorder="1"/>
    <xf numFmtId="169" fontId="0" fillId="0" borderId="0" xfId="1" applyNumberFormat="1" applyFont="1" applyBorder="1"/>
    <xf numFmtId="0" fontId="0" fillId="0" borderId="0" xfId="0" applyFill="1"/>
    <xf numFmtId="166" fontId="5" fillId="0" borderId="0" xfId="0" applyNumberFormat="1" applyFont="1" applyBorder="1"/>
    <xf numFmtId="0" fontId="10" fillId="0" borderId="0" xfId="0" applyFont="1" applyAlignment="1">
      <alignment horizontal="center"/>
    </xf>
    <xf numFmtId="41" fontId="5" fillId="0" borderId="0" xfId="0" applyNumberFormat="1" applyFont="1" applyAlignment="1">
      <alignment horizontal="center"/>
    </xf>
    <xf numFmtId="169" fontId="6" fillId="0" borderId="5" xfId="1" applyNumberFormat="1" applyFont="1" applyFill="1" applyBorder="1"/>
    <xf numFmtId="0" fontId="5" fillId="0" borderId="0" xfId="0" applyFont="1" applyAlignment="1"/>
    <xf numFmtId="41" fontId="5" fillId="0" borderId="0" xfId="0" applyNumberFormat="1" applyFont="1" applyAlignment="1">
      <alignment horizontal="center"/>
    </xf>
    <xf numFmtId="0" fontId="9" fillId="0" borderId="0" xfId="0" applyFont="1"/>
    <xf numFmtId="0" fontId="11" fillId="0" borderId="0" xfId="0" applyFont="1"/>
    <xf numFmtId="0" fontId="8" fillId="0" borderId="0" xfId="0" applyFont="1"/>
    <xf numFmtId="0" fontId="2" fillId="0" borderId="0" xfId="0" applyFont="1"/>
    <xf numFmtId="41" fontId="9" fillId="0" borderId="0" xfId="0" applyNumberFormat="1" applyFont="1" applyAlignment="1">
      <alignment horizontal="left"/>
    </xf>
    <xf numFmtId="170" fontId="5" fillId="0" borderId="0" xfId="0" applyNumberFormat="1" applyFont="1" applyAlignment="1">
      <alignment horizontal="center"/>
    </xf>
    <xf numFmtId="41" fontId="5" fillId="0" borderId="0" xfId="0" applyNumberFormat="1" applyFont="1"/>
    <xf numFmtId="171" fontId="5" fillId="0" borderId="0" xfId="0" applyNumberFormat="1" applyFont="1" applyAlignment="1">
      <alignment horizontal="center"/>
    </xf>
    <xf numFmtId="172" fontId="5" fillId="0" borderId="0" xfId="0" applyNumberFormat="1" applyFont="1"/>
    <xf numFmtId="41" fontId="2" fillId="0" borderId="1" xfId="0" applyNumberFormat="1" applyFont="1" applyBorder="1" applyAlignment="1">
      <alignment horizontal="center"/>
    </xf>
    <xf numFmtId="172" fontId="5" fillId="0" borderId="0" xfId="1" applyNumberFormat="1" applyFont="1"/>
    <xf numFmtId="173" fontId="0" fillId="0" borderId="0" xfId="1" applyNumberFormat="1" applyFont="1"/>
    <xf numFmtId="0" fontId="4" fillId="4" borderId="0" xfId="0" applyFont="1" applyFill="1"/>
    <xf numFmtId="0" fontId="0" fillId="0" borderId="0" xfId="1" applyNumberFormat="1" applyFont="1"/>
    <xf numFmtId="41" fontId="4" fillId="4" borderId="2" xfId="0" applyNumberFormat="1" applyFont="1" applyFill="1" applyBorder="1"/>
    <xf numFmtId="44" fontId="4" fillId="0" borderId="0" xfId="0" applyNumberFormat="1" applyFont="1"/>
    <xf numFmtId="41" fontId="4" fillId="4" borderId="0" xfId="0" applyNumberFormat="1" applyFont="1" applyFill="1"/>
    <xf numFmtId="0" fontId="13" fillId="0" borderId="0" xfId="0" applyFont="1"/>
    <xf numFmtId="41" fontId="13" fillId="0" borderId="0" xfId="0" applyNumberFormat="1" applyFont="1"/>
    <xf numFmtId="169" fontId="6" fillId="4" borderId="5" xfId="1" applyNumberFormat="1" applyFont="1" applyFill="1" applyBorder="1"/>
    <xf numFmtId="0" fontId="15" fillId="0" borderId="0" xfId="0" applyFont="1"/>
    <xf numFmtId="41" fontId="15" fillId="0" borderId="0" xfId="0" applyNumberFormat="1" applyFont="1"/>
    <xf numFmtId="164" fontId="5" fillId="0" borderId="0" xfId="0" applyNumberFormat="1" applyFont="1"/>
    <xf numFmtId="168" fontId="14" fillId="2" borderId="3" xfId="2" applyNumberFormat="1" applyFont="1" applyFill="1" applyBorder="1"/>
    <xf numFmtId="164" fontId="6" fillId="2" borderId="0" xfId="0" applyNumberFormat="1" applyFont="1" applyFill="1"/>
    <xf numFmtId="169" fontId="6" fillId="4" borderId="0" xfId="1" applyNumberFormat="1" applyFont="1" applyFill="1" applyBorder="1"/>
    <xf numFmtId="0" fontId="16" fillId="0" borderId="0" xfId="0" applyFont="1"/>
    <xf numFmtId="169" fontId="5" fillId="0" borderId="6" xfId="1" applyNumberFormat="1" applyFont="1" applyBorder="1"/>
    <xf numFmtId="172" fontId="5" fillId="0" borderId="1" xfId="0" applyNumberFormat="1" applyFont="1" applyBorder="1"/>
    <xf numFmtId="174" fontId="5" fillId="0" borderId="0" xfId="1" applyNumberFormat="1" applyFont="1"/>
    <xf numFmtId="174" fontId="0" fillId="0" borderId="0" xfId="0" applyNumberFormat="1"/>
    <xf numFmtId="174" fontId="5" fillId="0" borderId="0" xfId="0" applyNumberFormat="1" applyFont="1" applyBorder="1"/>
    <xf numFmtId="174" fontId="5" fillId="0" borderId="1" xfId="0" applyNumberFormat="1" applyFont="1" applyBorder="1"/>
    <xf numFmtId="174" fontId="5" fillId="0" borderId="0" xfId="0" applyNumberFormat="1" applyFont="1"/>
    <xf numFmtId="174" fontId="5" fillId="2" borderId="4" xfId="0" applyNumberFormat="1" applyFont="1" applyFill="1" applyBorder="1"/>
    <xf numFmtId="172" fontId="0" fillId="0" borderId="0" xfId="0" applyNumberFormat="1"/>
    <xf numFmtId="172" fontId="5" fillId="0" borderId="0" xfId="0" applyNumberFormat="1" applyFont="1" applyBorder="1"/>
    <xf numFmtId="172" fontId="5" fillId="2" borderId="4" xfId="0" applyNumberFormat="1" applyFont="1" applyFill="1" applyBorder="1"/>
    <xf numFmtId="172" fontId="4" fillId="0" borderId="1" xfId="0" applyNumberFormat="1" applyFont="1" applyBorder="1"/>
    <xf numFmtId="172" fontId="0" fillId="3" borderId="0" xfId="0" applyNumberFormat="1" applyFill="1"/>
    <xf numFmtId="172" fontId="0" fillId="3" borderId="1" xfId="0" applyNumberFormat="1" applyFill="1" applyBorder="1"/>
    <xf numFmtId="41" fontId="2" fillId="0" borderId="0" xfId="0" applyNumberFormat="1" applyFont="1"/>
    <xf numFmtId="41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41" fontId="2" fillId="0" borderId="1" xfId="0" applyNumberFormat="1" applyFont="1" applyFill="1" applyBorder="1" applyAlignment="1">
      <alignment horizontal="center"/>
    </xf>
    <xf numFmtId="41" fontId="2" fillId="0" borderId="0" xfId="0" applyNumberFormat="1" applyFont="1" applyBorder="1" applyAlignment="1">
      <alignment horizontal="center"/>
    </xf>
    <xf numFmtId="41" fontId="4" fillId="0" borderId="0" xfId="0" applyNumberFormat="1" applyFont="1" applyBorder="1" applyAlignment="1">
      <alignment horizontal="center"/>
    </xf>
    <xf numFmtId="164" fontId="4" fillId="0" borderId="0" xfId="0" applyNumberFormat="1" applyFont="1" applyBorder="1"/>
    <xf numFmtId="41" fontId="4" fillId="0" borderId="0" xfId="0" applyNumberFormat="1" applyFont="1" applyBorder="1"/>
    <xf numFmtId="41" fontId="17" fillId="0" borderId="0" xfId="0" applyNumberFormat="1" applyFont="1"/>
    <xf numFmtId="0" fontId="5" fillId="0" borderId="0" xfId="0" applyFont="1" applyAlignment="1">
      <alignment horizontal="center"/>
    </xf>
    <xf numFmtId="0" fontId="0" fillId="2" borderId="0" xfId="0" applyFill="1"/>
    <xf numFmtId="0" fontId="0" fillId="2" borderId="0" xfId="0" quotePrefix="1" applyFill="1" applyAlignment="1">
      <alignment horizontal="center"/>
    </xf>
    <xf numFmtId="10" fontId="0" fillId="0" borderId="0" xfId="0" applyNumberFormat="1" applyFill="1" applyAlignment="1">
      <alignment horizontal="center"/>
    </xf>
    <xf numFmtId="0" fontId="2" fillId="0" borderId="0" xfId="3" applyFont="1" applyFill="1" applyAlignment="1">
      <alignment horizontal="left" indent="1"/>
    </xf>
    <xf numFmtId="0" fontId="2" fillId="0" borderId="0" xfId="0" applyFont="1" applyFill="1" applyAlignment="1">
      <alignment horizontal="left" indent="1"/>
    </xf>
    <xf numFmtId="164" fontId="0" fillId="0" borderId="0" xfId="0" applyNumberFormat="1" applyFill="1"/>
    <xf numFmtId="0" fontId="2" fillId="0" borderId="0" xfId="0" applyFont="1" applyAlignment="1">
      <alignment horizontal="left" indent="1"/>
    </xf>
    <xf numFmtId="0" fontId="0" fillId="0" borderId="0" xfId="0" quotePrefix="1" applyAlignment="1">
      <alignment horizontal="center"/>
    </xf>
    <xf numFmtId="0" fontId="0" fillId="0" borderId="0" xfId="0" applyAlignment="1">
      <alignment horizontal="left" indent="1"/>
    </xf>
    <xf numFmtId="0" fontId="0" fillId="0" borderId="0" xfId="0" applyAlignment="1">
      <alignment horizontal="center"/>
    </xf>
    <xf numFmtId="164" fontId="0" fillId="5" borderId="0" xfId="0" applyNumberFormat="1" applyFill="1"/>
    <xf numFmtId="168" fontId="0" fillId="0" borderId="0" xfId="0" applyNumberFormat="1" applyAlignment="1">
      <alignment horizontal="left" indent="1"/>
    </xf>
    <xf numFmtId="168" fontId="2" fillId="0" borderId="0" xfId="0" applyNumberFormat="1" applyFont="1" applyAlignment="1">
      <alignment horizontal="left" indent="1"/>
    </xf>
    <xf numFmtId="168" fontId="0" fillId="0" borderId="0" xfId="0" applyNumberFormat="1"/>
    <xf numFmtId="168" fontId="19" fillId="0" borderId="0" xfId="0" applyNumberFormat="1" applyFont="1"/>
    <xf numFmtId="168" fontId="2" fillId="0" borderId="0" xfId="0" applyNumberFormat="1" applyFont="1" applyFill="1" applyAlignment="1">
      <alignment horizontal="left" indent="1"/>
    </xf>
    <xf numFmtId="164" fontId="2" fillId="5" borderId="0" xfId="0" applyNumberFormat="1" applyFont="1" applyFill="1"/>
    <xf numFmtId="168" fontId="5" fillId="0" borderId="0" xfId="0" applyNumberFormat="1" applyFont="1" applyFill="1" applyAlignment="1">
      <alignment horizontal="center"/>
    </xf>
    <xf numFmtId="164" fontId="2" fillId="0" borderId="0" xfId="0" applyNumberFormat="1" applyFont="1" applyFill="1"/>
    <xf numFmtId="0" fontId="5" fillId="0" borderId="0" xfId="0" applyFont="1" applyAlignment="1">
      <alignment horizontal="right"/>
    </xf>
    <xf numFmtId="0" fontId="2" fillId="0" borderId="0" xfId="0" quotePrefix="1" applyFont="1" applyAlignment="1">
      <alignment horizontal="left" indent="1"/>
    </xf>
    <xf numFmtId="0" fontId="5" fillId="0" borderId="0" xfId="0" applyFont="1" applyFill="1" applyAlignment="1">
      <alignment horizontal="center"/>
    </xf>
    <xf numFmtId="175" fontId="0" fillId="0" borderId="0" xfId="0" applyNumberFormat="1"/>
    <xf numFmtId="0" fontId="2" fillId="0" borderId="0" xfId="0" applyFont="1" applyFill="1"/>
    <xf numFmtId="176" fontId="0" fillId="2" borderId="0" xfId="0" applyNumberFormat="1" applyFill="1"/>
    <xf numFmtId="175" fontId="20" fillId="0" borderId="0" xfId="0" applyNumberFormat="1" applyFont="1" applyFill="1"/>
    <xf numFmtId="0" fontId="3" fillId="0" borderId="0" xfId="0" applyFont="1"/>
    <xf numFmtId="0" fontId="2" fillId="0" borderId="0" xfId="0" applyNumberFormat="1" applyFont="1" applyFill="1"/>
    <xf numFmtId="0" fontId="2" fillId="0" borderId="0" xfId="0" applyNumberFormat="1" applyFont="1" applyFill="1" applyAlignment="1">
      <alignment horizontal="left"/>
    </xf>
    <xf numFmtId="0" fontId="5" fillId="0" borderId="0" xfId="0" quotePrefix="1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19" fillId="0" borderId="0" xfId="0" applyFont="1" applyFill="1" applyAlignment="1">
      <alignment horizontal="center"/>
    </xf>
    <xf numFmtId="0" fontId="19" fillId="0" borderId="0" xfId="0" applyFont="1" applyFill="1"/>
    <xf numFmtId="0" fontId="5" fillId="0" borderId="0" xfId="0" applyNumberFormat="1" applyFont="1" applyFill="1" applyAlignment="1">
      <alignment horizontal="center"/>
    </xf>
    <xf numFmtId="10" fontId="2" fillId="2" borderId="0" xfId="0" applyNumberFormat="1" applyFont="1" applyFill="1"/>
    <xf numFmtId="0" fontId="2" fillId="2" borderId="0" xfId="0" applyFont="1" applyFill="1"/>
    <xf numFmtId="0" fontId="2" fillId="0" borderId="0" xfId="0" applyFont="1" applyFill="1" applyAlignment="1">
      <alignment horizontal="right"/>
    </xf>
    <xf numFmtId="10" fontId="0" fillId="0" borderId="0" xfId="0" applyNumberFormat="1" applyFill="1"/>
    <xf numFmtId="0" fontId="2" fillId="0" borderId="0" xfId="0" quotePrefix="1" applyFont="1" applyFill="1"/>
    <xf numFmtId="0" fontId="2" fillId="0" borderId="0" xfId="0" applyNumberFormat="1" applyFont="1" applyFill="1" applyAlignment="1">
      <alignment horizontal="left" indent="1"/>
    </xf>
    <xf numFmtId="0" fontId="2" fillId="2" borderId="0" xfId="0" quotePrefix="1" applyFont="1" applyFill="1"/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horizontal="center"/>
    </xf>
    <xf numFmtId="0" fontId="6" fillId="0" borderId="0" xfId="0" quotePrefix="1" applyFont="1" applyAlignment="1">
      <alignment horizontal="center" vertical="center"/>
    </xf>
    <xf numFmtId="0" fontId="0" fillId="0" borderId="0" xfId="0" applyAlignment="1">
      <alignment horizontal="center" vertical="center"/>
    </xf>
    <xf numFmtId="164" fontId="6" fillId="0" borderId="0" xfId="2" applyNumberFormat="1" applyFont="1" applyAlignment="1">
      <alignment vertical="center"/>
    </xf>
    <xf numFmtId="0" fontId="0" fillId="0" borderId="0" xfId="0" applyAlignment="1">
      <alignment vertical="center"/>
    </xf>
    <xf numFmtId="41" fontId="2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41" fontId="11" fillId="0" borderId="0" xfId="0" quotePrefix="1" applyNumberFormat="1" applyFont="1" applyAlignment="1">
      <alignment horizontal="left"/>
    </xf>
    <xf numFmtId="41" fontId="11" fillId="0" borderId="0" xfId="0" applyNumberFormat="1" applyFont="1" applyAlignment="1">
      <alignment horizontal="left"/>
    </xf>
  </cellXfs>
  <cellStyles count="157">
    <cellStyle name="Accent1 - 20%" xfId="4"/>
    <cellStyle name="Accent1 - 40%" xfId="5"/>
    <cellStyle name="Accent1 - 60%" xfId="6"/>
    <cellStyle name="Accent2 - 20%" xfId="7"/>
    <cellStyle name="Accent2 - 40%" xfId="8"/>
    <cellStyle name="Accent2 - 60%" xfId="9"/>
    <cellStyle name="Accent3 - 20%" xfId="10"/>
    <cellStyle name="Accent3 - 40%" xfId="11"/>
    <cellStyle name="Accent3 - 60%" xfId="12"/>
    <cellStyle name="Accent4 - 20%" xfId="13"/>
    <cellStyle name="Accent4 - 40%" xfId="14"/>
    <cellStyle name="Accent4 - 60%" xfId="15"/>
    <cellStyle name="Accent5 - 20%" xfId="16"/>
    <cellStyle name="Accent5 - 40%" xfId="17"/>
    <cellStyle name="Accent5 - 60%" xfId="18"/>
    <cellStyle name="Accent6 - 20%" xfId="19"/>
    <cellStyle name="Accent6 - 40%" xfId="20"/>
    <cellStyle name="Accent6 - 60%" xfId="21"/>
    <cellStyle name="Comma" xfId="1" builtinId="3"/>
    <cellStyle name="Comma 2" xfId="22"/>
    <cellStyle name="Comma 2 2" xfId="23"/>
    <cellStyle name="Comma 2 2 2" xfId="24"/>
    <cellStyle name="Comma 2 3" xfId="25"/>
    <cellStyle name="Comma 2 4" xfId="26"/>
    <cellStyle name="Comma 3" xfId="27"/>
    <cellStyle name="Comma 3 2" xfId="28"/>
    <cellStyle name="Comma 4" xfId="29"/>
    <cellStyle name="Comma 5" xfId="30"/>
    <cellStyle name="Comma 8" xfId="31"/>
    <cellStyle name="Currency 2" xfId="32"/>
    <cellStyle name="Currency 3" xfId="33"/>
    <cellStyle name="Emphasis 1" xfId="34"/>
    <cellStyle name="Emphasis 2" xfId="35"/>
    <cellStyle name="Emphasis 3" xfId="36"/>
    <cellStyle name="Normal" xfId="0" builtinId="0"/>
    <cellStyle name="Normal 10" xfId="37"/>
    <cellStyle name="Normal 10 6" xfId="38"/>
    <cellStyle name="Normal 12" xfId="39"/>
    <cellStyle name="Normal 13" xfId="40"/>
    <cellStyle name="Normal 14" xfId="41"/>
    <cellStyle name="Normal 15" xfId="42"/>
    <cellStyle name="Normal 16" xfId="43"/>
    <cellStyle name="Normal 2" xfId="3"/>
    <cellStyle name="Normal 2 2" xfId="44"/>
    <cellStyle name="Normal 2 2 2" xfId="45"/>
    <cellStyle name="Normal 2 3" xfId="46"/>
    <cellStyle name="Normal 2 3 2" xfId="47"/>
    <cellStyle name="Normal 2 4" xfId="48"/>
    <cellStyle name="Normal 2 4 2" xfId="49"/>
    <cellStyle name="Normal 2 5" xfId="50"/>
    <cellStyle name="Normal 2 6" xfId="51"/>
    <cellStyle name="Normal 2 6 2" xfId="52"/>
    <cellStyle name="Normal 2 6 2 2" xfId="53"/>
    <cellStyle name="Normal 2 6 2 2 2" xfId="54"/>
    <cellStyle name="Normal 2 6 2 3" xfId="55"/>
    <cellStyle name="Normal 2 6 2 3 2" xfId="56"/>
    <cellStyle name="Normal 2 6 2 4" xfId="57"/>
    <cellStyle name="Normal 2 6 2 4 2" xfId="58"/>
    <cellStyle name="Normal 2 6 2 5" xfId="59"/>
    <cellStyle name="Normal 2 6 2 6" xfId="60"/>
    <cellStyle name="Normal 2 6 3" xfId="61"/>
    <cellStyle name="Normal 2 6 3 2" xfId="62"/>
    <cellStyle name="Normal 2 6 4" xfId="63"/>
    <cellStyle name="Normal 2 6 4 2" xfId="64"/>
    <cellStyle name="Normal 2 6 5" xfId="65"/>
    <cellStyle name="Normal 2 6 5 2" xfId="66"/>
    <cellStyle name="Normal 2 6 6" xfId="67"/>
    <cellStyle name="Normal 2 6 6 2" xfId="68"/>
    <cellStyle name="Normal 2 6 7" xfId="69"/>
    <cellStyle name="Normal 2 6 8" xfId="70"/>
    <cellStyle name="Normal 2 7" xfId="71"/>
    <cellStyle name="Normal 3" xfId="72"/>
    <cellStyle name="Normal 3 2" xfId="73"/>
    <cellStyle name="Normal 3 2 2" xfId="74"/>
    <cellStyle name="Normal 4" xfId="75"/>
    <cellStyle name="Normal 4 2" xfId="76"/>
    <cellStyle name="Normal 5" xfId="77"/>
    <cellStyle name="Normal 5 2" xfId="78"/>
    <cellStyle name="Normal 6" xfId="79"/>
    <cellStyle name="Normal 6 2" xfId="80"/>
    <cellStyle name="Normal 6 2 2" xfId="81"/>
    <cellStyle name="Normal 6 2 2 2" xfId="82"/>
    <cellStyle name="Normal 6 2 3" xfId="83"/>
    <cellStyle name="Normal 6 2 3 2" xfId="84"/>
    <cellStyle name="Normal 6 2 4" xfId="85"/>
    <cellStyle name="Normal 6 2 4 2" xfId="86"/>
    <cellStyle name="Normal 6 2 5" xfId="87"/>
    <cellStyle name="Normal 6 2 6" xfId="88"/>
    <cellStyle name="Normal 6 3" xfId="89"/>
    <cellStyle name="Normal 6 3 2" xfId="90"/>
    <cellStyle name="Normal 6 4" xfId="91"/>
    <cellStyle name="Normal 6 4 2" xfId="92"/>
    <cellStyle name="Normal 6 5" xfId="93"/>
    <cellStyle name="Normal 6 5 2" xfId="94"/>
    <cellStyle name="Normal 6 6" xfId="95"/>
    <cellStyle name="Normal 6 6 2" xfId="96"/>
    <cellStyle name="Normal 6 7" xfId="97"/>
    <cellStyle name="Normal 6 8" xfId="98"/>
    <cellStyle name="Normal 7" xfId="99"/>
    <cellStyle name="Normal 8" xfId="100"/>
    <cellStyle name="Normal 9" xfId="101"/>
    <cellStyle name="Percent" xfId="2" builtinId="5"/>
    <cellStyle name="Percent 2" xfId="102"/>
    <cellStyle name="Percent 3" xfId="103"/>
    <cellStyle name="Percent 3 2" xfId="104"/>
    <cellStyle name="Percent 3 3" xfId="105"/>
    <cellStyle name="Percent 4" xfId="106"/>
    <cellStyle name="Percent 5" xfId="107"/>
    <cellStyle name="SAPBEXaggData" xfId="108"/>
    <cellStyle name="SAPBEXaggDataEmph" xfId="109"/>
    <cellStyle name="SAPBEXaggItem" xfId="110"/>
    <cellStyle name="SAPBEXaggItemX" xfId="111"/>
    <cellStyle name="SAPBEXchaText" xfId="112"/>
    <cellStyle name="SAPBEXexcBad7" xfId="113"/>
    <cellStyle name="SAPBEXexcBad8" xfId="114"/>
    <cellStyle name="SAPBEXexcBad9" xfId="115"/>
    <cellStyle name="SAPBEXexcCritical4" xfId="116"/>
    <cellStyle name="SAPBEXexcCritical5" xfId="117"/>
    <cellStyle name="SAPBEXexcCritical6" xfId="118"/>
    <cellStyle name="SAPBEXexcGood1" xfId="119"/>
    <cellStyle name="SAPBEXexcGood2" xfId="120"/>
    <cellStyle name="SAPBEXexcGood3" xfId="121"/>
    <cellStyle name="SAPBEXfilterDrill" xfId="122"/>
    <cellStyle name="SAPBEXfilterItem" xfId="123"/>
    <cellStyle name="SAPBEXfilterText" xfId="124"/>
    <cellStyle name="SAPBEXformats" xfId="125"/>
    <cellStyle name="SAPBEXheaderItem" xfId="126"/>
    <cellStyle name="SAPBEXheaderText" xfId="127"/>
    <cellStyle name="SAPBEXHLevel0" xfId="128"/>
    <cellStyle name="SAPBEXHLevel0 2" xfId="129"/>
    <cellStyle name="SAPBEXHLevel0X" xfId="130"/>
    <cellStyle name="SAPBEXHLevel0X 2" xfId="131"/>
    <cellStyle name="SAPBEXHLevel1" xfId="132"/>
    <cellStyle name="SAPBEXHLevel1 2" xfId="133"/>
    <cellStyle name="SAPBEXHLevel1X" xfId="134"/>
    <cellStyle name="SAPBEXHLevel1X 2" xfId="135"/>
    <cellStyle name="SAPBEXHLevel2" xfId="136"/>
    <cellStyle name="SAPBEXHLevel2 2" xfId="137"/>
    <cellStyle name="SAPBEXHLevel2X" xfId="138"/>
    <cellStyle name="SAPBEXHLevel2X 2" xfId="139"/>
    <cellStyle name="SAPBEXHLevel3" xfId="140"/>
    <cellStyle name="SAPBEXHLevel3 2" xfId="141"/>
    <cellStyle name="SAPBEXHLevel3X" xfId="142"/>
    <cellStyle name="SAPBEXHLevel3X 2" xfId="143"/>
    <cellStyle name="SAPBEXinputData" xfId="144"/>
    <cellStyle name="SAPBEXinputData 2" xfId="145"/>
    <cellStyle name="SAPBEXresData" xfId="146"/>
    <cellStyle name="SAPBEXresDataEmph" xfId="147"/>
    <cellStyle name="SAPBEXresItem" xfId="148"/>
    <cellStyle name="SAPBEXresItemX" xfId="149"/>
    <cellStyle name="SAPBEXstdData" xfId="150"/>
    <cellStyle name="SAPBEXstdDataEmph" xfId="151"/>
    <cellStyle name="SAPBEXstdItem" xfId="152"/>
    <cellStyle name="SAPBEXstdItemX" xfId="153"/>
    <cellStyle name="SAPBEXtitle" xfId="154"/>
    <cellStyle name="SAPBEXundefined" xfId="155"/>
    <cellStyle name="Sheet Title" xfId="15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Tax/FERC/FERC%20Formula/FERC%20TO8/092413_TO8_Jan0114_SettlementFormula%20as%20filed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eading"/>
      <sheetName val="Contents"/>
      <sheetName val="Overview"/>
      <sheetName val="1-BaseTRR"/>
      <sheetName val="2-IFPTRR"/>
      <sheetName val="3-TrueUpAdjust"/>
      <sheetName val="4-TUTRR"/>
      <sheetName val="5-ROR-1"/>
      <sheetName val="5-ROR-2"/>
      <sheetName val="6-PlantInService"/>
      <sheetName val="7-PlantStudy"/>
      <sheetName val="8-AccDep"/>
      <sheetName val="9-ADIT"/>
      <sheetName val="10-CWIP"/>
      <sheetName val="11-PHFU"/>
      <sheetName val="12-AbandonedPlant"/>
      <sheetName val="13-WorkCap"/>
      <sheetName val="14-IncentivePlant"/>
      <sheetName val="15-IncentiveAdder"/>
      <sheetName val="16-PlantAdditions"/>
      <sheetName val="17-Depreciation"/>
      <sheetName val="18-DepRates"/>
      <sheetName val="19-OandM"/>
      <sheetName val="20-AandG"/>
      <sheetName val="21-RevenueCredits"/>
      <sheetName val="22-NUCs"/>
      <sheetName val="23-RegAssets"/>
      <sheetName val="24-CWIPTRR"/>
      <sheetName val="25-WholesaleDifference"/>
      <sheetName val="26-TaxRates"/>
      <sheetName val="27-Allocators"/>
      <sheetName val="28-FFU"/>
      <sheetName val="29-WholesaleTRRs"/>
      <sheetName val="30-WholesaleRates"/>
      <sheetName val="31-HVLV"/>
      <sheetName val="32-GrossLoad"/>
      <sheetName val="33-RetailRates"/>
      <sheetName val="34-UnfundedReserves"/>
      <sheetName val="35-PBOPs"/>
    </sheetNames>
    <sheetDataSet>
      <sheetData sheetId="0"/>
      <sheetData sheetId="1"/>
      <sheetData sheetId="2"/>
      <sheetData sheetId="3">
        <row r="52">
          <cell r="A52">
            <v>30</v>
          </cell>
          <cell r="K52">
            <v>143480346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9"/>
  <sheetViews>
    <sheetView tabSelected="1" zoomScaleNormal="100" workbookViewId="0"/>
  </sheetViews>
  <sheetFormatPr defaultRowHeight="12.75" x14ac:dyDescent="0.2"/>
  <cols>
    <col min="1" max="1" width="4.7109375" customWidth="1"/>
    <col min="2" max="2" width="3.7109375" customWidth="1"/>
    <col min="3" max="3" width="18.7109375" customWidth="1"/>
    <col min="4" max="4" width="14.7109375" customWidth="1"/>
    <col min="5" max="5" width="45.7109375" customWidth="1"/>
    <col min="6" max="6" width="12.140625" bestFit="1" customWidth="1"/>
  </cols>
  <sheetData>
    <row r="1" spans="1:5" x14ac:dyDescent="0.2">
      <c r="A1" s="8" t="s">
        <v>171</v>
      </c>
    </row>
    <row r="3" spans="1:5" x14ac:dyDescent="0.2">
      <c r="B3" s="8" t="s">
        <v>172</v>
      </c>
      <c r="E3" s="116" t="s">
        <v>173</v>
      </c>
    </row>
    <row r="4" spans="1:5" x14ac:dyDescent="0.2">
      <c r="D4" s="115" t="s">
        <v>174</v>
      </c>
    </row>
    <row r="5" spans="1:5" x14ac:dyDescent="0.2">
      <c r="C5" s="115" t="s">
        <v>175</v>
      </c>
      <c r="D5" s="115" t="s">
        <v>176</v>
      </c>
    </row>
    <row r="6" spans="1:5" x14ac:dyDescent="0.2">
      <c r="A6" s="41" t="s">
        <v>177</v>
      </c>
      <c r="C6" s="41" t="s">
        <v>178</v>
      </c>
      <c r="D6" s="41" t="s">
        <v>179</v>
      </c>
      <c r="E6" s="41" t="s">
        <v>180</v>
      </c>
    </row>
    <row r="7" spans="1:5" x14ac:dyDescent="0.2">
      <c r="A7" s="115">
        <v>1</v>
      </c>
      <c r="C7" s="117">
        <v>2013</v>
      </c>
      <c r="D7" s="118">
        <f>D71</f>
        <v>0.35</v>
      </c>
      <c r="E7" s="119" t="s">
        <v>181</v>
      </c>
    </row>
    <row r="8" spans="1:5" x14ac:dyDescent="0.2">
      <c r="A8" s="115">
        <f>A7+1</f>
        <v>2</v>
      </c>
      <c r="E8" s="120"/>
    </row>
    <row r="9" spans="1:5" x14ac:dyDescent="0.2">
      <c r="A9" s="115">
        <f t="shared" ref="A9:A58" si="0">A8+1</f>
        <v>3</v>
      </c>
      <c r="B9" s="8" t="s">
        <v>182</v>
      </c>
    </row>
    <row r="10" spans="1:5" x14ac:dyDescent="0.2">
      <c r="A10" s="115">
        <f t="shared" si="0"/>
        <v>4</v>
      </c>
      <c r="B10" s="8"/>
      <c r="D10" s="115"/>
    </row>
    <row r="11" spans="1:5" x14ac:dyDescent="0.2">
      <c r="A11" s="115">
        <f t="shared" si="0"/>
        <v>5</v>
      </c>
      <c r="D11" s="115" t="s">
        <v>183</v>
      </c>
    </row>
    <row r="12" spans="1:5" x14ac:dyDescent="0.2">
      <c r="A12" s="115">
        <f t="shared" si="0"/>
        <v>6</v>
      </c>
      <c r="C12" s="115" t="s">
        <v>175</v>
      </c>
      <c r="D12" s="115" t="s">
        <v>176</v>
      </c>
    </row>
    <row r="13" spans="1:5" x14ac:dyDescent="0.2">
      <c r="A13" s="115">
        <f t="shared" si="0"/>
        <v>7</v>
      </c>
      <c r="C13" s="41" t="s">
        <v>178</v>
      </c>
      <c r="D13" s="41" t="s">
        <v>184</v>
      </c>
      <c r="E13" s="41" t="s">
        <v>180</v>
      </c>
    </row>
    <row r="14" spans="1:5" x14ac:dyDescent="0.2">
      <c r="A14" s="115">
        <f t="shared" si="0"/>
        <v>8</v>
      </c>
      <c r="C14" s="117">
        <v>2013</v>
      </c>
      <c r="D14" s="121">
        <f>D51</f>
        <v>8.3682363803694204E-2</v>
      </c>
      <c r="E14" s="122" t="str">
        <f>"1) See calculation below on Line "&amp;A51&amp;" based on inputs"</f>
        <v>1) See calculation below on Line 45 based on inputs</v>
      </c>
    </row>
    <row r="15" spans="1:5" x14ac:dyDescent="0.2">
      <c r="A15" s="115">
        <f t="shared" si="0"/>
        <v>9</v>
      </c>
      <c r="C15" s="123"/>
      <c r="D15" s="58"/>
      <c r="E15" s="122" t="s">
        <v>185</v>
      </c>
    </row>
    <row r="16" spans="1:5" x14ac:dyDescent="0.2">
      <c r="A16" s="115">
        <f t="shared" si="0"/>
        <v>10</v>
      </c>
      <c r="C16" s="123"/>
      <c r="D16" s="58"/>
      <c r="E16" s="122" t="s">
        <v>235</v>
      </c>
    </row>
    <row r="17" spans="1:5" x14ac:dyDescent="0.2">
      <c r="A17" s="115">
        <f t="shared" si="0"/>
        <v>11</v>
      </c>
      <c r="C17" s="125"/>
      <c r="E17" s="124"/>
    </row>
    <row r="18" spans="1:5" x14ac:dyDescent="0.2">
      <c r="A18" s="115">
        <f t="shared" si="0"/>
        <v>12</v>
      </c>
      <c r="C18" s="8" t="s">
        <v>186</v>
      </c>
      <c r="E18" s="124"/>
    </row>
    <row r="19" spans="1:5" x14ac:dyDescent="0.2">
      <c r="A19" s="115">
        <f t="shared" si="0"/>
        <v>13</v>
      </c>
      <c r="E19" s="124"/>
    </row>
    <row r="20" spans="1:5" x14ac:dyDescent="0.2">
      <c r="A20" s="115">
        <f t="shared" si="0"/>
        <v>14</v>
      </c>
      <c r="C20" s="115"/>
      <c r="D20" s="115" t="s">
        <v>0</v>
      </c>
    </row>
    <row r="21" spans="1:5" x14ac:dyDescent="0.2">
      <c r="A21" s="115">
        <f t="shared" si="0"/>
        <v>15</v>
      </c>
      <c r="C21" s="41" t="s">
        <v>25</v>
      </c>
      <c r="D21" s="41" t="s">
        <v>187</v>
      </c>
      <c r="E21" s="41" t="s">
        <v>180</v>
      </c>
    </row>
    <row r="22" spans="1:5" x14ac:dyDescent="0.2">
      <c r="A22" s="115">
        <f t="shared" si="0"/>
        <v>16</v>
      </c>
      <c r="C22" t="s">
        <v>8</v>
      </c>
      <c r="D22" s="126">
        <v>0.94277200000000005</v>
      </c>
      <c r="E22" s="127" t="s">
        <v>188</v>
      </c>
    </row>
    <row r="23" spans="1:5" x14ac:dyDescent="0.2">
      <c r="A23" s="115">
        <f t="shared" si="0"/>
        <v>17</v>
      </c>
      <c r="C23" t="s">
        <v>9</v>
      </c>
      <c r="D23" s="126">
        <v>7.3769999999999999E-3</v>
      </c>
      <c r="E23" s="128"/>
    </row>
    <row r="24" spans="1:5" x14ac:dyDescent="0.2">
      <c r="A24" s="115">
        <f t="shared" si="0"/>
        <v>18</v>
      </c>
      <c r="C24" t="s">
        <v>10</v>
      </c>
      <c r="D24" s="126">
        <v>2.1125999999999999E-2</v>
      </c>
      <c r="E24" s="129"/>
    </row>
    <row r="25" spans="1:5" x14ac:dyDescent="0.2">
      <c r="A25" s="115">
        <f t="shared" si="0"/>
        <v>19</v>
      </c>
      <c r="C25" t="s">
        <v>11</v>
      </c>
      <c r="D25" s="126">
        <v>3.9999999999999998E-6</v>
      </c>
      <c r="E25" s="130"/>
    </row>
    <row r="26" spans="1:5" x14ac:dyDescent="0.2">
      <c r="A26" s="115">
        <f t="shared" si="0"/>
        <v>20</v>
      </c>
      <c r="D26" s="121"/>
      <c r="E26" s="130"/>
    </row>
    <row r="27" spans="1:5" x14ac:dyDescent="0.2">
      <c r="A27" s="115">
        <f t="shared" si="0"/>
        <v>21</v>
      </c>
      <c r="D27" s="115" t="s">
        <v>21</v>
      </c>
    </row>
    <row r="28" spans="1:5" x14ac:dyDescent="0.2">
      <c r="A28" s="115">
        <f t="shared" si="0"/>
        <v>22</v>
      </c>
      <c r="C28" s="41" t="s">
        <v>25</v>
      </c>
      <c r="D28" s="41" t="s">
        <v>189</v>
      </c>
    </row>
    <row r="29" spans="1:5" x14ac:dyDescent="0.2">
      <c r="A29" s="115">
        <f t="shared" si="0"/>
        <v>23</v>
      </c>
      <c r="C29" t="s">
        <v>8</v>
      </c>
      <c r="D29" s="126">
        <v>8.8400000000000006E-2</v>
      </c>
      <c r="E29" s="128" t="s">
        <v>190</v>
      </c>
    </row>
    <row r="30" spans="1:5" x14ac:dyDescent="0.2">
      <c r="A30" s="115">
        <f t="shared" si="0"/>
        <v>24</v>
      </c>
      <c r="C30" t="s">
        <v>9</v>
      </c>
      <c r="D30" s="126">
        <v>7.5999999999999998E-2</v>
      </c>
      <c r="E30" s="131" t="s">
        <v>191</v>
      </c>
    </row>
    <row r="31" spans="1:5" x14ac:dyDescent="0.2">
      <c r="A31" s="115">
        <f t="shared" si="0"/>
        <v>25</v>
      </c>
      <c r="C31" t="s">
        <v>10</v>
      </c>
      <c r="D31" s="126">
        <v>6.9680000000000006E-2</v>
      </c>
    </row>
    <row r="32" spans="1:5" x14ac:dyDescent="0.2">
      <c r="A32" s="115">
        <f t="shared" si="0"/>
        <v>26</v>
      </c>
      <c r="C32" t="s">
        <v>11</v>
      </c>
      <c r="D32" s="132">
        <v>9.9750000000000005E-2</v>
      </c>
    </row>
    <row r="33" spans="1:5" x14ac:dyDescent="0.2">
      <c r="A33" s="115">
        <f t="shared" si="0"/>
        <v>27</v>
      </c>
    </row>
    <row r="34" spans="1:5" x14ac:dyDescent="0.2">
      <c r="A34" s="115">
        <f t="shared" si="0"/>
        <v>28</v>
      </c>
      <c r="D34" s="115" t="s">
        <v>192</v>
      </c>
    </row>
    <row r="35" spans="1:5" x14ac:dyDescent="0.2">
      <c r="A35" s="115">
        <f t="shared" si="0"/>
        <v>29</v>
      </c>
      <c r="D35" s="115" t="s">
        <v>193</v>
      </c>
    </row>
    <row r="36" spans="1:5" x14ac:dyDescent="0.2">
      <c r="A36" s="115">
        <f t="shared" si="0"/>
        <v>30</v>
      </c>
      <c r="D36" s="133" t="s">
        <v>194</v>
      </c>
    </row>
    <row r="37" spans="1:5" x14ac:dyDescent="0.2">
      <c r="A37" s="115">
        <f t="shared" si="0"/>
        <v>31</v>
      </c>
      <c r="D37" s="115" t="s">
        <v>8</v>
      </c>
    </row>
    <row r="38" spans="1:5" x14ac:dyDescent="0.2">
      <c r="A38" s="115">
        <f t="shared" si="0"/>
        <v>32</v>
      </c>
      <c r="C38" s="41" t="s">
        <v>25</v>
      </c>
      <c r="D38" s="41" t="s">
        <v>195</v>
      </c>
    </row>
    <row r="39" spans="1:5" x14ac:dyDescent="0.2">
      <c r="A39" s="115">
        <f t="shared" si="0"/>
        <v>33</v>
      </c>
      <c r="C39" t="s">
        <v>8</v>
      </c>
      <c r="D39" s="126">
        <v>1</v>
      </c>
      <c r="E39" s="131" t="s">
        <v>196</v>
      </c>
    </row>
    <row r="40" spans="1:5" x14ac:dyDescent="0.2">
      <c r="A40" s="115">
        <f t="shared" si="0"/>
        <v>34</v>
      </c>
      <c r="C40" t="s">
        <v>9</v>
      </c>
      <c r="D40" s="126">
        <v>-1.222648</v>
      </c>
      <c r="E40" s="58" t="s">
        <v>197</v>
      </c>
    </row>
    <row r="41" spans="1:5" x14ac:dyDescent="0.2">
      <c r="A41" s="115">
        <f t="shared" si="0"/>
        <v>35</v>
      </c>
      <c r="C41" t="s">
        <v>10</v>
      </c>
      <c r="D41" s="126">
        <v>0.697465</v>
      </c>
    </row>
    <row r="42" spans="1:5" x14ac:dyDescent="0.2">
      <c r="A42" s="115">
        <f t="shared" si="0"/>
        <v>36</v>
      </c>
      <c r="C42" t="s">
        <v>11</v>
      </c>
      <c r="D42" s="132">
        <v>0.22292100000000001</v>
      </c>
    </row>
    <row r="43" spans="1:5" x14ac:dyDescent="0.2">
      <c r="A43" s="115">
        <f t="shared" si="0"/>
        <v>37</v>
      </c>
      <c r="D43" s="134"/>
    </row>
    <row r="44" spans="1:5" x14ac:dyDescent="0.2">
      <c r="A44" s="115">
        <f t="shared" si="0"/>
        <v>38</v>
      </c>
      <c r="D44" s="115" t="s">
        <v>23</v>
      </c>
    </row>
    <row r="45" spans="1:5" x14ac:dyDescent="0.2">
      <c r="A45" s="115">
        <f t="shared" si="0"/>
        <v>39</v>
      </c>
      <c r="C45" s="41" t="s">
        <v>25</v>
      </c>
      <c r="D45" s="41" t="s">
        <v>26</v>
      </c>
    </row>
    <row r="46" spans="1:5" x14ac:dyDescent="0.2">
      <c r="A46" s="115">
        <f t="shared" si="0"/>
        <v>40</v>
      </c>
      <c r="C46" t="s">
        <v>8</v>
      </c>
      <c r="D46" s="121">
        <f>D22*D29*D39</f>
        <v>8.3341044800000014E-2</v>
      </c>
      <c r="E46" s="122" t="str">
        <f>"Line "&amp;A22&amp;" * Line "&amp;A29&amp;" * Line "&amp;A39&amp;""</f>
        <v>Line 16 * Line 23 * Line 33</v>
      </c>
    </row>
    <row r="47" spans="1:5" x14ac:dyDescent="0.2">
      <c r="A47" s="115">
        <f t="shared" si="0"/>
        <v>41</v>
      </c>
      <c r="C47" t="s">
        <v>9</v>
      </c>
      <c r="D47" s="121">
        <f>D23*D30*D40</f>
        <v>-6.8548004649600001E-4</v>
      </c>
      <c r="E47" s="122" t="str">
        <f>"Line "&amp;A23&amp;" * Line "&amp;A30&amp;" * Line "&amp;A40&amp;""</f>
        <v>Line 17 * Line 24 * Line 34</v>
      </c>
    </row>
    <row r="48" spans="1:5" x14ac:dyDescent="0.2">
      <c r="A48" s="115">
        <f t="shared" si="0"/>
        <v>42</v>
      </c>
      <c r="C48" t="s">
        <v>10</v>
      </c>
      <c r="D48" s="121">
        <f>D24*D31*D41</f>
        <v>1.0267101047112001E-3</v>
      </c>
      <c r="E48" s="122" t="str">
        <f>"Line "&amp;A24&amp;" * Line "&amp;A31&amp;" * Line "&amp;A41&amp;""</f>
        <v>Line 18 * Line 25 * Line 35</v>
      </c>
    </row>
    <row r="49" spans="1:9" x14ac:dyDescent="0.2">
      <c r="A49" s="115">
        <f t="shared" si="0"/>
        <v>43</v>
      </c>
      <c r="C49" t="s">
        <v>11</v>
      </c>
      <c r="D49" s="121">
        <f>D25*D32*D42</f>
        <v>8.894547900000001E-8</v>
      </c>
      <c r="E49" s="122" t="str">
        <f>"Line "&amp;A25&amp;" * Line "&amp;A32&amp;" * Line "&amp;A42&amp;""</f>
        <v>Line 19 * Line 26 * Line 36</v>
      </c>
    </row>
    <row r="50" spans="1:9" x14ac:dyDescent="0.2">
      <c r="A50" s="115">
        <f t="shared" si="0"/>
        <v>44</v>
      </c>
      <c r="C50" s="135" t="s">
        <v>183</v>
      </c>
    </row>
    <row r="51" spans="1:9" x14ac:dyDescent="0.2">
      <c r="A51" s="115">
        <f t="shared" si="0"/>
        <v>45</v>
      </c>
      <c r="C51" s="135" t="s">
        <v>198</v>
      </c>
      <c r="D51" s="134">
        <f>SUM(D46:D49)</f>
        <v>8.3682363803694204E-2</v>
      </c>
      <c r="E51" s="122" t="str">
        <f>"Sum of Lines "&amp;A46&amp;" to "&amp;A49&amp;""</f>
        <v>Sum of Lines 40 to 43</v>
      </c>
    </row>
    <row r="52" spans="1:9" x14ac:dyDescent="0.2">
      <c r="A52" s="115">
        <f t="shared" si="0"/>
        <v>46</v>
      </c>
      <c r="E52" s="122"/>
    </row>
    <row r="53" spans="1:9" ht="12.75" customHeight="1" x14ac:dyDescent="0.2">
      <c r="A53" s="115">
        <f t="shared" si="0"/>
        <v>47</v>
      </c>
      <c r="B53" s="8" t="s">
        <v>199</v>
      </c>
      <c r="E53" s="124"/>
    </row>
    <row r="54" spans="1:9" ht="12.75" customHeight="1" x14ac:dyDescent="0.2">
      <c r="A54" s="115">
        <f t="shared" si="0"/>
        <v>48</v>
      </c>
      <c r="E54" s="136"/>
      <c r="F54" s="41" t="s">
        <v>200</v>
      </c>
    </row>
    <row r="55" spans="1:9" ht="12.75" customHeight="1" x14ac:dyDescent="0.2">
      <c r="A55" s="137">
        <f t="shared" si="0"/>
        <v>49</v>
      </c>
      <c r="B55" s="58"/>
      <c r="C55" s="58" t="str">
        <f>"Total Electric Payroll Tax Expense (From 1-BaseTRR, Line "&amp;'[1]1-BaseTRR'!A52&amp;")"</f>
        <v>Total Electric Payroll Tax Expense (From 1-BaseTRR, Line 30)</v>
      </c>
      <c r="D55" s="58"/>
      <c r="E55" s="58"/>
      <c r="F55" s="138">
        <f>'[1]1-BaseTRR'!K52</f>
        <v>143480346</v>
      </c>
      <c r="G55" s="68"/>
    </row>
    <row r="56" spans="1:9" ht="12.75" customHeight="1" x14ac:dyDescent="0.2">
      <c r="A56" s="137">
        <f t="shared" si="0"/>
        <v>50</v>
      </c>
      <c r="B56" s="58"/>
      <c r="C56" s="139" t="s">
        <v>201</v>
      </c>
      <c r="D56" s="58"/>
      <c r="E56" s="58"/>
      <c r="F56" s="140">
        <v>0.377</v>
      </c>
      <c r="G56" s="68"/>
    </row>
    <row r="57" spans="1:9" ht="12.75" customHeight="1" x14ac:dyDescent="0.2">
      <c r="A57" s="137">
        <f t="shared" si="0"/>
        <v>51</v>
      </c>
      <c r="B57" s="58"/>
      <c r="C57" s="139" t="str">
        <f>"Capitalized Overhead portion of Electric Payroll Tax Expense (Line "&amp;A55&amp;" * Line "&amp;A56&amp;")"</f>
        <v>Capitalized Overhead portion of Electric Payroll Tax Expense (Line 49 * Line 50)</v>
      </c>
      <c r="D57" s="58"/>
      <c r="E57" s="58"/>
      <c r="F57" s="141">
        <f>F55*F56</f>
        <v>54092090.442000002</v>
      </c>
      <c r="G57" s="139"/>
      <c r="H57" s="58"/>
      <c r="I57" s="139"/>
    </row>
    <row r="58" spans="1:9" x14ac:dyDescent="0.2">
      <c r="A58" s="137">
        <f t="shared" si="0"/>
        <v>52</v>
      </c>
      <c r="B58" s="58"/>
      <c r="C58" s="139" t="str">
        <f>"Non-Capitalized Overhead portion of Electric Payroll Tax Expense (Line "&amp;A55&amp;" - Line "&amp;A57&amp;")"</f>
        <v>Non-Capitalized Overhead portion of Electric Payroll Tax Expense (Line 49 - Line 51)</v>
      </c>
      <c r="D58" s="58"/>
      <c r="E58" s="58"/>
      <c r="F58" s="138">
        <f>F55-F57</f>
        <v>89388255.557999998</v>
      </c>
      <c r="G58" s="68"/>
      <c r="H58" s="58"/>
    </row>
    <row r="60" spans="1:9" x14ac:dyDescent="0.2">
      <c r="B60" s="142" t="s">
        <v>202</v>
      </c>
    </row>
    <row r="61" spans="1:9" x14ac:dyDescent="0.2">
      <c r="B61" s="143" t="s">
        <v>203</v>
      </c>
    </row>
    <row r="62" spans="1:9" x14ac:dyDescent="0.2">
      <c r="B62" s="143" t="s">
        <v>204</v>
      </c>
    </row>
    <row r="63" spans="1:9" x14ac:dyDescent="0.2">
      <c r="B63" s="68" t="s">
        <v>205</v>
      </c>
    </row>
    <row r="64" spans="1:9" x14ac:dyDescent="0.2">
      <c r="B64" s="144" t="s">
        <v>206</v>
      </c>
    </row>
    <row r="65" spans="2:6" x14ac:dyDescent="0.2">
      <c r="B65" s="144"/>
      <c r="C65" s="139" t="s">
        <v>207</v>
      </c>
      <c r="D65" s="58"/>
    </row>
    <row r="66" spans="2:6" x14ac:dyDescent="0.2">
      <c r="B66" s="144"/>
      <c r="C66" s="139"/>
      <c r="D66" s="58"/>
    </row>
    <row r="67" spans="2:6" x14ac:dyDescent="0.2">
      <c r="B67" s="144"/>
      <c r="C67" s="145" t="s">
        <v>208</v>
      </c>
      <c r="D67" s="145" t="s">
        <v>209</v>
      </c>
    </row>
    <row r="68" spans="2:6" x14ac:dyDescent="0.2">
      <c r="B68" s="146"/>
      <c r="C68" s="147" t="s">
        <v>210</v>
      </c>
      <c r="D68" s="147" t="s">
        <v>211</v>
      </c>
      <c r="E68" s="148" t="s">
        <v>212</v>
      </c>
      <c r="F68" s="58"/>
    </row>
    <row r="69" spans="2:6" x14ac:dyDescent="0.2">
      <c r="B69" s="149" t="s">
        <v>213</v>
      </c>
      <c r="C69" s="150">
        <v>0.35</v>
      </c>
      <c r="D69" s="116">
        <v>365</v>
      </c>
      <c r="E69" s="139" t="s">
        <v>214</v>
      </c>
      <c r="F69" s="58"/>
    </row>
    <row r="70" spans="2:6" x14ac:dyDescent="0.2">
      <c r="B70" s="149" t="s">
        <v>215</v>
      </c>
      <c r="C70" s="151"/>
      <c r="D70" s="116"/>
      <c r="E70" s="139" t="s">
        <v>216</v>
      </c>
      <c r="F70" s="58"/>
    </row>
    <row r="71" spans="2:6" x14ac:dyDescent="0.2">
      <c r="B71" s="149" t="s">
        <v>217</v>
      </c>
      <c r="C71" s="152" t="s">
        <v>218</v>
      </c>
      <c r="D71" s="153">
        <f>((C69*D69)+(C70*D70))/365</f>
        <v>0.35</v>
      </c>
      <c r="E71" s="154" t="s">
        <v>219</v>
      </c>
      <c r="F71" s="58"/>
    </row>
    <row r="72" spans="2:6" x14ac:dyDescent="0.2">
      <c r="B72" s="144" t="s">
        <v>220</v>
      </c>
      <c r="C72" s="58"/>
      <c r="D72" s="116" t="s">
        <v>221</v>
      </c>
      <c r="E72" s="116"/>
      <c r="F72" s="116"/>
    </row>
    <row r="73" spans="2:6" x14ac:dyDescent="0.2">
      <c r="B73" s="144" t="s">
        <v>222</v>
      </c>
      <c r="C73" s="58"/>
      <c r="D73" s="58"/>
      <c r="E73" s="58"/>
      <c r="F73" s="58"/>
    </row>
    <row r="74" spans="2:6" x14ac:dyDescent="0.2">
      <c r="B74" s="155" t="s">
        <v>223</v>
      </c>
      <c r="C74" s="58"/>
      <c r="D74" s="116" t="s">
        <v>224</v>
      </c>
      <c r="E74" s="116"/>
      <c r="F74" s="116"/>
    </row>
    <row r="75" spans="2:6" x14ac:dyDescent="0.2">
      <c r="B75" s="155" t="s">
        <v>225</v>
      </c>
      <c r="C75" s="58"/>
      <c r="D75" s="151" t="s">
        <v>226</v>
      </c>
      <c r="E75" s="116"/>
      <c r="F75" s="116"/>
    </row>
    <row r="76" spans="2:6" x14ac:dyDescent="0.2">
      <c r="B76" s="155" t="s">
        <v>227</v>
      </c>
      <c r="C76" s="58"/>
      <c r="D76" s="151" t="s">
        <v>228</v>
      </c>
      <c r="E76" s="116"/>
      <c r="F76" s="116"/>
    </row>
    <row r="77" spans="2:6" x14ac:dyDescent="0.2">
      <c r="B77" s="155" t="s">
        <v>229</v>
      </c>
      <c r="C77" s="58"/>
      <c r="D77" s="151" t="s">
        <v>230</v>
      </c>
      <c r="E77" s="116"/>
      <c r="F77" s="116"/>
    </row>
    <row r="78" spans="2:6" x14ac:dyDescent="0.2">
      <c r="B78" s="139" t="s">
        <v>231</v>
      </c>
      <c r="C78" s="58"/>
      <c r="D78" s="58"/>
      <c r="E78" s="151" t="s">
        <v>232</v>
      </c>
    </row>
    <row r="79" spans="2:6" x14ac:dyDescent="0.2">
      <c r="B79" s="120" t="s">
        <v>233</v>
      </c>
      <c r="C79" s="58"/>
      <c r="D79" s="58"/>
      <c r="E79" s="156" t="s">
        <v>234</v>
      </c>
    </row>
  </sheetData>
  <pageMargins left="0.75" right="0.75" top="1" bottom="1" header="0.5" footer="0.5"/>
  <pageSetup scale="75" orientation="portrait" cellComments="asDisplayed" r:id="rId1"/>
  <headerFooter alignWithMargins="0">
    <oddHeader>&amp;CSchedule 26
Tax Rates
&amp;RTO9 Draft Annual Update
Attachment 4
WP-Schedule 26
Page &amp;P of &amp;N</oddHeader>
    <oddFooter>&amp;R&amp;A</oddFooter>
  </headerFooter>
  <rowBreaks count="1" manualBreakCount="1">
    <brk id="59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7"/>
  <sheetViews>
    <sheetView zoomScaleNormal="100" zoomScaleSheetLayoutView="100" workbookViewId="0">
      <selection sqref="A1:G1"/>
    </sheetView>
  </sheetViews>
  <sheetFormatPr defaultColWidth="8.85546875" defaultRowHeight="12" x14ac:dyDescent="0.2"/>
  <cols>
    <col min="1" max="1" width="31.7109375" style="9" customWidth="1"/>
    <col min="2" max="2" width="14.140625" style="9" bestFit="1" customWidth="1"/>
    <col min="3" max="3" width="12.7109375" style="9" customWidth="1"/>
    <col min="4" max="5" width="13.28515625" style="9" customWidth="1"/>
    <col min="6" max="7" width="12.7109375" style="9" customWidth="1"/>
    <col min="8" max="8" width="4.7109375" style="9" customWidth="1"/>
    <col min="9" max="16384" width="8.85546875" style="9"/>
  </cols>
  <sheetData>
    <row r="1" spans="1:10" ht="12.75" x14ac:dyDescent="0.2">
      <c r="A1" s="158" t="s">
        <v>18</v>
      </c>
      <c r="B1" s="158"/>
      <c r="C1" s="158"/>
      <c r="D1" s="158"/>
      <c r="E1" s="158"/>
      <c r="F1" s="158"/>
      <c r="G1" s="158"/>
    </row>
    <row r="2" spans="1:10" ht="12.75" x14ac:dyDescent="0.2">
      <c r="A2" s="158" t="s">
        <v>19</v>
      </c>
      <c r="B2" s="158"/>
      <c r="C2" s="158"/>
      <c r="D2" s="158"/>
      <c r="E2" s="158"/>
      <c r="F2" s="158"/>
      <c r="G2" s="158"/>
    </row>
    <row r="3" spans="1:10" ht="12.75" x14ac:dyDescent="0.2">
      <c r="A3" s="91"/>
    </row>
    <row r="4" spans="1:10" ht="12.75" x14ac:dyDescent="0.2">
      <c r="A4" s="8"/>
    </row>
    <row r="5" spans="1:10" ht="12.75" x14ac:dyDescent="0.2">
      <c r="A5" s="8"/>
    </row>
    <row r="6" spans="1:10" x14ac:dyDescent="0.2">
      <c r="A6" s="10" t="s">
        <v>20</v>
      </c>
    </row>
    <row r="7" spans="1:10" x14ac:dyDescent="0.2">
      <c r="B7" s="60" t="s">
        <v>110</v>
      </c>
      <c r="C7" s="60" t="s">
        <v>111</v>
      </c>
      <c r="E7" s="60" t="s">
        <v>112</v>
      </c>
      <c r="F7" s="60" t="s">
        <v>113</v>
      </c>
      <c r="G7" s="60" t="s">
        <v>114</v>
      </c>
    </row>
    <row r="8" spans="1:10" x14ac:dyDescent="0.2">
      <c r="B8" s="11"/>
      <c r="C8" s="11"/>
      <c r="E8" s="12"/>
      <c r="F8" s="12"/>
      <c r="G8" s="35">
        <v>2013</v>
      </c>
    </row>
    <row r="9" spans="1:10" x14ac:dyDescent="0.2">
      <c r="B9" s="12" t="s">
        <v>21</v>
      </c>
      <c r="C9" s="12" t="s">
        <v>0</v>
      </c>
      <c r="E9" s="12" t="s">
        <v>22</v>
      </c>
      <c r="F9" s="12" t="s">
        <v>23</v>
      </c>
      <c r="G9" s="12" t="s">
        <v>24</v>
      </c>
    </row>
    <row r="10" spans="1:10" x14ac:dyDescent="0.2">
      <c r="A10" s="13" t="s">
        <v>25</v>
      </c>
      <c r="B10" s="13" t="s">
        <v>26</v>
      </c>
      <c r="C10" s="13" t="s">
        <v>7</v>
      </c>
      <c r="E10" s="13" t="s">
        <v>27</v>
      </c>
      <c r="F10" s="13" t="s">
        <v>26</v>
      </c>
      <c r="G10" s="13" t="s">
        <v>28</v>
      </c>
    </row>
    <row r="11" spans="1:10" x14ac:dyDescent="0.2">
      <c r="B11" s="14"/>
      <c r="C11" s="14"/>
    </row>
    <row r="12" spans="1:10" x14ac:dyDescent="0.2">
      <c r="A12" s="9" t="s">
        <v>8</v>
      </c>
      <c r="B12" s="15">
        <v>8.8400000000000006E-2</v>
      </c>
      <c r="C12" s="16">
        <f>+Apportionment!C57</f>
        <v>0.94277200000000005</v>
      </c>
      <c r="D12" s="9" t="s">
        <v>118</v>
      </c>
      <c r="E12" s="17">
        <f>D26</f>
        <v>1</v>
      </c>
      <c r="F12" s="18">
        <f>ROUND(B12*C12*E12,6)</f>
        <v>8.3340999999999998E-2</v>
      </c>
      <c r="G12" s="17">
        <f>F12</f>
        <v>8.3340999999999998E-2</v>
      </c>
    </row>
    <row r="13" spans="1:10" x14ac:dyDescent="0.2">
      <c r="A13" s="9" t="s">
        <v>38</v>
      </c>
      <c r="B13" s="15">
        <v>9.9750000000000005E-2</v>
      </c>
      <c r="C13" s="16">
        <f>+Apportionment!G60</f>
        <v>3.9999999999999998E-6</v>
      </c>
      <c r="D13" s="9" t="s">
        <v>119</v>
      </c>
      <c r="E13" s="17">
        <f>D38</f>
        <v>0.22292134532862132</v>
      </c>
      <c r="F13" s="18">
        <f>ROUND(B13*C13*E13,6)</f>
        <v>0</v>
      </c>
      <c r="G13" s="17">
        <f>F13</f>
        <v>0</v>
      </c>
    </row>
    <row r="14" spans="1:10" x14ac:dyDescent="0.2">
      <c r="A14" s="9" t="s">
        <v>10</v>
      </c>
      <c r="B14" s="15">
        <v>6.9680000000000006E-2</v>
      </c>
      <c r="C14" s="16">
        <f>+Apportionment!G59</f>
        <v>2.1125999999999999E-2</v>
      </c>
      <c r="D14" s="9" t="s">
        <v>120</v>
      </c>
      <c r="E14" s="17">
        <f>D30</f>
        <v>0.697464764675648</v>
      </c>
      <c r="F14" s="18">
        <f>ROUND(B14*C14*E14,6)</f>
        <v>1.0269999999999999E-3</v>
      </c>
      <c r="G14" s="17">
        <f>F14</f>
        <v>1.0269999999999999E-3</v>
      </c>
    </row>
    <row r="15" spans="1:10" x14ac:dyDescent="0.2">
      <c r="A15" s="9" t="s">
        <v>9</v>
      </c>
      <c r="B15" s="19">
        <v>7.5999999999999998E-2</v>
      </c>
      <c r="C15" s="20">
        <f>+Apportionment!G58</f>
        <v>7.3769999999999999E-3</v>
      </c>
      <c r="D15" s="9" t="s">
        <v>121</v>
      </c>
      <c r="E15" s="21">
        <f>D34</f>
        <v>-1.2226483809340081</v>
      </c>
      <c r="F15" s="22">
        <f>ROUND(B15*C15*E15,6)</f>
        <v>-6.8499999999999995E-4</v>
      </c>
      <c r="G15" s="21">
        <f>F15</f>
        <v>-6.8499999999999995E-4</v>
      </c>
      <c r="J15" s="23"/>
    </row>
    <row r="16" spans="1:10" x14ac:dyDescent="0.2">
      <c r="A16" s="9" t="s">
        <v>29</v>
      </c>
      <c r="B16" s="24"/>
      <c r="C16" s="14"/>
      <c r="F16" s="17">
        <f>SUM(F12:F15)</f>
        <v>8.3682999999999994E-2</v>
      </c>
      <c r="G16" s="89">
        <f>F16</f>
        <v>8.3682999999999994E-2</v>
      </c>
    </row>
    <row r="17" spans="1:7" x14ac:dyDescent="0.2">
      <c r="A17" s="9" t="s">
        <v>30</v>
      </c>
      <c r="B17" s="15"/>
      <c r="C17" s="14"/>
      <c r="F17" s="25"/>
      <c r="G17" s="21">
        <v>0.35</v>
      </c>
    </row>
    <row r="18" spans="1:7" x14ac:dyDescent="0.2">
      <c r="A18" s="9" t="s">
        <v>149</v>
      </c>
      <c r="G18" s="21">
        <f>-ROUND(G16*G17,6)</f>
        <v>-2.9288999999999999E-2</v>
      </c>
    </row>
    <row r="20" spans="1:7" ht="12.75" thickBot="1" x14ac:dyDescent="0.25">
      <c r="A20" s="9" t="s">
        <v>150</v>
      </c>
      <c r="G20" s="26">
        <f>G16+G17+G18</f>
        <v>0.40439399999999998</v>
      </c>
    </row>
    <row r="21" spans="1:7" ht="12.75" thickTop="1" x14ac:dyDescent="0.2">
      <c r="G21" s="9" t="s">
        <v>31</v>
      </c>
    </row>
    <row r="22" spans="1:7" ht="12.75" thickBot="1" x14ac:dyDescent="0.25">
      <c r="G22" s="88">
        <f>ROUND(G20,5)</f>
        <v>0.40439000000000003</v>
      </c>
    </row>
    <row r="23" spans="1:7" ht="12.75" thickTop="1" x14ac:dyDescent="0.2"/>
    <row r="25" spans="1:7" x14ac:dyDescent="0.2">
      <c r="B25" s="14"/>
    </row>
    <row r="26" spans="1:7" x14ac:dyDescent="0.2">
      <c r="A26" s="9" t="s">
        <v>169</v>
      </c>
      <c r="B26" s="27">
        <f>+'II - IV  Apportionment Detail'!E43</f>
        <v>644508967</v>
      </c>
      <c r="C26" s="159" t="s">
        <v>33</v>
      </c>
      <c r="D26" s="161">
        <f>B26/B27</f>
        <v>1</v>
      </c>
      <c r="E26" s="157" t="s">
        <v>122</v>
      </c>
    </row>
    <row r="27" spans="1:7" x14ac:dyDescent="0.2">
      <c r="A27" s="9" t="s">
        <v>169</v>
      </c>
      <c r="B27" s="62">
        <f>+'II - IV  Apportionment Detail'!$E$43</f>
        <v>644508967</v>
      </c>
      <c r="C27" s="160"/>
      <c r="D27" s="162"/>
      <c r="E27" s="157"/>
    </row>
    <row r="28" spans="1:7" x14ac:dyDescent="0.2">
      <c r="B28" s="27"/>
    </row>
    <row r="29" spans="1:7" x14ac:dyDescent="0.2">
      <c r="B29" s="27"/>
    </row>
    <row r="30" spans="1:7" x14ac:dyDescent="0.2">
      <c r="A30" s="9" t="s">
        <v>34</v>
      </c>
      <c r="B30" s="90">
        <f>+'II - IV  Apportionment Detail'!E6</f>
        <v>449522295</v>
      </c>
      <c r="C30" s="159" t="s">
        <v>33</v>
      </c>
      <c r="D30" s="161">
        <f>B30/B31</f>
        <v>0.697464764675648</v>
      </c>
      <c r="E30" s="157" t="s">
        <v>123</v>
      </c>
    </row>
    <row r="31" spans="1:7" ht="11.45" customHeight="1" x14ac:dyDescent="0.2">
      <c r="A31" s="9" t="s">
        <v>32</v>
      </c>
      <c r="B31" s="84">
        <f>+'II - IV  Apportionment Detail'!$E$43</f>
        <v>644508967</v>
      </c>
      <c r="C31" s="160"/>
      <c r="D31" s="162"/>
      <c r="E31" s="157"/>
    </row>
    <row r="32" spans="1:7" x14ac:dyDescent="0.2">
      <c r="B32" s="27"/>
    </row>
    <row r="33" spans="1:7" x14ac:dyDescent="0.2">
      <c r="B33" s="27"/>
    </row>
    <row r="34" spans="1:7" x14ac:dyDescent="0.2">
      <c r="A34" s="9" t="s">
        <v>35</v>
      </c>
      <c r="B34" s="90">
        <f>+'II - IV  Apportionment Detail'!E78</f>
        <v>-788007845</v>
      </c>
      <c r="C34" s="159" t="s">
        <v>33</v>
      </c>
      <c r="D34" s="161">
        <f>B34/B35</f>
        <v>-1.2226483809340081</v>
      </c>
      <c r="E34" s="157" t="s">
        <v>124</v>
      </c>
    </row>
    <row r="35" spans="1:7" ht="11.45" customHeight="1" x14ac:dyDescent="0.2">
      <c r="A35" s="9" t="s">
        <v>32</v>
      </c>
      <c r="B35" s="84">
        <f>+'II - IV  Apportionment Detail'!$E$43</f>
        <v>644508967</v>
      </c>
      <c r="C35" s="160"/>
      <c r="D35" s="162"/>
      <c r="E35" s="157"/>
    </row>
    <row r="36" spans="1:7" x14ac:dyDescent="0.2">
      <c r="B36" s="28"/>
    </row>
    <row r="37" spans="1:7" x14ac:dyDescent="0.2">
      <c r="B37" s="28"/>
    </row>
    <row r="38" spans="1:7" x14ac:dyDescent="0.2">
      <c r="A38" s="9" t="s">
        <v>39</v>
      </c>
      <c r="B38" s="90">
        <f>+'II - IV  Apportionment Detail'!E101</f>
        <v>143674806</v>
      </c>
      <c r="C38" s="159" t="s">
        <v>33</v>
      </c>
      <c r="D38" s="161">
        <f>B38/B39</f>
        <v>0.22292134532862132</v>
      </c>
      <c r="E38" s="157" t="s">
        <v>125</v>
      </c>
    </row>
    <row r="39" spans="1:7" x14ac:dyDescent="0.2">
      <c r="A39" s="9" t="s">
        <v>32</v>
      </c>
      <c r="B39" s="84">
        <f>+'II - IV  Apportionment Detail'!$E$43</f>
        <v>644508967</v>
      </c>
      <c r="C39" s="160"/>
      <c r="D39" s="162"/>
      <c r="E39" s="157"/>
    </row>
    <row r="40" spans="1:7" x14ac:dyDescent="0.2">
      <c r="B40" s="28"/>
    </row>
    <row r="41" spans="1:7" x14ac:dyDescent="0.2">
      <c r="B41" s="28"/>
    </row>
    <row r="43" spans="1:7" x14ac:dyDescent="0.2">
      <c r="A43" s="10" t="s">
        <v>36</v>
      </c>
    </row>
    <row r="45" spans="1:7" ht="12.75" x14ac:dyDescent="0.2">
      <c r="B45" s="29"/>
      <c r="C45" s="30"/>
      <c r="D45" s="29"/>
      <c r="E45" s="29"/>
      <c r="F45" s="31"/>
      <c r="G45" s="31"/>
    </row>
    <row r="46" spans="1:7" ht="12.75" x14ac:dyDescent="0.2">
      <c r="B46" s="32">
        <v>2009</v>
      </c>
      <c r="C46" s="32">
        <f>B46+1</f>
        <v>2010</v>
      </c>
      <c r="D46" s="32">
        <f>C46+1</f>
        <v>2011</v>
      </c>
      <c r="E46" s="32">
        <f>D46+1</f>
        <v>2012</v>
      </c>
      <c r="F46" s="32">
        <f>E46+1</f>
        <v>2013</v>
      </c>
      <c r="G46" s="32">
        <f>F46+1</f>
        <v>2014</v>
      </c>
    </row>
    <row r="47" spans="1:7" x14ac:dyDescent="0.2">
      <c r="A47" s="9" t="s">
        <v>37</v>
      </c>
      <c r="B47" s="33">
        <v>0.2</v>
      </c>
      <c r="C47" s="33">
        <v>0.2</v>
      </c>
      <c r="D47" s="33">
        <v>0.2</v>
      </c>
      <c r="E47" s="34">
        <v>0.2</v>
      </c>
      <c r="F47" s="34">
        <v>0.2</v>
      </c>
      <c r="G47" s="34">
        <v>0.2</v>
      </c>
    </row>
  </sheetData>
  <mergeCells count="14">
    <mergeCell ref="E38:E39"/>
    <mergeCell ref="E34:E35"/>
    <mergeCell ref="E30:E31"/>
    <mergeCell ref="E26:E27"/>
    <mergeCell ref="A1:G1"/>
    <mergeCell ref="A2:G2"/>
    <mergeCell ref="C34:C35"/>
    <mergeCell ref="D34:D35"/>
    <mergeCell ref="C38:C39"/>
    <mergeCell ref="D38:D39"/>
    <mergeCell ref="C26:C27"/>
    <mergeCell ref="D26:D27"/>
    <mergeCell ref="C30:C31"/>
    <mergeCell ref="D30:D31"/>
  </mergeCells>
  <phoneticPr fontId="9" type="noConversion"/>
  <pageMargins left="0.5" right="0.5" top="0.5" bottom="0.5" header="0.5" footer="0.25"/>
  <pageSetup scale="83" orientation="portrait" r:id="rId1"/>
  <headerFooter alignWithMargins="0">
    <oddHeader>&amp;RTO9 Draft Annual Update
Attachment 4
WP-Schedule 26
Page &amp;P of &amp;N</oddHeader>
    <oddFooter>&amp;A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8"/>
  <sheetViews>
    <sheetView zoomScaleNormal="100" workbookViewId="0">
      <selection sqref="A1:G1"/>
    </sheetView>
  </sheetViews>
  <sheetFormatPr defaultRowHeight="12.75" x14ac:dyDescent="0.2"/>
  <cols>
    <col min="1" max="1" width="24.5703125" style="2" customWidth="1"/>
    <col min="2" max="3" width="14.85546875" style="1" customWidth="1"/>
    <col min="4" max="4" width="1.7109375" style="1" customWidth="1"/>
    <col min="5" max="5" width="15.5703125" style="1" bestFit="1" customWidth="1"/>
    <col min="6" max="7" width="14.85546875" style="1" customWidth="1"/>
    <col min="8" max="8" width="14.85546875" style="2" customWidth="1"/>
    <col min="9" max="9" width="9.140625" style="2"/>
    <col min="10" max="10" width="10" style="2" bestFit="1" customWidth="1"/>
    <col min="11" max="11" width="19.28515625" style="2" bestFit="1" customWidth="1"/>
    <col min="12" max="16384" width="9.140625" style="2"/>
  </cols>
  <sheetData>
    <row r="1" spans="1:9" x14ac:dyDescent="0.2">
      <c r="A1" s="158" t="s">
        <v>18</v>
      </c>
      <c r="B1" s="158"/>
      <c r="C1" s="158"/>
      <c r="D1" s="158"/>
      <c r="E1" s="158"/>
      <c r="F1" s="158"/>
      <c r="G1" s="158"/>
      <c r="H1" s="63"/>
      <c r="I1" s="63"/>
    </row>
    <row r="2" spans="1:9" x14ac:dyDescent="0.2">
      <c r="A2" s="158" t="s">
        <v>236</v>
      </c>
      <c r="B2" s="158"/>
      <c r="C2" s="158"/>
      <c r="D2" s="158"/>
      <c r="E2" s="158"/>
      <c r="F2" s="158"/>
      <c r="G2" s="158"/>
      <c r="H2" s="63"/>
      <c r="I2" s="63"/>
    </row>
    <row r="6" spans="1:9" x14ac:dyDescent="0.2">
      <c r="A6" s="164" t="s">
        <v>69</v>
      </c>
      <c r="B6" s="164"/>
      <c r="C6" s="164"/>
      <c r="D6" s="164"/>
      <c r="E6" s="164"/>
      <c r="F6" s="164"/>
      <c r="G6" s="164"/>
    </row>
    <row r="7" spans="1:9" x14ac:dyDescent="0.2">
      <c r="B7" s="163" t="s">
        <v>8</v>
      </c>
      <c r="C7" s="163"/>
      <c r="D7" s="110"/>
      <c r="E7" s="163" t="s">
        <v>152</v>
      </c>
      <c r="F7" s="163"/>
      <c r="G7" s="163"/>
    </row>
    <row r="8" spans="1:9" x14ac:dyDescent="0.2">
      <c r="C8" s="3" t="s">
        <v>1</v>
      </c>
      <c r="D8" s="111"/>
      <c r="F8" s="106"/>
      <c r="G8" s="108" t="s">
        <v>1</v>
      </c>
    </row>
    <row r="9" spans="1:9" x14ac:dyDescent="0.2">
      <c r="B9" s="3" t="s">
        <v>2</v>
      </c>
      <c r="C9" s="3" t="s">
        <v>4</v>
      </c>
      <c r="D9" s="111"/>
      <c r="E9" s="3"/>
      <c r="F9" s="3" t="s">
        <v>2</v>
      </c>
      <c r="G9" s="107" t="s">
        <v>4</v>
      </c>
    </row>
    <row r="10" spans="1:9" x14ac:dyDescent="0.2">
      <c r="B10" s="74" t="s">
        <v>153</v>
      </c>
      <c r="C10" s="4" t="s">
        <v>7</v>
      </c>
      <c r="D10" s="111"/>
      <c r="E10" s="4" t="s">
        <v>5</v>
      </c>
      <c r="F10" s="74" t="s">
        <v>153</v>
      </c>
      <c r="G10" s="109" t="s">
        <v>7</v>
      </c>
    </row>
    <row r="11" spans="1:9" x14ac:dyDescent="0.2">
      <c r="C11" s="5"/>
      <c r="D11" s="112"/>
    </row>
    <row r="12" spans="1:9" x14ac:dyDescent="0.2">
      <c r="A12" s="2" t="s">
        <v>8</v>
      </c>
      <c r="B12" s="1">
        <f>+'II - IV  Apportionment Detail'!E69</f>
        <v>5087370521</v>
      </c>
      <c r="C12" s="5">
        <f>B12/B$19</f>
        <v>0.9469883257737769</v>
      </c>
      <c r="D12" s="112"/>
      <c r="E12" s="1">
        <v>6214549513</v>
      </c>
      <c r="F12" s="1">
        <f>+B12+E12</f>
        <v>11301920034</v>
      </c>
      <c r="G12" s="5">
        <f>ROUND(F12/$F$19,6)</f>
        <v>0.97542099999999998</v>
      </c>
    </row>
    <row r="13" spans="1:9" x14ac:dyDescent="0.2">
      <c r="A13" s="2" t="s">
        <v>9</v>
      </c>
      <c r="B13" s="1">
        <f>+'II - IV  Apportionment Detail'!E94</f>
        <v>0</v>
      </c>
      <c r="C13" s="5">
        <f t="shared" ref="C13:C17" si="0">B13/B$19</f>
        <v>0</v>
      </c>
      <c r="D13" s="112"/>
      <c r="E13" s="1">
        <f>-B13</f>
        <v>0</v>
      </c>
      <c r="F13" s="1">
        <f t="shared" ref="F13:F17" si="1">+B13+E13</f>
        <v>0</v>
      </c>
      <c r="G13" s="5">
        <f t="shared" ref="G13:G17" si="2">ROUND(F13/$F$19,6)</f>
        <v>0</v>
      </c>
    </row>
    <row r="14" spans="1:9" x14ac:dyDescent="0.2">
      <c r="A14" s="2" t="s">
        <v>10</v>
      </c>
      <c r="B14" s="1">
        <f>+'II - IV  Apportionment Detail'!E32</f>
        <v>0</v>
      </c>
      <c r="C14" s="5">
        <f t="shared" si="0"/>
        <v>0</v>
      </c>
      <c r="D14" s="112"/>
      <c r="E14" s="1">
        <f>-B14</f>
        <v>0</v>
      </c>
      <c r="F14" s="1">
        <f t="shared" si="1"/>
        <v>0</v>
      </c>
      <c r="G14" s="5">
        <f t="shared" si="2"/>
        <v>0</v>
      </c>
    </row>
    <row r="15" spans="1:9" x14ac:dyDescent="0.2">
      <c r="A15" s="2" t="s">
        <v>11</v>
      </c>
      <c r="B15" s="1">
        <f>+'II - IV  Apportionment Detail'!E116</f>
        <v>0</v>
      </c>
      <c r="C15" s="5">
        <f t="shared" si="0"/>
        <v>0</v>
      </c>
      <c r="D15" s="112"/>
      <c r="E15" s="1">
        <v>0</v>
      </c>
      <c r="F15" s="1">
        <f t="shared" si="1"/>
        <v>0</v>
      </c>
      <c r="G15" s="5">
        <f t="shared" si="2"/>
        <v>0</v>
      </c>
    </row>
    <row r="16" spans="1:9" x14ac:dyDescent="0.2">
      <c r="A16" s="2" t="s">
        <v>12</v>
      </c>
      <c r="B16" s="1">
        <v>0</v>
      </c>
      <c r="C16" s="5">
        <f t="shared" si="0"/>
        <v>0</v>
      </c>
      <c r="D16" s="112"/>
      <c r="E16" s="1">
        <v>0</v>
      </c>
      <c r="F16" s="1">
        <f t="shared" si="1"/>
        <v>0</v>
      </c>
      <c r="G16" s="5">
        <f t="shared" si="2"/>
        <v>0</v>
      </c>
    </row>
    <row r="17" spans="1:11" x14ac:dyDescent="0.2">
      <c r="A17" s="68" t="s">
        <v>167</v>
      </c>
      <c r="B17" s="1">
        <v>284787068</v>
      </c>
      <c r="C17" s="5">
        <f t="shared" si="0"/>
        <v>5.3011674226223077E-2</v>
      </c>
      <c r="D17" s="112"/>
      <c r="E17" s="1">
        <v>0</v>
      </c>
      <c r="F17" s="1">
        <f t="shared" si="1"/>
        <v>284787068</v>
      </c>
      <c r="G17" s="5">
        <f t="shared" si="2"/>
        <v>2.4579E-2</v>
      </c>
    </row>
    <row r="18" spans="1:11" x14ac:dyDescent="0.2">
      <c r="C18" s="5"/>
      <c r="D18" s="112"/>
    </row>
    <row r="19" spans="1:11" ht="13.5" thickBot="1" x14ac:dyDescent="0.25">
      <c r="A19" s="68" t="s">
        <v>151</v>
      </c>
      <c r="B19" s="79">
        <f>SUM(B11:B18)</f>
        <v>5372157589</v>
      </c>
      <c r="C19" s="7">
        <f>SUM(C11:C18)</f>
        <v>1</v>
      </c>
      <c r="D19" s="112"/>
      <c r="E19" s="6">
        <f>SUM(E11:E18)</f>
        <v>6214549513</v>
      </c>
      <c r="F19" s="6">
        <f>SUM(F11:F18)</f>
        <v>11586707102</v>
      </c>
      <c r="G19" s="7">
        <f>SUM(G11:G18)</f>
        <v>1</v>
      </c>
    </row>
    <row r="20" spans="1:11" ht="13.5" thickTop="1" x14ac:dyDescent="0.2">
      <c r="A20" s="68"/>
      <c r="D20" s="113"/>
      <c r="G20" s="2"/>
    </row>
    <row r="21" spans="1:11" x14ac:dyDescent="0.2">
      <c r="A21" s="68"/>
      <c r="D21" s="113"/>
      <c r="G21" s="2"/>
    </row>
    <row r="22" spans="1:11" x14ac:dyDescent="0.2">
      <c r="D22" s="113"/>
    </row>
    <row r="23" spans="1:11" x14ac:dyDescent="0.2">
      <c r="A23" s="164" t="s">
        <v>64</v>
      </c>
      <c r="B23" s="164"/>
      <c r="C23" s="164"/>
      <c r="D23" s="164"/>
      <c r="E23" s="164"/>
      <c r="F23" s="164"/>
      <c r="G23" s="164"/>
    </row>
    <row r="24" spans="1:11" x14ac:dyDescent="0.2">
      <c r="B24" s="163" t="s">
        <v>8</v>
      </c>
      <c r="C24" s="163"/>
      <c r="D24" s="110"/>
      <c r="E24" s="163" t="s">
        <v>152</v>
      </c>
      <c r="F24" s="163"/>
      <c r="G24" s="163"/>
    </row>
    <row r="25" spans="1:11" x14ac:dyDescent="0.2">
      <c r="B25" s="3" t="s">
        <v>15</v>
      </c>
      <c r="C25" s="3" t="s">
        <v>15</v>
      </c>
      <c r="D25" s="111"/>
      <c r="E25" s="3"/>
      <c r="F25" s="3" t="s">
        <v>3</v>
      </c>
      <c r="G25" s="3" t="s">
        <v>15</v>
      </c>
    </row>
    <row r="26" spans="1:11" x14ac:dyDescent="0.2">
      <c r="B26" s="4" t="str">
        <f>B$10</f>
        <v>2012 TR</v>
      </c>
      <c r="C26" s="4" t="s">
        <v>7</v>
      </c>
      <c r="D26" s="111"/>
      <c r="E26" s="74" t="s">
        <v>5</v>
      </c>
      <c r="F26" s="4" t="s">
        <v>15</v>
      </c>
      <c r="G26" s="4" t="s">
        <v>7</v>
      </c>
    </row>
    <row r="27" spans="1:11" x14ac:dyDescent="0.2">
      <c r="C27" s="5"/>
      <c r="D27" s="112"/>
      <c r="G27" s="2"/>
    </row>
    <row r="28" spans="1:11" x14ac:dyDescent="0.2">
      <c r="A28" s="68" t="s">
        <v>8</v>
      </c>
      <c r="B28" s="81">
        <f>+'II - IV  Apportionment Detail'!E60</f>
        <v>1928608911</v>
      </c>
      <c r="C28" s="5">
        <f>B28/B$35</f>
        <v>0.96192555636453991</v>
      </c>
      <c r="D28" s="112"/>
      <c r="E28" s="1">
        <v>0</v>
      </c>
      <c r="F28" s="1">
        <f>SUM(B28:E28)-1</f>
        <v>1928608910.9619255</v>
      </c>
      <c r="G28" s="5">
        <f>ROUND(F28/$F$35,6)</f>
        <v>0.96192599999999995</v>
      </c>
    </row>
    <row r="29" spans="1:11" x14ac:dyDescent="0.2">
      <c r="A29" s="2" t="s">
        <v>9</v>
      </c>
      <c r="B29" s="1">
        <f>+'II - IV  Apportionment Detail'!E91</f>
        <v>12626847</v>
      </c>
      <c r="C29" s="5">
        <f t="shared" ref="C29:C33" si="3">B29/B$35</f>
        <v>6.2978485458241879E-3</v>
      </c>
      <c r="D29" s="112"/>
      <c r="E29" s="1">
        <v>0</v>
      </c>
      <c r="F29" s="1">
        <f t="shared" ref="F29:F33" si="4">SUM(B29:E29)</f>
        <v>12626847.006297849</v>
      </c>
      <c r="G29" s="5">
        <f t="shared" ref="G29:G33" si="5">ROUND(F29/$F$35,6)</f>
        <v>6.2979999999999998E-3</v>
      </c>
      <c r="I29" s="1"/>
    </row>
    <row r="30" spans="1:11" x14ac:dyDescent="0.2">
      <c r="A30" s="2" t="s">
        <v>10</v>
      </c>
      <c r="B30" s="1">
        <f>+'II - IV  Apportionment Detail'!E27</f>
        <v>62151828</v>
      </c>
      <c r="C30" s="5">
        <f t="shared" si="3"/>
        <v>3.0999251007802271E-2</v>
      </c>
      <c r="D30" s="112"/>
      <c r="E30" s="1">
        <v>0</v>
      </c>
      <c r="F30" s="1">
        <f t="shared" si="4"/>
        <v>62151828.030999251</v>
      </c>
      <c r="G30" s="5">
        <f t="shared" si="5"/>
        <v>3.0998999999999999E-2</v>
      </c>
    </row>
    <row r="31" spans="1:11" x14ac:dyDescent="0.2">
      <c r="A31" s="2" t="s">
        <v>11</v>
      </c>
      <c r="B31" s="1">
        <f>+'II - IV  Apportionment Detail'!E112</f>
        <v>0</v>
      </c>
      <c r="C31" s="5">
        <f t="shared" si="3"/>
        <v>0</v>
      </c>
      <c r="D31" s="112"/>
      <c r="E31" s="1">
        <v>0</v>
      </c>
      <c r="F31" s="1">
        <f t="shared" si="4"/>
        <v>0</v>
      </c>
      <c r="G31" s="5">
        <f t="shared" si="5"/>
        <v>0</v>
      </c>
      <c r="K31" s="80"/>
    </row>
    <row r="32" spans="1:11" x14ac:dyDescent="0.2">
      <c r="A32" s="2" t="s">
        <v>12</v>
      </c>
      <c r="B32" s="1">
        <v>1558533</v>
      </c>
      <c r="C32" s="5">
        <f t="shared" si="3"/>
        <v>7.773440818336525E-4</v>
      </c>
      <c r="D32" s="112"/>
      <c r="E32" s="1">
        <v>0</v>
      </c>
      <c r="F32" s="1">
        <f t="shared" si="4"/>
        <v>1558533.000777344</v>
      </c>
      <c r="G32" s="5">
        <f t="shared" si="5"/>
        <v>7.7700000000000002E-4</v>
      </c>
      <c r="K32" s="80"/>
    </row>
    <row r="33" spans="1:11" x14ac:dyDescent="0.2">
      <c r="A33" s="2" t="s">
        <v>13</v>
      </c>
      <c r="B33" s="81">
        <v>0</v>
      </c>
      <c r="C33" s="5">
        <f t="shared" si="3"/>
        <v>0</v>
      </c>
      <c r="D33" s="112"/>
      <c r="E33" s="1">
        <v>0</v>
      </c>
      <c r="F33" s="1">
        <f t="shared" si="4"/>
        <v>0</v>
      </c>
      <c r="G33" s="5">
        <f t="shared" si="5"/>
        <v>0</v>
      </c>
      <c r="K33" s="80"/>
    </row>
    <row r="34" spans="1:11" x14ac:dyDescent="0.2">
      <c r="C34" s="5"/>
      <c r="D34" s="112"/>
      <c r="G34" s="2"/>
      <c r="K34" s="80"/>
    </row>
    <row r="35" spans="1:11" ht="13.5" thickBot="1" x14ac:dyDescent="0.25">
      <c r="A35" s="2" t="s">
        <v>14</v>
      </c>
      <c r="B35" s="79">
        <f>SUM(B27:B34)</f>
        <v>2004946119</v>
      </c>
      <c r="C35" s="7">
        <f>SUM(C27:C34)</f>
        <v>1</v>
      </c>
      <c r="D35" s="112"/>
      <c r="E35" s="6">
        <f>SUM(E27:E34)</f>
        <v>0</v>
      </c>
      <c r="F35" s="6">
        <f>SUM(F27:F34)</f>
        <v>2004946118.9999998</v>
      </c>
      <c r="G35" s="7">
        <f>SUM(G27:G34)</f>
        <v>1</v>
      </c>
      <c r="K35" s="80"/>
    </row>
    <row r="36" spans="1:11" ht="13.5" thickTop="1" x14ac:dyDescent="0.2">
      <c r="D36" s="113"/>
      <c r="G36" s="2"/>
      <c r="K36" s="80"/>
    </row>
    <row r="37" spans="1:11" x14ac:dyDescent="0.2">
      <c r="D37" s="113"/>
      <c r="G37" s="2"/>
      <c r="K37" s="80"/>
    </row>
    <row r="38" spans="1:11" x14ac:dyDescent="0.2">
      <c r="D38" s="113"/>
      <c r="G38" s="2"/>
      <c r="K38" s="80"/>
    </row>
    <row r="39" spans="1:11" x14ac:dyDescent="0.2">
      <c r="A39" s="164" t="s">
        <v>63</v>
      </c>
      <c r="B39" s="164"/>
      <c r="C39" s="164"/>
      <c r="D39" s="164"/>
      <c r="E39" s="164"/>
      <c r="F39" s="164"/>
      <c r="G39" s="164"/>
      <c r="K39" s="80"/>
    </row>
    <row r="40" spans="1:11" x14ac:dyDescent="0.2">
      <c r="B40" s="163" t="s">
        <v>8</v>
      </c>
      <c r="C40" s="163"/>
      <c r="D40" s="110"/>
      <c r="E40" s="163" t="s">
        <v>152</v>
      </c>
      <c r="F40" s="163"/>
      <c r="G40" s="163"/>
    </row>
    <row r="41" spans="1:11" x14ac:dyDescent="0.2">
      <c r="B41" s="3" t="s">
        <v>16</v>
      </c>
      <c r="C41" s="3" t="s">
        <v>16</v>
      </c>
      <c r="D41" s="111"/>
      <c r="E41" s="3"/>
      <c r="F41" s="3" t="s">
        <v>3</v>
      </c>
      <c r="G41" s="107" t="s">
        <v>16</v>
      </c>
    </row>
    <row r="42" spans="1:11" x14ac:dyDescent="0.2">
      <c r="B42" s="4" t="str">
        <f>B$10</f>
        <v>2012 TR</v>
      </c>
      <c r="C42" s="4" t="s">
        <v>7</v>
      </c>
      <c r="D42" s="111"/>
      <c r="E42" s="74" t="s">
        <v>5</v>
      </c>
      <c r="F42" s="4" t="s">
        <v>16</v>
      </c>
      <c r="G42" s="109" t="s">
        <v>7</v>
      </c>
    </row>
    <row r="43" spans="1:11" x14ac:dyDescent="0.2">
      <c r="C43" s="5"/>
      <c r="D43" s="112"/>
      <c r="G43" s="2"/>
    </row>
    <row r="44" spans="1:11" x14ac:dyDescent="0.2">
      <c r="A44" s="68" t="s">
        <v>8</v>
      </c>
      <c r="B44" s="81">
        <f>+'II - IV  Apportionment Detail'!E57</f>
        <v>34476393303</v>
      </c>
      <c r="C44" s="5">
        <f>B44/B$51</f>
        <v>0.91518615358199029</v>
      </c>
      <c r="D44" s="112"/>
      <c r="E44" s="1">
        <v>0</v>
      </c>
      <c r="F44" s="1">
        <f>SUM(B44:E44)-1</f>
        <v>34476393302.915184</v>
      </c>
      <c r="G44" s="5">
        <f>ROUND(F44/$F$51,6)</f>
        <v>0.91518600000000006</v>
      </c>
    </row>
    <row r="45" spans="1:11" x14ac:dyDescent="0.2">
      <c r="A45" s="2" t="s">
        <v>9</v>
      </c>
      <c r="B45" s="1">
        <f>+'II - IV  Apportionment Detail'!E88</f>
        <v>596503522</v>
      </c>
      <c r="C45" s="5">
        <f t="shared" ref="C45:C49" si="6">B45/B$51</f>
        <v>1.583436408499804E-2</v>
      </c>
      <c r="D45" s="112"/>
      <c r="E45" s="1">
        <v>0</v>
      </c>
      <c r="F45" s="1">
        <f t="shared" ref="F45:F49" si="7">SUM(B45:E45)</f>
        <v>596503522.01583433</v>
      </c>
      <c r="G45" s="5">
        <f t="shared" ref="G45:G49" si="8">ROUND(F45/$F$51,6)</f>
        <v>1.5834000000000001E-2</v>
      </c>
    </row>
    <row r="46" spans="1:11" x14ac:dyDescent="0.2">
      <c r="A46" s="2" t="s">
        <v>10</v>
      </c>
      <c r="B46" s="1">
        <f>+'II - IV  Apportionment Detail'!E23</f>
        <v>2015597838</v>
      </c>
      <c r="C46" s="5">
        <f t="shared" si="6"/>
        <v>5.3504646391386933E-2</v>
      </c>
      <c r="D46" s="112"/>
      <c r="E46" s="1">
        <v>0</v>
      </c>
      <c r="F46" s="1">
        <f t="shared" si="7"/>
        <v>2015597838.0535047</v>
      </c>
      <c r="G46" s="5">
        <f t="shared" si="8"/>
        <v>5.3504999999999997E-2</v>
      </c>
    </row>
    <row r="47" spans="1:11" x14ac:dyDescent="0.2">
      <c r="A47" s="2" t="s">
        <v>11</v>
      </c>
      <c r="B47" s="1">
        <f>+'II - IV  Apportionment Detail'!E109</f>
        <v>535055</v>
      </c>
      <c r="C47" s="5">
        <f t="shared" si="6"/>
        <v>1.4203194722291389E-5</v>
      </c>
      <c r="D47" s="112"/>
      <c r="E47" s="1">
        <v>0</v>
      </c>
      <c r="F47" s="1">
        <f t="shared" si="7"/>
        <v>535055.00001420325</v>
      </c>
      <c r="G47" s="5">
        <f t="shared" si="8"/>
        <v>1.4E-5</v>
      </c>
    </row>
    <row r="48" spans="1:11" x14ac:dyDescent="0.2">
      <c r="A48" s="2" t="s">
        <v>12</v>
      </c>
      <c r="B48" s="1">
        <v>319098606</v>
      </c>
      <c r="C48" s="5">
        <f t="shared" si="6"/>
        <v>8.4705677671075667E-3</v>
      </c>
      <c r="D48" s="112"/>
      <c r="E48" s="1">
        <v>0</v>
      </c>
      <c r="F48" s="1">
        <f t="shared" si="7"/>
        <v>319098606.00847059</v>
      </c>
      <c r="G48" s="5">
        <f t="shared" si="8"/>
        <v>8.4709999999999994E-3</v>
      </c>
    </row>
    <row r="49" spans="1:8" x14ac:dyDescent="0.2">
      <c r="A49" s="2" t="s">
        <v>13</v>
      </c>
      <c r="B49" s="81">
        <v>263325913</v>
      </c>
      <c r="C49" s="5">
        <f t="shared" si="6"/>
        <v>6.9900649797949022E-3</v>
      </c>
      <c r="D49" s="112"/>
      <c r="E49" s="1">
        <v>0</v>
      </c>
      <c r="F49" s="1">
        <f t="shared" si="7"/>
        <v>263325913.00699008</v>
      </c>
      <c r="G49" s="5">
        <f t="shared" si="8"/>
        <v>6.9899999999999997E-3</v>
      </c>
    </row>
    <row r="50" spans="1:8" x14ac:dyDescent="0.2">
      <c r="C50" s="5"/>
      <c r="D50" s="112"/>
      <c r="G50" s="2"/>
    </row>
    <row r="51" spans="1:8" ht="13.5" thickBot="1" x14ac:dyDescent="0.25">
      <c r="A51" s="2" t="s">
        <v>14</v>
      </c>
      <c r="B51" s="79">
        <f>SUM(B43:B50)</f>
        <v>37671454237</v>
      </c>
      <c r="C51" s="7">
        <f>SUM(C43:C50)</f>
        <v>1</v>
      </c>
      <c r="D51" s="112"/>
      <c r="E51" s="6">
        <f>SUM(E43:E50)</f>
        <v>0</v>
      </c>
      <c r="F51" s="6">
        <f>SUM(F43:F50)</f>
        <v>37671454236.999992</v>
      </c>
      <c r="G51" s="7">
        <f>SUM(G43:G50)</f>
        <v>1</v>
      </c>
    </row>
    <row r="52" spans="1:8" ht="13.5" thickTop="1" x14ac:dyDescent="0.2">
      <c r="D52" s="113"/>
    </row>
    <row r="56" spans="1:8" ht="15" x14ac:dyDescent="0.35">
      <c r="A56" s="114" t="s">
        <v>17</v>
      </c>
      <c r="B56" s="71"/>
      <c r="C56" s="71"/>
      <c r="D56" s="71"/>
      <c r="E56" s="71"/>
      <c r="F56" s="71"/>
      <c r="G56" s="71"/>
    </row>
    <row r="57" spans="1:8" x14ac:dyDescent="0.2">
      <c r="A57" s="71" t="s">
        <v>8</v>
      </c>
      <c r="B57" s="71"/>
      <c r="C57" s="87">
        <f>ROUND((ROUND(2*B12/B19,6)+ROUND(B28/B35,6)+ROUND(B44/B51,6))/4,6)</f>
        <v>0.94277200000000005</v>
      </c>
      <c r="D57" s="71"/>
      <c r="E57" s="2"/>
      <c r="F57" s="71"/>
      <c r="G57" s="2"/>
      <c r="H57" s="68"/>
    </row>
    <row r="58" spans="1:8" x14ac:dyDescent="0.2">
      <c r="A58" s="71" t="s">
        <v>9</v>
      </c>
      <c r="B58" s="71"/>
      <c r="C58" s="71"/>
      <c r="D58" s="71"/>
      <c r="E58" s="2"/>
      <c r="F58" s="71"/>
      <c r="G58" s="87">
        <f>ROUND((C45+C29+C13)/3,6)</f>
        <v>7.3769999999999999E-3</v>
      </c>
      <c r="H58" s="68"/>
    </row>
    <row r="59" spans="1:8" x14ac:dyDescent="0.2">
      <c r="A59" s="71" t="s">
        <v>10</v>
      </c>
      <c r="B59" s="71"/>
      <c r="C59" s="71"/>
      <c r="D59" s="71"/>
      <c r="E59" s="2"/>
      <c r="F59" s="71"/>
      <c r="G59" s="87">
        <f>ROUND((C46+C30+C14+C14)/4,6)</f>
        <v>2.1125999999999999E-2</v>
      </c>
      <c r="H59" s="68"/>
    </row>
    <row r="60" spans="1:8" x14ac:dyDescent="0.2">
      <c r="A60" s="71" t="s">
        <v>132</v>
      </c>
      <c r="B60" s="71"/>
      <c r="C60" s="71"/>
      <c r="D60" s="71"/>
      <c r="E60" s="2"/>
      <c r="F60" s="71"/>
      <c r="G60" s="87">
        <f>ROUND((C47+C31+C15+C15)/4,6)</f>
        <v>3.9999999999999998E-6</v>
      </c>
      <c r="H60" s="68"/>
    </row>
    <row r="61" spans="1:8" x14ac:dyDescent="0.2">
      <c r="A61" s="71"/>
      <c r="B61" s="71"/>
      <c r="C61" s="71"/>
      <c r="D61" s="71"/>
      <c r="E61" s="71"/>
      <c r="F61" s="71"/>
      <c r="G61" s="71"/>
    </row>
    <row r="62" spans="1:8" x14ac:dyDescent="0.2">
      <c r="A62" s="1"/>
    </row>
    <row r="63" spans="1:8" x14ac:dyDescent="0.2">
      <c r="G63" s="5"/>
    </row>
    <row r="64" spans="1:8" x14ac:dyDescent="0.2">
      <c r="A64" s="68" t="s">
        <v>154</v>
      </c>
      <c r="G64" s="5"/>
    </row>
    <row r="65" spans="1:11" x14ac:dyDescent="0.2">
      <c r="A65" s="68" t="s">
        <v>166</v>
      </c>
    </row>
    <row r="66" spans="1:11" x14ac:dyDescent="0.2">
      <c r="A66" s="68"/>
    </row>
    <row r="67" spans="1:11" x14ac:dyDescent="0.2">
      <c r="A67" s="2" t="s">
        <v>168</v>
      </c>
    </row>
    <row r="69" spans="1:11" x14ac:dyDescent="0.2">
      <c r="A69" s="85" t="s">
        <v>155</v>
      </c>
      <c r="B69" s="86" t="s">
        <v>162</v>
      </c>
      <c r="C69" s="86"/>
      <c r="D69" s="86"/>
      <c r="E69" s="86"/>
      <c r="F69" s="86"/>
      <c r="G69" s="86"/>
      <c r="H69" s="85"/>
      <c r="I69" s="85"/>
      <c r="J69" s="85"/>
      <c r="K69" s="85"/>
    </row>
    <row r="70" spans="1:11" x14ac:dyDescent="0.2">
      <c r="A70" s="85"/>
      <c r="B70" s="86" t="s">
        <v>157</v>
      </c>
      <c r="C70" s="86"/>
      <c r="D70" s="86"/>
      <c r="E70" s="86"/>
      <c r="F70" s="86"/>
      <c r="G70" s="86"/>
      <c r="H70" s="85"/>
      <c r="I70" s="85"/>
      <c r="J70" s="85"/>
      <c r="K70" s="85"/>
    </row>
    <row r="71" spans="1:11" x14ac:dyDescent="0.2">
      <c r="A71" s="85"/>
      <c r="B71" s="86" t="s">
        <v>158</v>
      </c>
      <c r="C71" s="86"/>
      <c r="D71" s="86"/>
      <c r="E71" s="86"/>
      <c r="F71" s="86"/>
      <c r="G71" s="86"/>
      <c r="H71" s="85"/>
      <c r="I71" s="85"/>
      <c r="J71" s="85"/>
      <c r="K71" s="85"/>
    </row>
    <row r="72" spans="1:11" x14ac:dyDescent="0.2">
      <c r="A72" s="85"/>
      <c r="B72" s="86" t="s">
        <v>159</v>
      </c>
      <c r="C72" s="86"/>
      <c r="D72" s="86"/>
      <c r="E72" s="86"/>
      <c r="F72" s="86"/>
      <c r="G72" s="86"/>
      <c r="H72" s="85"/>
      <c r="I72" s="85"/>
      <c r="J72" s="85"/>
      <c r="K72" s="85"/>
    </row>
    <row r="73" spans="1:11" x14ac:dyDescent="0.2">
      <c r="A73" s="82"/>
      <c r="B73" s="86" t="s">
        <v>163</v>
      </c>
      <c r="C73" s="83"/>
      <c r="D73" s="83"/>
      <c r="E73" s="83"/>
      <c r="F73" s="83"/>
      <c r="G73" s="83"/>
      <c r="H73" s="82"/>
      <c r="I73" s="82"/>
      <c r="J73" s="82"/>
      <c r="K73" s="82"/>
    </row>
    <row r="74" spans="1:11" x14ac:dyDescent="0.2">
      <c r="A74" s="82"/>
      <c r="B74" s="86" t="s">
        <v>164</v>
      </c>
      <c r="C74" s="83"/>
      <c r="D74" s="83"/>
      <c r="E74" s="83"/>
      <c r="F74" s="83"/>
      <c r="G74" s="83"/>
      <c r="H74" s="82"/>
      <c r="I74" s="82"/>
      <c r="J74" s="82"/>
      <c r="K74" s="82"/>
    </row>
    <row r="75" spans="1:11" x14ac:dyDescent="0.2">
      <c r="B75" s="86" t="s">
        <v>156</v>
      </c>
    </row>
    <row r="76" spans="1:11" x14ac:dyDescent="0.2">
      <c r="B76" s="86" t="s">
        <v>160</v>
      </c>
    </row>
    <row r="77" spans="1:11" x14ac:dyDescent="0.2">
      <c r="B77" s="86" t="s">
        <v>161</v>
      </c>
    </row>
    <row r="78" spans="1:11" x14ac:dyDescent="0.2">
      <c r="B78" s="86" t="s">
        <v>165</v>
      </c>
    </row>
  </sheetData>
  <mergeCells count="11">
    <mergeCell ref="A1:G1"/>
    <mergeCell ref="A2:G2"/>
    <mergeCell ref="E7:G7"/>
    <mergeCell ref="B7:C7"/>
    <mergeCell ref="B24:C24"/>
    <mergeCell ref="E24:G24"/>
    <mergeCell ref="B40:C40"/>
    <mergeCell ref="E40:G40"/>
    <mergeCell ref="A39:G39"/>
    <mergeCell ref="A23:G23"/>
    <mergeCell ref="A6:G6"/>
  </mergeCells>
  <phoneticPr fontId="9" type="noConversion"/>
  <pageMargins left="0.75" right="0.75" top="0.25" bottom="0.5" header="0.5" footer="0.25"/>
  <pageSetup scale="74" orientation="portrait" r:id="rId1"/>
  <headerFooter alignWithMargins="0">
    <oddHeader>&amp;RTO9 Draft Annual Update
Attachment 4
WP-Schedule 26
Page &amp;P of &amp;N</oddHeader>
    <oddFooter>&amp;C&amp;A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0"/>
  <sheetViews>
    <sheetView zoomScaleNormal="100" zoomScaleSheetLayoutView="100" workbookViewId="0">
      <selection sqref="A1:G1"/>
    </sheetView>
  </sheetViews>
  <sheetFormatPr defaultRowHeight="12.75" x14ac:dyDescent="0.2"/>
  <cols>
    <col min="1" max="2" width="4.28515625" style="37" customWidth="1"/>
    <col min="3" max="3" width="57.85546875" customWidth="1"/>
    <col min="4" max="4" width="14.5703125" bestFit="1" customWidth="1"/>
    <col min="5" max="6" width="16.7109375" style="43" customWidth="1"/>
    <col min="7" max="7" width="16.85546875" customWidth="1"/>
  </cols>
  <sheetData>
    <row r="1" spans="1:7" x14ac:dyDescent="0.2">
      <c r="A1" s="165" t="s">
        <v>109</v>
      </c>
      <c r="B1" s="166"/>
      <c r="C1" s="166"/>
      <c r="D1" s="166"/>
      <c r="E1" s="166"/>
      <c r="F1" s="166"/>
      <c r="G1" s="166"/>
    </row>
    <row r="2" spans="1:7" x14ac:dyDescent="0.2">
      <c r="A2" s="165" t="s">
        <v>170</v>
      </c>
      <c r="B2" s="166"/>
      <c r="C2" s="166"/>
      <c r="D2" s="166"/>
      <c r="E2" s="166"/>
      <c r="F2" s="166"/>
      <c r="G2" s="166"/>
    </row>
    <row r="3" spans="1:7" x14ac:dyDescent="0.2">
      <c r="C3" s="37"/>
      <c r="D3" s="64"/>
      <c r="E3" s="37"/>
      <c r="F3" s="37"/>
      <c r="G3" s="37"/>
    </row>
    <row r="4" spans="1:7" x14ac:dyDescent="0.2">
      <c r="C4" s="37"/>
      <c r="D4" s="64"/>
      <c r="E4" s="72"/>
      <c r="F4" s="37"/>
      <c r="G4" s="37"/>
    </row>
    <row r="5" spans="1:7" x14ac:dyDescent="0.2">
      <c r="A5" s="61"/>
      <c r="B5" s="61"/>
      <c r="C5" s="61"/>
      <c r="D5" s="64"/>
      <c r="E5" s="61"/>
      <c r="F5" s="70"/>
      <c r="G5" s="61"/>
    </row>
    <row r="6" spans="1:7" x14ac:dyDescent="0.2">
      <c r="C6" s="8" t="s">
        <v>133</v>
      </c>
      <c r="D6" s="71"/>
      <c r="E6" s="52">
        <v>449522295</v>
      </c>
    </row>
    <row r="8" spans="1:7" x14ac:dyDescent="0.2">
      <c r="A8" s="38"/>
      <c r="B8" s="39" t="s">
        <v>41</v>
      </c>
      <c r="D8" s="68"/>
      <c r="E8" s="44" t="s">
        <v>44</v>
      </c>
      <c r="F8" s="44" t="s">
        <v>45</v>
      </c>
      <c r="G8" s="41" t="s">
        <v>46</v>
      </c>
    </row>
    <row r="9" spans="1:7" x14ac:dyDescent="0.2">
      <c r="A9" s="38"/>
      <c r="B9" s="39"/>
      <c r="C9" t="s">
        <v>143</v>
      </c>
      <c r="E9" s="45" t="s">
        <v>47</v>
      </c>
      <c r="F9" s="45" t="s">
        <v>48</v>
      </c>
      <c r="G9" s="36" t="s">
        <v>49</v>
      </c>
    </row>
    <row r="10" spans="1:7" x14ac:dyDescent="0.2">
      <c r="A10" s="38"/>
      <c r="C10" t="s">
        <v>144</v>
      </c>
      <c r="E10" s="45" t="s">
        <v>10</v>
      </c>
      <c r="F10" s="45" t="s">
        <v>14</v>
      </c>
      <c r="G10" s="36" t="s">
        <v>10</v>
      </c>
    </row>
    <row r="11" spans="1:7" x14ac:dyDescent="0.2">
      <c r="C11" t="s">
        <v>145</v>
      </c>
      <c r="E11" s="46"/>
      <c r="F11" s="46"/>
      <c r="G11" s="42" t="s">
        <v>50</v>
      </c>
    </row>
    <row r="12" spans="1:7" x14ac:dyDescent="0.2">
      <c r="B12" s="51" t="s">
        <v>40</v>
      </c>
      <c r="C12" s="8" t="s">
        <v>63</v>
      </c>
      <c r="D12" s="8"/>
      <c r="E12"/>
      <c r="F12"/>
    </row>
    <row r="13" spans="1:7" x14ac:dyDescent="0.2">
      <c r="B13" s="69" t="s">
        <v>42</v>
      </c>
      <c r="C13" s="65"/>
      <c r="D13" s="9"/>
      <c r="E13"/>
      <c r="F13"/>
    </row>
    <row r="14" spans="1:7" x14ac:dyDescent="0.2">
      <c r="B14" s="69" t="s">
        <v>43</v>
      </c>
      <c r="C14" s="65"/>
      <c r="D14" s="9"/>
      <c r="E14"/>
      <c r="F14"/>
    </row>
    <row r="15" spans="1:7" x14ac:dyDescent="0.2">
      <c r="B15" s="3" t="s">
        <v>51</v>
      </c>
      <c r="C15" s="65" t="s">
        <v>60</v>
      </c>
      <c r="D15" s="9"/>
      <c r="G15" s="48"/>
    </row>
    <row r="16" spans="1:7" x14ac:dyDescent="0.2">
      <c r="C16" s="65" t="s">
        <v>52</v>
      </c>
      <c r="D16" s="9"/>
      <c r="G16" s="48"/>
    </row>
    <row r="17" spans="2:7" x14ac:dyDescent="0.2">
      <c r="C17" s="65" t="s">
        <v>53</v>
      </c>
      <c r="D17" s="9"/>
      <c r="E17" s="43">
        <v>2010630318</v>
      </c>
      <c r="F17" s="43">
        <v>36675923563</v>
      </c>
      <c r="G17" s="49"/>
    </row>
    <row r="18" spans="2:7" x14ac:dyDescent="0.2">
      <c r="C18" s="65" t="s">
        <v>54</v>
      </c>
      <c r="D18" s="9"/>
      <c r="G18" s="49"/>
    </row>
    <row r="19" spans="2:7" x14ac:dyDescent="0.2">
      <c r="C19" s="65" t="s">
        <v>55</v>
      </c>
      <c r="D19" s="9"/>
      <c r="G19" s="49"/>
    </row>
    <row r="20" spans="2:7" x14ac:dyDescent="0.2">
      <c r="C20" s="65" t="s">
        <v>56</v>
      </c>
      <c r="D20" s="9"/>
      <c r="E20" s="47"/>
      <c r="F20" s="47"/>
      <c r="G20" s="49"/>
    </row>
    <row r="21" spans="2:7" x14ac:dyDescent="0.2">
      <c r="C21" s="65" t="s">
        <v>57</v>
      </c>
      <c r="D21" s="9"/>
      <c r="E21" s="43">
        <f>SUM(E15:E20)</f>
        <v>2010630318</v>
      </c>
      <c r="F21" s="43">
        <f t="shared" ref="F21" si="0">SUM(F15:F20)</f>
        <v>36675923563</v>
      </c>
      <c r="G21" s="49"/>
    </row>
    <row r="22" spans="2:7" x14ac:dyDescent="0.2">
      <c r="B22" s="3" t="s">
        <v>58</v>
      </c>
      <c r="C22" s="65" t="s">
        <v>59</v>
      </c>
      <c r="D22" s="9"/>
      <c r="E22" s="47">
        <v>4967520</v>
      </c>
      <c r="F22" s="47">
        <v>995530672</v>
      </c>
      <c r="G22" s="50"/>
    </row>
    <row r="23" spans="2:7" x14ac:dyDescent="0.2">
      <c r="B23" s="37" t="s">
        <v>61</v>
      </c>
      <c r="C23" s="66" t="s">
        <v>62</v>
      </c>
      <c r="D23" s="67"/>
      <c r="E23" s="52">
        <f>SUM(E21:E22)</f>
        <v>2015597838</v>
      </c>
      <c r="F23" s="52">
        <f>SUM(F21:F22)</f>
        <v>37671454235</v>
      </c>
      <c r="G23" s="75">
        <f>IF(ISERROR(ROUND(E23/F23,6)),0,ROUND(E23/F23,6))</f>
        <v>5.3504999999999997E-2</v>
      </c>
    </row>
    <row r="24" spans="2:7" x14ac:dyDescent="0.2">
      <c r="C24" s="65"/>
      <c r="D24" s="9"/>
      <c r="G24" s="100"/>
    </row>
    <row r="25" spans="2:7" x14ac:dyDescent="0.2">
      <c r="B25" s="51" t="s">
        <v>67</v>
      </c>
      <c r="C25" s="66" t="s">
        <v>64</v>
      </c>
      <c r="D25" s="67"/>
      <c r="G25" s="100"/>
    </row>
    <row r="26" spans="2:7" x14ac:dyDescent="0.2">
      <c r="C26" s="65" t="s">
        <v>65</v>
      </c>
      <c r="D26" s="9"/>
      <c r="E26" s="53"/>
      <c r="F26" s="53"/>
      <c r="G26" s="104"/>
    </row>
    <row r="27" spans="2:7" x14ac:dyDescent="0.2">
      <c r="C27" s="65" t="s">
        <v>66</v>
      </c>
      <c r="D27" s="9"/>
      <c r="E27" s="52">
        <v>62151828</v>
      </c>
      <c r="F27" s="52">
        <v>2004946119</v>
      </c>
      <c r="G27" s="75">
        <f>IF(ISERROR(ROUND(E27/F27,6)),0,ROUND(E27/F27,6))</f>
        <v>3.0998999999999999E-2</v>
      </c>
    </row>
    <row r="28" spans="2:7" x14ac:dyDescent="0.2">
      <c r="C28" s="65"/>
      <c r="D28" s="9"/>
      <c r="G28" s="100"/>
    </row>
    <row r="29" spans="2:7" x14ac:dyDescent="0.2">
      <c r="B29" s="38" t="s">
        <v>68</v>
      </c>
      <c r="C29" s="66" t="s">
        <v>69</v>
      </c>
      <c r="D29" s="67"/>
      <c r="G29" s="100"/>
    </row>
    <row r="30" spans="2:7" x14ac:dyDescent="0.2">
      <c r="B30" s="3" t="s">
        <v>51</v>
      </c>
      <c r="C30" s="65" t="s">
        <v>70</v>
      </c>
      <c r="D30" s="9"/>
      <c r="E30" s="43">
        <v>0</v>
      </c>
      <c r="F30" s="43">
        <v>11498929539</v>
      </c>
      <c r="G30" s="104"/>
    </row>
    <row r="31" spans="2:7" x14ac:dyDescent="0.2">
      <c r="B31" s="3" t="s">
        <v>58</v>
      </c>
      <c r="C31" s="65" t="s">
        <v>71</v>
      </c>
      <c r="D31" s="9"/>
      <c r="E31" s="47">
        <v>0</v>
      </c>
      <c r="F31" s="47">
        <v>87777563</v>
      </c>
      <c r="G31" s="104"/>
    </row>
    <row r="32" spans="2:7" x14ac:dyDescent="0.2">
      <c r="B32" s="3" t="s">
        <v>61</v>
      </c>
      <c r="C32" s="65" t="s">
        <v>72</v>
      </c>
      <c r="D32" s="9"/>
      <c r="E32" s="43">
        <v>0</v>
      </c>
      <c r="F32" s="43">
        <f>SUM(F30:F31)</f>
        <v>11586707102</v>
      </c>
      <c r="G32" s="104"/>
    </row>
    <row r="33" spans="2:7" x14ac:dyDescent="0.2">
      <c r="B33" s="3" t="s">
        <v>73</v>
      </c>
      <c r="C33" s="65" t="s">
        <v>126</v>
      </c>
      <c r="D33" s="9"/>
      <c r="E33" s="55" t="s">
        <v>77</v>
      </c>
      <c r="F33" s="53"/>
      <c r="G33" s="104"/>
    </row>
    <row r="34" spans="2:7" x14ac:dyDescent="0.2">
      <c r="B34" s="3" t="s">
        <v>74</v>
      </c>
      <c r="C34" s="65" t="s">
        <v>75</v>
      </c>
      <c r="D34" s="9"/>
      <c r="E34" s="56"/>
      <c r="F34" s="56"/>
      <c r="G34" s="105"/>
    </row>
    <row r="35" spans="2:7" x14ac:dyDescent="0.2">
      <c r="B35" s="3"/>
      <c r="C35" s="65" t="s">
        <v>76</v>
      </c>
      <c r="D35" s="9"/>
      <c r="E35" s="52">
        <f>E32*2</f>
        <v>0</v>
      </c>
      <c r="F35" s="52">
        <f>F32</f>
        <v>11586707102</v>
      </c>
      <c r="G35" s="75">
        <f>IF(ISERROR(ROUND(E35/F35,6)),0,ROUND(E35/F35,6))</f>
        <v>0</v>
      </c>
    </row>
    <row r="36" spans="2:7" x14ac:dyDescent="0.2">
      <c r="B36" s="3"/>
      <c r="C36" s="65"/>
      <c r="D36" s="9"/>
      <c r="E36" s="54"/>
      <c r="F36" s="54"/>
      <c r="G36" s="103"/>
    </row>
    <row r="37" spans="2:7" x14ac:dyDescent="0.2">
      <c r="B37" s="38" t="s">
        <v>78</v>
      </c>
      <c r="C37" s="66" t="s">
        <v>79</v>
      </c>
      <c r="D37" s="67"/>
      <c r="G37" s="73">
        <f>ROUND(G35+G27+G23,6)</f>
        <v>8.4503999999999996E-2</v>
      </c>
    </row>
    <row r="38" spans="2:7" x14ac:dyDescent="0.2">
      <c r="B38" s="38" t="s">
        <v>80</v>
      </c>
      <c r="C38" s="66" t="s">
        <v>127</v>
      </c>
      <c r="D38" s="67"/>
      <c r="E38" s="76"/>
      <c r="G38" s="104"/>
    </row>
    <row r="39" spans="2:7" x14ac:dyDescent="0.2">
      <c r="B39" s="3"/>
      <c r="C39" s="65" t="s">
        <v>128</v>
      </c>
      <c r="D39" s="9"/>
      <c r="G39" s="104"/>
    </row>
    <row r="40" spans="2:7" x14ac:dyDescent="0.2">
      <c r="B40" s="3"/>
      <c r="C40" s="65" t="s">
        <v>81</v>
      </c>
      <c r="D40" s="9"/>
      <c r="G40" s="102">
        <f>ROUND(G37/4,6)</f>
        <v>2.1125999999999999E-2</v>
      </c>
    </row>
    <row r="43" spans="2:7" x14ac:dyDescent="0.2">
      <c r="C43" s="8" t="s">
        <v>115</v>
      </c>
      <c r="D43" s="8"/>
      <c r="E43" s="52">
        <v>644508967</v>
      </c>
    </row>
    <row r="45" spans="2:7" x14ac:dyDescent="0.2">
      <c r="B45" s="39" t="s">
        <v>93</v>
      </c>
      <c r="E45" s="44" t="s">
        <v>44</v>
      </c>
      <c r="F45" s="44" t="s">
        <v>45</v>
      </c>
      <c r="G45" s="41" t="s">
        <v>46</v>
      </c>
    </row>
    <row r="46" spans="2:7" x14ac:dyDescent="0.2">
      <c r="B46" s="39"/>
      <c r="C46" s="68" t="s">
        <v>146</v>
      </c>
      <c r="E46" s="45" t="s">
        <v>47</v>
      </c>
      <c r="F46" s="45" t="s">
        <v>48</v>
      </c>
      <c r="G46" s="36" t="s">
        <v>49</v>
      </c>
    </row>
    <row r="47" spans="2:7" x14ac:dyDescent="0.2">
      <c r="C47" s="68" t="s">
        <v>135</v>
      </c>
      <c r="E47" s="45" t="s">
        <v>8</v>
      </c>
      <c r="F47" s="45" t="s">
        <v>14</v>
      </c>
      <c r="G47" s="36" t="s">
        <v>8</v>
      </c>
    </row>
    <row r="48" spans="2:7" x14ac:dyDescent="0.2">
      <c r="E48" s="46"/>
      <c r="F48" s="46"/>
      <c r="G48" s="42" t="s">
        <v>50</v>
      </c>
    </row>
    <row r="49" spans="1:7" x14ac:dyDescent="0.2">
      <c r="A49" s="64"/>
      <c r="B49" s="38" t="s">
        <v>40</v>
      </c>
      <c r="C49" s="8" t="s">
        <v>16</v>
      </c>
    </row>
    <row r="50" spans="1:7" x14ac:dyDescent="0.2">
      <c r="A50" s="64"/>
      <c r="B50" s="64"/>
      <c r="C50" s="68" t="s">
        <v>82</v>
      </c>
      <c r="E50" s="43">
        <v>0</v>
      </c>
      <c r="F50" s="43">
        <v>0</v>
      </c>
    </row>
    <row r="51" spans="1:7" x14ac:dyDescent="0.2">
      <c r="A51" s="64"/>
      <c r="B51" s="64"/>
      <c r="C51" s="68" t="s">
        <v>83</v>
      </c>
      <c r="E51" s="43">
        <v>33489084503</v>
      </c>
      <c r="F51" s="43">
        <v>36675923563</v>
      </c>
    </row>
    <row r="52" spans="1:7" x14ac:dyDescent="0.2">
      <c r="A52" s="64"/>
      <c r="B52" s="64"/>
      <c r="C52" s="68" t="s">
        <v>136</v>
      </c>
      <c r="E52" s="43">
        <v>0</v>
      </c>
      <c r="F52" s="43">
        <v>0</v>
      </c>
    </row>
    <row r="53" spans="1:7" x14ac:dyDescent="0.2">
      <c r="A53" s="64"/>
      <c r="B53" s="64"/>
      <c r="C53" s="68" t="s">
        <v>84</v>
      </c>
      <c r="E53" s="43">
        <v>0</v>
      </c>
      <c r="F53" s="43">
        <v>0</v>
      </c>
    </row>
    <row r="54" spans="1:7" x14ac:dyDescent="0.2">
      <c r="A54" s="64"/>
      <c r="B54" s="64"/>
      <c r="C54" s="68" t="s">
        <v>54</v>
      </c>
      <c r="E54" s="43">
        <v>0</v>
      </c>
      <c r="F54" s="43">
        <v>0</v>
      </c>
    </row>
    <row r="55" spans="1:7" x14ac:dyDescent="0.2">
      <c r="A55" s="64"/>
      <c r="B55" s="64"/>
      <c r="C55" s="68" t="s">
        <v>137</v>
      </c>
      <c r="E55" s="43">
        <v>0</v>
      </c>
      <c r="F55" s="43">
        <v>0</v>
      </c>
    </row>
    <row r="56" spans="1:7" x14ac:dyDescent="0.2">
      <c r="A56" s="64"/>
      <c r="B56" s="64"/>
      <c r="C56" s="68" t="s">
        <v>138</v>
      </c>
      <c r="E56" s="43">
        <v>987308800</v>
      </c>
      <c r="F56" s="43">
        <v>995530672</v>
      </c>
    </row>
    <row r="57" spans="1:7" x14ac:dyDescent="0.2">
      <c r="A57" s="64"/>
      <c r="B57" s="64"/>
      <c r="C57" s="8" t="s">
        <v>139</v>
      </c>
      <c r="E57" s="92">
        <f>SUM(E50:E56)</f>
        <v>34476393303</v>
      </c>
      <c r="F57" s="92">
        <f>SUM(F50:F56)</f>
        <v>37671454235</v>
      </c>
      <c r="G57" s="73">
        <f>IF(ISERROR(ROUND(E57/F57,6)),0,ROUND(E57/F57,6))</f>
        <v>0.91518600000000006</v>
      </c>
    </row>
    <row r="58" spans="1:7" x14ac:dyDescent="0.2">
      <c r="A58" s="64"/>
      <c r="B58" s="64"/>
      <c r="G58" s="100"/>
    </row>
    <row r="59" spans="1:7" x14ac:dyDescent="0.2">
      <c r="A59" s="64"/>
      <c r="B59" s="64">
        <v>2</v>
      </c>
      <c r="C59" s="8" t="s">
        <v>86</v>
      </c>
      <c r="G59" s="100"/>
    </row>
    <row r="60" spans="1:7" x14ac:dyDescent="0.2">
      <c r="A60" s="64"/>
      <c r="B60" s="64"/>
      <c r="C60" s="8" t="s">
        <v>140</v>
      </c>
      <c r="E60" s="47">
        <v>1928608911</v>
      </c>
      <c r="F60" s="47">
        <v>2004946119</v>
      </c>
      <c r="G60" s="73">
        <f>IF(ISERROR(ROUND(E60/F60,6)),0,ROUND(E60/F60,6))</f>
        <v>0.96192599999999995</v>
      </c>
    </row>
    <row r="61" spans="1:7" x14ac:dyDescent="0.2">
      <c r="A61" s="64"/>
      <c r="B61" s="64"/>
      <c r="G61" s="100"/>
    </row>
    <row r="62" spans="1:7" x14ac:dyDescent="0.2">
      <c r="B62" s="38" t="s">
        <v>68</v>
      </c>
      <c r="C62" s="8" t="s">
        <v>6</v>
      </c>
      <c r="D62" s="8"/>
      <c r="G62" s="100"/>
    </row>
    <row r="63" spans="1:7" x14ac:dyDescent="0.2">
      <c r="B63" s="3" t="s">
        <v>51</v>
      </c>
      <c r="C63" s="68" t="s">
        <v>129</v>
      </c>
      <c r="D63" s="2"/>
      <c r="G63" s="100"/>
    </row>
    <row r="64" spans="1:7" x14ac:dyDescent="0.2">
      <c r="B64" s="3"/>
      <c r="C64" s="2" t="s">
        <v>87</v>
      </c>
      <c r="D64" s="2"/>
      <c r="E64" s="43">
        <v>4999628096</v>
      </c>
      <c r="F64" s="43">
        <v>5284415164</v>
      </c>
      <c r="G64" s="100"/>
    </row>
    <row r="65" spans="1:7" x14ac:dyDescent="0.2">
      <c r="B65" s="3" t="s">
        <v>58</v>
      </c>
      <c r="C65" s="2" t="s">
        <v>88</v>
      </c>
      <c r="D65" s="2"/>
      <c r="E65" s="57"/>
      <c r="F65" s="57"/>
      <c r="G65" s="100"/>
    </row>
    <row r="66" spans="1:7" x14ac:dyDescent="0.2">
      <c r="B66" s="3"/>
      <c r="C66" s="2" t="s">
        <v>89</v>
      </c>
      <c r="D66" s="2"/>
      <c r="E66" s="57">
        <v>0</v>
      </c>
      <c r="F66" s="57">
        <v>0</v>
      </c>
      <c r="G66" s="100"/>
    </row>
    <row r="67" spans="1:7" x14ac:dyDescent="0.2">
      <c r="B67" s="3"/>
      <c r="C67" s="2" t="s">
        <v>90</v>
      </c>
      <c r="D67" s="2"/>
      <c r="E67" s="57">
        <v>0</v>
      </c>
      <c r="F67" s="57">
        <v>0</v>
      </c>
      <c r="G67" s="100"/>
    </row>
    <row r="68" spans="1:7" x14ac:dyDescent="0.2">
      <c r="B68" s="3" t="s">
        <v>61</v>
      </c>
      <c r="C68" s="2" t="s">
        <v>91</v>
      </c>
      <c r="D68" s="2"/>
      <c r="E68" s="47">
        <v>87742425</v>
      </c>
      <c r="F68" s="47">
        <v>87742425</v>
      </c>
      <c r="G68" s="100"/>
    </row>
    <row r="69" spans="1:7" x14ac:dyDescent="0.2">
      <c r="B69" s="3"/>
      <c r="C69" s="8" t="s">
        <v>134</v>
      </c>
      <c r="D69" s="8"/>
      <c r="E69" s="92">
        <f>SUM(E63:E68)</f>
        <v>5087370521</v>
      </c>
      <c r="F69" s="92">
        <f>SUM(F63:F68)</f>
        <v>5372157589</v>
      </c>
      <c r="G69" s="93">
        <f>IF(ISERROR(ROUND(E69*2/F69,6)),0,ROUND(E69*2/F69,6))</f>
        <v>1.893977</v>
      </c>
    </row>
    <row r="70" spans="1:7" hidden="1" x14ac:dyDescent="0.2">
      <c r="B70" s="3"/>
      <c r="C70" s="2" t="s">
        <v>92</v>
      </c>
      <c r="D70" s="2"/>
      <c r="E70" s="54"/>
      <c r="F70" s="54"/>
      <c r="G70" s="103">
        <f>IF(ISERROR(ROUND(E69/F69,6)),0,ROUND(E69/F69,6)*2)</f>
        <v>1.8939760000000001</v>
      </c>
    </row>
    <row r="71" spans="1:7" hidden="1" x14ac:dyDescent="0.2">
      <c r="B71" s="38" t="s">
        <v>67</v>
      </c>
      <c r="C71" s="8" t="s">
        <v>130</v>
      </c>
      <c r="D71" s="8"/>
      <c r="G71" s="73">
        <f>E69/F69</f>
        <v>0.9469883257737769</v>
      </c>
    </row>
    <row r="72" spans="1:7" x14ac:dyDescent="0.2">
      <c r="A72" s="64"/>
      <c r="B72" s="38"/>
      <c r="C72" s="8"/>
      <c r="D72" s="8"/>
      <c r="G72" s="73"/>
    </row>
    <row r="73" spans="1:7" x14ac:dyDescent="0.2">
      <c r="B73" s="38" t="s">
        <v>78</v>
      </c>
      <c r="C73" s="8" t="s">
        <v>141</v>
      </c>
      <c r="D73" s="8"/>
      <c r="G73" s="73">
        <f>+G57+G60+G69</f>
        <v>3.7710889999999999</v>
      </c>
    </row>
    <row r="74" spans="1:7" x14ac:dyDescent="0.2">
      <c r="A74" s="64"/>
      <c r="B74" s="38"/>
      <c r="C74" s="68"/>
      <c r="D74" s="8"/>
      <c r="G74" s="100"/>
    </row>
    <row r="75" spans="1:7" x14ac:dyDescent="0.2">
      <c r="B75" s="38" t="s">
        <v>80</v>
      </c>
      <c r="C75" s="68" t="s">
        <v>142</v>
      </c>
      <c r="D75" s="2"/>
      <c r="G75" s="102">
        <f>ROUND(G73/4,6)</f>
        <v>0.94277200000000005</v>
      </c>
    </row>
    <row r="76" spans="1:7" x14ac:dyDescent="0.2">
      <c r="B76" s="3"/>
      <c r="C76" s="2"/>
      <c r="D76" s="2"/>
      <c r="G76" s="59"/>
    </row>
    <row r="78" spans="1:7" x14ac:dyDescent="0.2">
      <c r="C78" s="8" t="s">
        <v>116</v>
      </c>
      <c r="D78" s="8"/>
      <c r="E78" s="52">
        <v>-788007845</v>
      </c>
    </row>
    <row r="80" spans="1:7" x14ac:dyDescent="0.2">
      <c r="B80" s="39" t="s">
        <v>101</v>
      </c>
      <c r="E80" s="44" t="s">
        <v>44</v>
      </c>
      <c r="F80" s="44" t="s">
        <v>45</v>
      </c>
      <c r="G80" s="41" t="s">
        <v>46</v>
      </c>
    </row>
    <row r="81" spans="2:7" x14ac:dyDescent="0.2">
      <c r="B81" s="39"/>
      <c r="C81" t="s">
        <v>148</v>
      </c>
      <c r="E81" s="45" t="s">
        <v>47</v>
      </c>
      <c r="F81" s="45" t="s">
        <v>48</v>
      </c>
      <c r="G81" s="36" t="s">
        <v>49</v>
      </c>
    </row>
    <row r="82" spans="2:7" x14ac:dyDescent="0.2">
      <c r="C82" t="s">
        <v>147</v>
      </c>
      <c r="E82" s="45" t="s">
        <v>9</v>
      </c>
      <c r="F82" s="45" t="s">
        <v>14</v>
      </c>
      <c r="G82" s="36" t="s">
        <v>9</v>
      </c>
    </row>
    <row r="83" spans="2:7" x14ac:dyDescent="0.2">
      <c r="E83" s="46"/>
      <c r="F83" s="46"/>
      <c r="G83" s="42" t="s">
        <v>50</v>
      </c>
    </row>
    <row r="84" spans="2:7" x14ac:dyDescent="0.2">
      <c r="B84" s="51" t="s">
        <v>40</v>
      </c>
      <c r="C84" s="8" t="s">
        <v>63</v>
      </c>
      <c r="D84" s="8"/>
      <c r="E84"/>
      <c r="F84"/>
    </row>
    <row r="85" spans="2:7" x14ac:dyDescent="0.2">
      <c r="B85" s="40"/>
      <c r="C85" s="2" t="s">
        <v>94</v>
      </c>
      <c r="D85" s="2"/>
      <c r="E85"/>
      <c r="F85"/>
      <c r="G85" s="48"/>
    </row>
    <row r="86" spans="2:7" x14ac:dyDescent="0.2">
      <c r="B86" s="3"/>
      <c r="C86" s="2" t="s">
        <v>95</v>
      </c>
      <c r="D86" s="2"/>
      <c r="E86" s="43">
        <v>593551698</v>
      </c>
      <c r="F86" s="43">
        <v>36675923563</v>
      </c>
      <c r="G86" s="48"/>
    </row>
    <row r="87" spans="2:7" x14ac:dyDescent="0.2">
      <c r="C87" s="2" t="s">
        <v>96</v>
      </c>
      <c r="D87" s="2"/>
      <c r="E87" s="47">
        <v>2951824</v>
      </c>
      <c r="F87" s="47">
        <v>995530672</v>
      </c>
      <c r="G87" s="50"/>
    </row>
    <row r="88" spans="2:7" x14ac:dyDescent="0.2">
      <c r="C88" s="2" t="s">
        <v>85</v>
      </c>
      <c r="D88" s="2"/>
      <c r="E88" s="52">
        <f>SUM(E85:E87)</f>
        <v>596503522</v>
      </c>
      <c r="F88" s="52">
        <f>SUM(F85:F87)</f>
        <v>37671454235</v>
      </c>
      <c r="G88" s="75">
        <f>IF(ISERROR(ROUND(E88/F88,6)),0,ROUND(E88/F88,6))</f>
        <v>1.5834000000000001E-2</v>
      </c>
    </row>
    <row r="89" spans="2:7" x14ac:dyDescent="0.2">
      <c r="G89" s="100"/>
    </row>
    <row r="90" spans="2:7" x14ac:dyDescent="0.2">
      <c r="B90" s="51" t="s">
        <v>67</v>
      </c>
      <c r="C90" s="8" t="s">
        <v>86</v>
      </c>
      <c r="D90" s="8"/>
      <c r="G90" s="100"/>
    </row>
    <row r="91" spans="2:7" x14ac:dyDescent="0.2">
      <c r="C91" s="2" t="s">
        <v>97</v>
      </c>
      <c r="D91" s="2"/>
      <c r="E91" s="52">
        <v>12626847</v>
      </c>
      <c r="F91" s="52">
        <v>2004946119</v>
      </c>
      <c r="G91" s="75">
        <f>IF(ISERROR(ROUND(E91/F91,6)),0,ROUND(E91/F91,6))</f>
        <v>6.2979999999999998E-3</v>
      </c>
    </row>
    <row r="92" spans="2:7" x14ac:dyDescent="0.2">
      <c r="G92" s="100"/>
    </row>
    <row r="93" spans="2:7" x14ac:dyDescent="0.2">
      <c r="B93" s="38" t="s">
        <v>68</v>
      </c>
      <c r="C93" s="8" t="s">
        <v>69</v>
      </c>
      <c r="D93" s="8"/>
      <c r="G93" s="100"/>
    </row>
    <row r="94" spans="2:7" x14ac:dyDescent="0.2">
      <c r="B94" s="3"/>
      <c r="C94" s="2" t="s">
        <v>98</v>
      </c>
      <c r="D94" s="2"/>
      <c r="E94" s="52">
        <v>0</v>
      </c>
      <c r="F94" s="52">
        <v>11586707102</v>
      </c>
      <c r="G94" s="93">
        <f>IF(ISERROR(ROUND(E94/F94,6)),0,ROUND(E94/F94,6))</f>
        <v>0</v>
      </c>
    </row>
    <row r="95" spans="2:7" x14ac:dyDescent="0.2">
      <c r="B95" s="3"/>
      <c r="C95" s="2"/>
      <c r="D95" s="2"/>
      <c r="E95" s="52"/>
      <c r="F95" s="52"/>
      <c r="G95" s="101"/>
    </row>
    <row r="96" spans="2:7" x14ac:dyDescent="0.2">
      <c r="B96" s="38" t="s">
        <v>78</v>
      </c>
      <c r="C96" s="8" t="s">
        <v>99</v>
      </c>
      <c r="D96" s="8"/>
      <c r="G96" s="73">
        <f>G88+G91+G94</f>
        <v>2.2131999999999999E-2</v>
      </c>
    </row>
    <row r="97" spans="2:7" x14ac:dyDescent="0.2">
      <c r="B97" s="38"/>
      <c r="C97" s="8"/>
      <c r="D97" s="8"/>
      <c r="G97" s="73"/>
    </row>
    <row r="98" spans="2:7" x14ac:dyDescent="0.2">
      <c r="B98" s="38" t="s">
        <v>80</v>
      </c>
      <c r="C98" s="8" t="s">
        <v>100</v>
      </c>
      <c r="D98" s="8"/>
      <c r="G98" s="102">
        <f>ROUND(G96/3,6)</f>
        <v>7.3769999999999999E-3</v>
      </c>
    </row>
    <row r="101" spans="2:7" x14ac:dyDescent="0.2">
      <c r="C101" s="8" t="s">
        <v>117</v>
      </c>
      <c r="D101" s="8"/>
      <c r="E101" s="52">
        <v>143674806</v>
      </c>
    </row>
    <row r="103" spans="2:7" x14ac:dyDescent="0.2">
      <c r="B103" s="39" t="s">
        <v>102</v>
      </c>
      <c r="E103" s="44" t="s">
        <v>44</v>
      </c>
      <c r="F103" s="44" t="s">
        <v>45</v>
      </c>
      <c r="G103" s="41" t="s">
        <v>46</v>
      </c>
    </row>
    <row r="104" spans="2:7" x14ac:dyDescent="0.2">
      <c r="B104" s="39"/>
      <c r="C104" t="s">
        <v>146</v>
      </c>
      <c r="E104" s="45" t="s">
        <v>47</v>
      </c>
      <c r="F104" s="45" t="s">
        <v>48</v>
      </c>
      <c r="G104" s="36" t="s">
        <v>49</v>
      </c>
    </row>
    <row r="105" spans="2:7" x14ac:dyDescent="0.2">
      <c r="C105" t="s">
        <v>147</v>
      </c>
      <c r="E105" s="45" t="s">
        <v>103</v>
      </c>
      <c r="F105" s="45" t="s">
        <v>14</v>
      </c>
      <c r="G105" s="36" t="s">
        <v>103</v>
      </c>
    </row>
    <row r="106" spans="2:7" x14ac:dyDescent="0.2">
      <c r="E106" s="46"/>
      <c r="F106" s="46"/>
      <c r="G106" s="42" t="s">
        <v>50</v>
      </c>
    </row>
    <row r="107" spans="2:7" x14ac:dyDescent="0.2">
      <c r="B107" s="51" t="s">
        <v>40</v>
      </c>
      <c r="C107" s="8" t="s">
        <v>63</v>
      </c>
      <c r="D107" s="8"/>
      <c r="E107"/>
      <c r="F107"/>
    </row>
    <row r="108" spans="2:7" x14ac:dyDescent="0.2">
      <c r="B108" s="40"/>
      <c r="C108" s="77" t="s">
        <v>104</v>
      </c>
      <c r="D108" s="77"/>
      <c r="E108"/>
      <c r="F108"/>
      <c r="G108" s="58"/>
    </row>
    <row r="109" spans="2:7" x14ac:dyDescent="0.2">
      <c r="C109" s="77" t="s">
        <v>105</v>
      </c>
      <c r="D109" s="77"/>
      <c r="E109" s="52">
        <v>535055</v>
      </c>
      <c r="F109" s="52">
        <v>37671454235</v>
      </c>
      <c r="G109" s="94">
        <f>IF(ISERROR(ROUND(E109/F109,6)),0,ROUND(E109/F109,6))</f>
        <v>1.4E-5</v>
      </c>
    </row>
    <row r="110" spans="2:7" x14ac:dyDescent="0.2">
      <c r="G110" s="95"/>
    </row>
    <row r="111" spans="2:7" x14ac:dyDescent="0.2">
      <c r="B111" s="51" t="s">
        <v>67</v>
      </c>
      <c r="C111" s="8" t="s">
        <v>86</v>
      </c>
      <c r="D111" s="8"/>
      <c r="G111" s="95"/>
    </row>
    <row r="112" spans="2:7" x14ac:dyDescent="0.2">
      <c r="C112" s="2" t="s">
        <v>106</v>
      </c>
      <c r="D112" s="2"/>
      <c r="E112" s="52">
        <v>0</v>
      </c>
      <c r="F112" s="52">
        <v>2004946119</v>
      </c>
      <c r="G112" s="96">
        <f>IF(ISERROR(ROUND(E112/F112,6)),0,ROUND(E112/F112,6))</f>
        <v>0</v>
      </c>
    </row>
    <row r="113" spans="2:7" x14ac:dyDescent="0.2">
      <c r="G113" s="95"/>
    </row>
    <row r="114" spans="2:7" x14ac:dyDescent="0.2">
      <c r="B114" s="38" t="s">
        <v>68</v>
      </c>
      <c r="C114" s="8" t="s">
        <v>69</v>
      </c>
      <c r="D114" s="8"/>
      <c r="G114" s="95"/>
    </row>
    <row r="115" spans="2:7" x14ac:dyDescent="0.2">
      <c r="B115" s="38"/>
      <c r="C115" s="2" t="s">
        <v>107</v>
      </c>
      <c r="D115" s="2"/>
      <c r="E115" s="78"/>
      <c r="F115" s="52"/>
      <c r="G115" s="95"/>
    </row>
    <row r="116" spans="2:7" x14ac:dyDescent="0.2">
      <c r="B116" s="3"/>
      <c r="C116" s="68" t="s">
        <v>131</v>
      </c>
      <c r="D116" s="2"/>
      <c r="E116" s="52">
        <v>0</v>
      </c>
      <c r="F116" s="52">
        <v>11586707102</v>
      </c>
      <c r="G116" s="97">
        <f>IF(ISERROR(ROUND(E116/F116,6)),0,ROUND(E116/F116,6))</f>
        <v>0</v>
      </c>
    </row>
    <row r="117" spans="2:7" x14ac:dyDescent="0.2">
      <c r="B117" s="3"/>
      <c r="C117" s="2"/>
      <c r="D117" s="2"/>
      <c r="E117" s="52"/>
      <c r="F117" s="52"/>
      <c r="G117" s="96"/>
    </row>
    <row r="118" spans="2:7" x14ac:dyDescent="0.2">
      <c r="B118" s="38" t="s">
        <v>78</v>
      </c>
      <c r="C118" s="8" t="s">
        <v>99</v>
      </c>
      <c r="D118" s="8"/>
      <c r="G118" s="98">
        <f>G109+G112+G116+G116</f>
        <v>1.4E-5</v>
      </c>
    </row>
    <row r="119" spans="2:7" x14ac:dyDescent="0.2">
      <c r="B119" s="38"/>
      <c r="C119" s="8"/>
      <c r="D119" s="8"/>
      <c r="G119" s="98"/>
    </row>
    <row r="120" spans="2:7" x14ac:dyDescent="0.2">
      <c r="B120" s="38" t="s">
        <v>80</v>
      </c>
      <c r="C120" s="8" t="s">
        <v>108</v>
      </c>
      <c r="D120" s="8"/>
      <c r="G120" s="99">
        <f>ROUND(G118/3,6)-0.000001</f>
        <v>4.0000000000000007E-6</v>
      </c>
    </row>
  </sheetData>
  <mergeCells count="2">
    <mergeCell ref="A1:G1"/>
    <mergeCell ref="A2:G2"/>
  </mergeCells>
  <pageMargins left="0.7" right="0.7" top="0.5" bottom="0.75" header="0.3" footer="0.3"/>
  <pageSetup scale="94" orientation="landscape" r:id="rId1"/>
  <headerFooter>
    <oddHeader>&amp;RTO9 Draft Annual Update
Attachment 4
WP-Schedule 26
Page &amp;P of &amp;N</oddHeader>
    <oddFooter>&amp;A</oddFooter>
  </headerFooter>
  <rowBreaks count="3" manualBreakCount="3">
    <brk id="40" max="16383" man="1"/>
    <brk id="75" max="16383" man="1"/>
    <brk id="9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26-TaxRates</vt:lpstr>
      <vt:lpstr>I - Composite Tax Rate</vt:lpstr>
      <vt:lpstr>Apportionment</vt:lpstr>
      <vt:lpstr>II - IV  Apportionment Detail</vt:lpstr>
      <vt:lpstr>'26-TaxRates'!Print_Area</vt:lpstr>
      <vt:lpstr>'I - Composite Tax Rate'!Print_Area</vt:lpstr>
      <vt:lpstr>'II - IV  Apportionment Detail'!Print_Titles</vt:lpstr>
    </vt:vector>
  </TitlesOfParts>
  <Company>Edison International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Standard Configuration</dc:creator>
  <cp:lastModifiedBy>Kim, Jee Young</cp:lastModifiedBy>
  <cp:lastPrinted>2014-08-05T00:15:11Z</cp:lastPrinted>
  <dcterms:created xsi:type="dcterms:W3CDTF">2010-10-21T18:16:53Z</dcterms:created>
  <dcterms:modified xsi:type="dcterms:W3CDTF">2014-11-21T23:02:55Z</dcterms:modified>
</cp:coreProperties>
</file>