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" yWindow="105" windowWidth="8850" windowHeight="11640"/>
  </bookViews>
  <sheets>
    <sheet name="Monthly Entry" sheetId="6" r:id="rId1"/>
    <sheet name="Balancing Acct" sheetId="10" r:id="rId2"/>
    <sheet name="Revenue" sheetId="7" r:id="rId3"/>
    <sheet name="DPV2 Rev Req" sheetId="1" r:id="rId4"/>
    <sheet name="Tehachapi Rev Req" sheetId="8" r:id="rId5"/>
    <sheet name="Rancho Vista Rev Req" sheetId="9" r:id="rId6"/>
    <sheet name="Eldorado Ivanpah Rev Req" sheetId="22" r:id="rId7"/>
    <sheet name="Lugo-Pisgah Rev Req" sheetId="21" r:id="rId8"/>
    <sheet name="Red Bluff Rev Req" sheetId="20" r:id="rId9"/>
    <sheet name="Whirlwind Rev Req" sheetId="32" r:id="rId10"/>
    <sheet name="CR Rev Req" sheetId="31" r:id="rId11"/>
    <sheet name="S of Kramer Rev Req" sheetId="30" r:id="rId12"/>
    <sheet name="W of Devers Rev Req" sheetId="29" r:id="rId13"/>
    <sheet name="DPV2 CWIP Balance" sheetId="11" r:id="rId14"/>
    <sheet name="DPV2 Transfer" sheetId="17" r:id="rId15"/>
    <sheet name="Tehachapi CWIP Balance" sheetId="12" r:id="rId16"/>
    <sheet name="Tehachapi Transfer" sheetId="19" r:id="rId17"/>
    <sheet name="Rancho Vista CWIP Balance" sheetId="13" r:id="rId18"/>
    <sheet name="Rancho Vista Transfer" sheetId="18" r:id="rId19"/>
    <sheet name="Red Bluff CWIP Balance" sheetId="24" r:id="rId20"/>
    <sheet name="Eldorado Ivanpah CWIP Balance" sheetId="28" r:id="rId21"/>
    <sheet name="Lugo-Pisgah CWIP Balance" sheetId="26" r:id="rId22"/>
    <sheet name="CR CWIP Balance" sheetId="35" r:id="rId23"/>
    <sheet name="W. of Devers CWIP Balance" sheetId="33" r:id="rId24"/>
    <sheet name="Whirlwind CWIP Balance" sheetId="36" r:id="rId25"/>
    <sheet name="S. of Kramer CWIP Balance" sheetId="34" r:id="rId26"/>
    <sheet name="Def Tax" sheetId="14" r:id="rId27"/>
    <sheet name="Beg int cap" sheetId="15" r:id="rId28"/>
    <sheet name="Cost of Capital" sheetId="5" r:id="rId29"/>
    <sheet name="Income Tax Rates" sheetId="4" r:id="rId30"/>
  </sheets>
  <externalReferences>
    <externalReference r:id="rId31"/>
  </externalReferences>
  <definedNames>
    <definedName name="\A">[1]Compliance!$C$1</definedName>
    <definedName name="\B">[1]Compliance!$C$21</definedName>
    <definedName name="\C">[1]Compliance!$C$40</definedName>
    <definedName name="_Fill" hidden="1">[1]Compliance!$A$1:$A$51</definedName>
    <definedName name="_Order1" hidden="1">255</definedName>
    <definedName name="_Order2" hidden="1">255</definedName>
    <definedName name="abc">'[1]T&amp;D ISO PERCENTAGE'!#REF!</definedName>
    <definedName name="ACRS">#REF!</definedName>
    <definedName name="ALF">#REF!</definedName>
    <definedName name="BK_Retail">#REF!</definedName>
    <definedName name="BK_Wholesale">#REF!</definedName>
    <definedName name="CD">#REF!</definedName>
    <definedName name="CF">#REF!</definedName>
    <definedName name="ch">[1]Exhibit!$A$8:$L$79</definedName>
    <definedName name="Chart">"Chart 3"</definedName>
    <definedName name="Conctr_PolCtl_TaxInc">#REF!</definedName>
    <definedName name="Constr_Inputs">#REF!</definedName>
    <definedName name="Constr_Phase">#REF!</definedName>
    <definedName name="Constr_PollCtl">#REF!</definedName>
    <definedName name="Constr_Tax_IncStm">#REF!</definedName>
    <definedName name="Debt">#REF!</definedName>
    <definedName name="DebtR">#REF!</definedName>
    <definedName name="DepR">#REF!</definedName>
    <definedName name="DisR">#REF!</definedName>
    <definedName name="DR">#REF!</definedName>
    <definedName name="DTaxConst">#REF!</definedName>
    <definedName name="END">[1]Compliance!$C$44</definedName>
    <definedName name="ENG">#REF!</definedName>
    <definedName name="Equity">#REF!</definedName>
    <definedName name="EquityR">#REF!</definedName>
    <definedName name="FACTOR2">'[1]#REF'!$T$11</definedName>
    <definedName name="FACTOR3">'[1]#REF'!$T$12</definedName>
    <definedName name="FACTOR4">'[1]#REF'!$T$13</definedName>
    <definedName name="FIT">#REF!</definedName>
    <definedName name="Fuel">#REF!</definedName>
    <definedName name="IBT">#REF!</definedName>
    <definedName name="IDC">#REF!</definedName>
    <definedName name="InServ_Calc">#REF!</definedName>
    <definedName name="InServ_Inputs">#REF!</definedName>
    <definedName name="InsR">#REF!</definedName>
    <definedName name="INT">#REF!</definedName>
    <definedName name="Life">#REF!</definedName>
    <definedName name="LOCATIONS">[1]Compliance!$A$8:$L$81</definedName>
    <definedName name="MAR">#REF!</definedName>
    <definedName name="MET">#REF!</definedName>
    <definedName name="METc">#REF!</definedName>
    <definedName name="MSBT">#REF!</definedName>
    <definedName name="NP">#REF!</definedName>
    <definedName name="OMkW">#REF!</definedName>
    <definedName name="OMkWh">#REF!</definedName>
    <definedName name="Op_Inc_Stmt">#REF!</definedName>
    <definedName name="PIS">#REF!</definedName>
    <definedName name="Pref">#REF!</definedName>
    <definedName name="PrefR">#REF!</definedName>
    <definedName name="PRINT_ACCT_101">[1]Compliance!$C$24</definedName>
    <definedName name="PRINT_ACCT_106">[1]Compliance!$C$31</definedName>
    <definedName name="PRINT_ALL">[1]Compliance!$C$44</definedName>
    <definedName name="_xlnm.Print_Area" localSheetId="1">'Balancing Acct'!$A$1:$AW$37</definedName>
    <definedName name="_xlnm.Print_Area" localSheetId="27">'Beg int cap'!$A$1:$E$64</definedName>
    <definedName name="_xlnm.Print_Area" localSheetId="28">'Cost of Capital'!$A$1:$H$195</definedName>
    <definedName name="_xlnm.Print_Area" localSheetId="10">'CR Rev Req'!$A$1:$K$70</definedName>
    <definedName name="_xlnm.Print_Area" localSheetId="26">'Def Tax'!$A$7:$G$922</definedName>
    <definedName name="_xlnm.Print_Area" localSheetId="13">'DPV2 CWIP Balance'!$A$1:$E$68</definedName>
    <definedName name="_xlnm.Print_Area" localSheetId="3">'DPV2 Rev Req'!$A$8:$AX$69</definedName>
    <definedName name="_xlnm.Print_Area" localSheetId="14">'DPV2 Transfer'!$A$1:$L$32</definedName>
    <definedName name="_xlnm.Print_Area" localSheetId="6">'Eldorado Ivanpah Rev Req'!$A$1:$O$69</definedName>
    <definedName name="_xlnm.Print_Area" localSheetId="29">'Income Tax Rates'!$A$1:$L$77</definedName>
    <definedName name="_xlnm.Print_Area" localSheetId="7">'Lugo-Pisgah Rev Req'!$A$1:$O$69</definedName>
    <definedName name="_xlnm.Print_Area" localSheetId="17">'Rancho Vista CWIP Balance'!$A$1:$E$68</definedName>
    <definedName name="_xlnm.Print_Area" localSheetId="5">'Rancho Vista Rev Req'!$A$8:$AX$69</definedName>
    <definedName name="_xlnm.Print_Area" localSheetId="18">'Rancho Vista Transfer'!$A$1:$L$26</definedName>
    <definedName name="_xlnm.Print_Area" localSheetId="8">'Red Bluff Rev Req'!$A$1:$O$69</definedName>
    <definedName name="_xlnm.Print_Area" localSheetId="2">Revenue!$A$1:$AX$22</definedName>
    <definedName name="_xlnm.Print_Area" localSheetId="11">'S of Kramer Rev Req'!$A$1:$K$70</definedName>
    <definedName name="_xlnm.Print_Area" localSheetId="15">'Tehachapi CWIP Balance'!$A$1:$E$68</definedName>
    <definedName name="_xlnm.Print_Area" localSheetId="4">'Tehachapi Rev Req'!$A$8:$AX$69</definedName>
    <definedName name="_xlnm.Print_Area" localSheetId="16">'Tehachapi Transfer'!$A$1:$L$33</definedName>
    <definedName name="_xlnm.Print_Area" localSheetId="12">'W of Devers Rev Req'!$A$1:$K$70</definedName>
    <definedName name="_xlnm.Print_Area" localSheetId="9">'Whirlwind Rev Req'!$A$1:$K$70</definedName>
    <definedName name="PRINT_MARCOS">[1]Compliance!$C$38</definedName>
    <definedName name="PRINT_SUBSTATIO">[1]Compliance!$C$17</definedName>
    <definedName name="PRINT_SUMMARY">[1]Compliance!$C$10</definedName>
    <definedName name="PRINT_TDSUM">[1]Compliance!$C$3</definedName>
    <definedName name="_xlnm.Print_Titles" localSheetId="1">'Balancing Acct'!$A:$A</definedName>
    <definedName name="_xlnm.Print_Titles" localSheetId="28">'Cost of Capital'!$1:$3</definedName>
    <definedName name="_xlnm.Print_Titles" localSheetId="26">'Def Tax'!$1:$6</definedName>
    <definedName name="_xlnm.Print_Titles" localSheetId="3">'DPV2 Rev Req'!$A:$B,'DPV2 Rev Req'!$1:$7</definedName>
    <definedName name="_xlnm.Print_Titles" localSheetId="0">'Monthly Entry'!$A:$B</definedName>
    <definedName name="_xlnm.Print_Titles" localSheetId="5">'Rancho Vista Rev Req'!$A:$B,'Rancho Vista Rev Req'!$1:$7</definedName>
    <definedName name="_xlnm.Print_Titles" localSheetId="2">Revenue!$A:$B</definedName>
    <definedName name="_xlnm.Print_Titles" localSheetId="4">'Tehachapi Rev Req'!$A:$B,'Tehachapi Rev Req'!$1:$7</definedName>
    <definedName name="PROD">#REF!</definedName>
    <definedName name="PrSumm">#REF!</definedName>
    <definedName name="PrYrs">#REF!</definedName>
    <definedName name="PTax">#REF!</definedName>
    <definedName name="RB">#REF!</definedName>
    <definedName name="Ret">#REF!</definedName>
    <definedName name="S">#REF!</definedName>
    <definedName name="SIT">#REF!</definedName>
    <definedName name="STD">#REF!</definedName>
    <definedName name="TaxBasis">#REF!</definedName>
    <definedName name="Tr">#REF!</definedName>
    <definedName name="WCOD">#REF!</definedName>
    <definedName name="WtCOD">#REF!</definedName>
  </definedNames>
  <calcPr calcId="145621"/>
</workbook>
</file>

<file path=xl/calcChain.xml><?xml version="1.0" encoding="utf-8"?>
<calcChain xmlns="http://schemas.openxmlformats.org/spreadsheetml/2006/main">
  <c r="E25" i="34" l="1"/>
  <c r="D25" i="34"/>
  <c r="C25" i="34"/>
  <c r="B25" i="34"/>
  <c r="E25" i="36"/>
  <c r="D25" i="36"/>
  <c r="C25" i="36"/>
  <c r="B25" i="36"/>
  <c r="E25" i="33"/>
  <c r="D25" i="33"/>
  <c r="C25" i="33"/>
  <c r="B25" i="33"/>
  <c r="B29" i="26"/>
  <c r="C29" i="26"/>
  <c r="D29" i="26"/>
  <c r="E29" i="26"/>
  <c r="E29" i="28"/>
  <c r="D29" i="28"/>
  <c r="C29" i="28"/>
  <c r="B29" i="28"/>
  <c r="D29" i="24"/>
  <c r="C29" i="24"/>
  <c r="B29" i="24"/>
  <c r="E29" i="24"/>
  <c r="E64" i="11"/>
  <c r="E64" i="13"/>
  <c r="C27" i="5" l="1"/>
  <c r="C11" i="5"/>
  <c r="C91" i="5" l="1"/>
  <c r="C82" i="5"/>
  <c r="C74" i="5"/>
  <c r="C65" i="5"/>
  <c r="C53" i="5"/>
  <c r="C37" i="5"/>
  <c r="AX18" i="7" l="1"/>
  <c r="C28" i="28"/>
  <c r="C63" i="12"/>
  <c r="C62" i="12"/>
  <c r="C63" i="11"/>
  <c r="E64" i="12" l="1"/>
  <c r="J20" i="18" l="1"/>
  <c r="J19" i="18"/>
  <c r="J23" i="17"/>
  <c r="J21" i="17"/>
  <c r="J20" i="17"/>
  <c r="J19" i="17"/>
  <c r="J23" i="19"/>
  <c r="C10" i="19" l="1"/>
  <c r="B10" i="19"/>
  <c r="D10" i="19" l="1"/>
  <c r="B304" i="14"/>
  <c r="AW22" i="7"/>
  <c r="AW18" i="7" l="1"/>
  <c r="C62" i="11"/>
  <c r="C61" i="12" l="1"/>
  <c r="C61" i="11"/>
  <c r="D9" i="5" l="1"/>
  <c r="AV18" i="7" l="1"/>
  <c r="C60" i="11" l="1"/>
  <c r="C60" i="12"/>
  <c r="C59" i="11" l="1"/>
  <c r="C58" i="11"/>
  <c r="C57" i="11"/>
  <c r="C56" i="11"/>
  <c r="C55" i="11"/>
  <c r="C54" i="11"/>
  <c r="C53" i="11"/>
  <c r="C51" i="11"/>
  <c r="C52" i="11"/>
  <c r="C50" i="11"/>
  <c r="C48" i="11"/>
  <c r="B10" i="17" l="1"/>
  <c r="D10" i="17" s="1"/>
  <c r="C10" i="17"/>
  <c r="B105" i="14" s="1"/>
  <c r="AU18" i="7"/>
  <c r="AT18" i="7" l="1"/>
  <c r="C59" i="12"/>
  <c r="C64" i="11"/>
  <c r="C23" i="28" l="1"/>
  <c r="C58" i="12"/>
  <c r="AS18" i="7"/>
  <c r="AR18" i="7" l="1"/>
  <c r="C22" i="28"/>
  <c r="C57" i="12"/>
  <c r="C49" i="11" l="1"/>
  <c r="C47" i="11"/>
  <c r="C46" i="11"/>
  <c r="C45" i="11"/>
  <c r="C44" i="11"/>
  <c r="C43" i="11"/>
  <c r="C42" i="11"/>
  <c r="C41" i="11"/>
  <c r="C40" i="11"/>
  <c r="C39" i="11"/>
  <c r="C38" i="11"/>
  <c r="C37" i="11"/>
  <c r="C36" i="11" l="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AQ20" i="7" l="1"/>
  <c r="AQ18" i="7"/>
  <c r="AQ19" i="7" s="1"/>
  <c r="C21" i="28" l="1"/>
  <c r="C56" i="12"/>
  <c r="D56" i="11"/>
  <c r="B56" i="11" l="1"/>
  <c r="C49" i="12" l="1"/>
  <c r="C50" i="12"/>
  <c r="C52" i="12"/>
  <c r="C54" i="12" l="1"/>
  <c r="C55" i="12"/>
  <c r="C20" i="28" l="1"/>
  <c r="C51" i="12" l="1"/>
  <c r="C53" i="12"/>
  <c r="AP18" i="7"/>
  <c r="AP19" i="7" s="1"/>
  <c r="AO18" i="7" l="1"/>
  <c r="C19" i="28" l="1"/>
  <c r="C18" i="28"/>
  <c r="C17" i="28"/>
  <c r="AO19" i="7" l="1"/>
  <c r="B893" i="14" l="1"/>
  <c r="B881" i="14"/>
  <c r="B882" i="14"/>
  <c r="B883" i="14"/>
  <c r="B884" i="14"/>
  <c r="B885" i="14"/>
  <c r="F891" i="14" s="1"/>
  <c r="B848" i="14" l="1"/>
  <c r="B840" i="14"/>
  <c r="F846" i="14" s="1"/>
  <c r="B839" i="14"/>
  <c r="B838" i="14"/>
  <c r="B837" i="14"/>
  <c r="B836" i="14"/>
  <c r="B803" i="14"/>
  <c r="B794" i="14"/>
  <c r="F800" i="14" s="1"/>
  <c r="B793" i="14"/>
  <c r="B792" i="14"/>
  <c r="B791" i="14"/>
  <c r="B790" i="14"/>
  <c r="B757" i="14" l="1"/>
  <c r="B749" i="14"/>
  <c r="F755" i="14" s="1"/>
  <c r="B748" i="14"/>
  <c r="B746" i="14"/>
  <c r="B747" i="14"/>
  <c r="B745" i="14"/>
  <c r="E67" i="4" l="1"/>
  <c r="E68" i="4"/>
  <c r="E69" i="4"/>
  <c r="E71" i="4"/>
  <c r="E73" i="4"/>
  <c r="E74" i="4"/>
  <c r="C168" i="5"/>
  <c r="C184" i="5" s="1"/>
  <c r="B63" i="15"/>
  <c r="D63" i="15" s="1"/>
  <c r="E50" i="15"/>
  <c r="B62" i="15"/>
  <c r="D62" i="15" s="1"/>
  <c r="B61" i="15"/>
  <c r="D61" i="15" s="1"/>
  <c r="D60" i="15"/>
  <c r="B60" i="15"/>
  <c r="C54" i="15"/>
  <c r="E49" i="15"/>
  <c r="C848" i="14" s="1"/>
  <c r="E48" i="15"/>
  <c r="C803" i="14" s="1"/>
  <c r="E47" i="15"/>
  <c r="C757" i="14" s="1"/>
  <c r="A910" i="14"/>
  <c r="C893" i="14"/>
  <c r="A890" i="14"/>
  <c r="A865" i="14"/>
  <c r="A845" i="14"/>
  <c r="A820" i="14"/>
  <c r="A799" i="14"/>
  <c r="A774" i="14"/>
  <c r="A754" i="14"/>
  <c r="D24" i="33"/>
  <c r="D23" i="33"/>
  <c r="D22" i="33"/>
  <c r="D21" i="33"/>
  <c r="D20" i="33"/>
  <c r="D19" i="33"/>
  <c r="D18" i="33"/>
  <c r="D17" i="33"/>
  <c r="D16" i="33"/>
  <c r="D15" i="33"/>
  <c r="D24" i="34"/>
  <c r="D23" i="34"/>
  <c r="D22" i="34"/>
  <c r="D21" i="34"/>
  <c r="D20" i="34"/>
  <c r="D19" i="34"/>
  <c r="D18" i="34"/>
  <c r="D17" i="34"/>
  <c r="D16" i="34"/>
  <c r="D15" i="34"/>
  <c r="E25" i="35"/>
  <c r="D24" i="35"/>
  <c r="D23" i="35"/>
  <c r="D22" i="35"/>
  <c r="D21" i="35"/>
  <c r="D20" i="35"/>
  <c r="D19" i="35"/>
  <c r="D18" i="35"/>
  <c r="D17" i="35"/>
  <c r="D16" i="35"/>
  <c r="D15" i="35"/>
  <c r="D24" i="36"/>
  <c r="D23" i="36"/>
  <c r="D22" i="36"/>
  <c r="D21" i="36"/>
  <c r="D20" i="36"/>
  <c r="D19" i="36"/>
  <c r="D18" i="36"/>
  <c r="D17" i="36"/>
  <c r="D16" i="36"/>
  <c r="D15" i="36"/>
  <c r="B17" i="36" l="1"/>
  <c r="B21" i="36"/>
  <c r="B18" i="36"/>
  <c r="B22" i="36"/>
  <c r="B15" i="36"/>
  <c r="B19" i="36"/>
  <c r="B23" i="36"/>
  <c r="B758" i="14"/>
  <c r="B759" i="14" s="1"/>
  <c r="B760" i="14" s="1"/>
  <c r="B761" i="14" s="1"/>
  <c r="B762" i="14" s="1"/>
  <c r="B763" i="14" s="1"/>
  <c r="B764" i="14" s="1"/>
  <c r="B765" i="14" s="1"/>
  <c r="B766" i="14" s="1"/>
  <c r="B20" i="36"/>
  <c r="B24" i="36"/>
  <c r="B804" i="14"/>
  <c r="B805" i="14" s="1"/>
  <c r="B806" i="14" s="1"/>
  <c r="B807" i="14" s="1"/>
  <c r="B808" i="14" s="1"/>
  <c r="B809" i="14" s="1"/>
  <c r="B810" i="14" s="1"/>
  <c r="B811" i="14" s="1"/>
  <c r="B812" i="14" s="1"/>
  <c r="B20" i="35"/>
  <c r="B24" i="35"/>
  <c r="B21" i="35"/>
  <c r="B22" i="35"/>
  <c r="B15" i="35"/>
  <c r="B19" i="35"/>
  <c r="B23" i="35"/>
  <c r="B22" i="34"/>
  <c r="B21" i="34"/>
  <c r="B20" i="34"/>
  <c r="B19" i="34"/>
  <c r="B17" i="34"/>
  <c r="B15" i="34"/>
  <c r="B849" i="14"/>
  <c r="B850" i="14" s="1"/>
  <c r="B851" i="14" s="1"/>
  <c r="B852" i="14" s="1"/>
  <c r="B853" i="14" s="1"/>
  <c r="B854" i="14" s="1"/>
  <c r="B855" i="14" s="1"/>
  <c r="B856" i="14" s="1"/>
  <c r="B857" i="14" s="1"/>
  <c r="B24" i="33"/>
  <c r="B23" i="33"/>
  <c r="B22" i="33"/>
  <c r="B21" i="33"/>
  <c r="B20" i="33"/>
  <c r="B19" i="33"/>
  <c r="B18" i="33"/>
  <c r="B894" i="14"/>
  <c r="B895" i="14" s="1"/>
  <c r="B896" i="14" s="1"/>
  <c r="B897" i="14" s="1"/>
  <c r="B898" i="14" s="1"/>
  <c r="B899" i="14" s="1"/>
  <c r="B900" i="14" s="1"/>
  <c r="B901" i="14" s="1"/>
  <c r="B902" i="14" s="1"/>
  <c r="B15" i="33"/>
  <c r="B23" i="34"/>
  <c r="B24" i="34"/>
  <c r="C25" i="35"/>
  <c r="B16" i="33"/>
  <c r="E70" i="4"/>
  <c r="E72" i="4" s="1"/>
  <c r="D757" i="14"/>
  <c r="E758" i="14" s="1"/>
  <c r="F758" i="14" s="1"/>
  <c r="B776" i="14" s="1"/>
  <c r="B16" i="35"/>
  <c r="B16" i="34"/>
  <c r="D803" i="14"/>
  <c r="E804" i="14" s="1"/>
  <c r="C804" i="14" s="1"/>
  <c r="F803" i="14"/>
  <c r="F757" i="14"/>
  <c r="B775" i="14" s="1"/>
  <c r="D25" i="35"/>
  <c r="B17" i="33"/>
  <c r="B17" i="35"/>
  <c r="B18" i="35"/>
  <c r="D848" i="14"/>
  <c r="E849" i="14" s="1"/>
  <c r="F848" i="14"/>
  <c r="B18" i="34"/>
  <c r="F893" i="14"/>
  <c r="D893" i="14"/>
  <c r="E894" i="14" s="1"/>
  <c r="C894" i="14" s="1"/>
  <c r="E75" i="4"/>
  <c r="E76" i="4"/>
  <c r="C176" i="5"/>
  <c r="C192" i="5" s="1"/>
  <c r="B16" i="36"/>
  <c r="D804" i="14" l="1"/>
  <c r="E805" i="14" s="1"/>
  <c r="D36" i="31" s="1"/>
  <c r="D894" i="14"/>
  <c r="E895" i="14" s="1"/>
  <c r="F895" i="14" s="1"/>
  <c r="C36" i="32"/>
  <c r="C758" i="14"/>
  <c r="D758" i="14" s="1"/>
  <c r="F805" i="14"/>
  <c r="D47" i="31" s="1"/>
  <c r="C36" i="31"/>
  <c r="F804" i="14"/>
  <c r="C47" i="31" s="1"/>
  <c r="I47" i="32"/>
  <c r="K47" i="32"/>
  <c r="J47" i="32"/>
  <c r="C47" i="32"/>
  <c r="B25" i="35"/>
  <c r="F894" i="14"/>
  <c r="C36" i="29"/>
  <c r="F849" i="14"/>
  <c r="C47" i="30" s="1"/>
  <c r="C36" i="30"/>
  <c r="C775" i="14"/>
  <c r="D36" i="29" l="1"/>
  <c r="D58" i="31"/>
  <c r="C58" i="31"/>
  <c r="C47" i="29"/>
  <c r="B912" i="14"/>
  <c r="D47" i="29"/>
  <c r="B913" i="14"/>
  <c r="C58" i="30"/>
  <c r="C895" i="14"/>
  <c r="C776" i="14"/>
  <c r="E759" i="14"/>
  <c r="D36" i="32" s="1"/>
  <c r="AW21" i="10"/>
  <c r="AV21" i="10"/>
  <c r="AU21" i="10"/>
  <c r="AT21" i="10"/>
  <c r="AS21" i="10"/>
  <c r="AR21" i="10"/>
  <c r="AQ21" i="10"/>
  <c r="AP21" i="10"/>
  <c r="AO21" i="10"/>
  <c r="AN21" i="10"/>
  <c r="AM21" i="10"/>
  <c r="AL21" i="10"/>
  <c r="D58" i="29" l="1"/>
  <c r="C58" i="29"/>
  <c r="D895" i="14"/>
  <c r="E896" i="14" s="1"/>
  <c r="F759" i="14"/>
  <c r="C759" i="14"/>
  <c r="D759" i="14" s="1"/>
  <c r="E760" i="14" s="1"/>
  <c r="E36" i="32" s="1"/>
  <c r="B777" i="14" l="1"/>
  <c r="C777" i="14" s="1"/>
  <c r="D47" i="32"/>
  <c r="D58" i="32" s="1"/>
  <c r="F896" i="14"/>
  <c r="E36" i="29"/>
  <c r="C896" i="14"/>
  <c r="D896" i="14" s="1"/>
  <c r="E897" i="14" s="1"/>
  <c r="F760" i="14"/>
  <c r="C760" i="14"/>
  <c r="D760" i="14" s="1"/>
  <c r="E761" i="14" s="1"/>
  <c r="F36" i="32" s="1"/>
  <c r="AN18" i="7"/>
  <c r="B778" i="14" l="1"/>
  <c r="E47" i="32"/>
  <c r="E47" i="29"/>
  <c r="B914" i="14"/>
  <c r="F897" i="14"/>
  <c r="F36" i="29"/>
  <c r="C897" i="14"/>
  <c r="D897" i="14" s="1"/>
  <c r="E898" i="14" s="1"/>
  <c r="F761" i="14"/>
  <c r="C761" i="14"/>
  <c r="D761" i="14" s="1"/>
  <c r="E762" i="14" s="1"/>
  <c r="G36" i="32" s="1"/>
  <c r="E58" i="29" l="1"/>
  <c r="B779" i="14"/>
  <c r="F47" i="32"/>
  <c r="F898" i="14"/>
  <c r="G36" i="29"/>
  <c r="F47" i="29"/>
  <c r="B915" i="14"/>
  <c r="C898" i="14"/>
  <c r="D898" i="14" s="1"/>
  <c r="E899" i="14" s="1"/>
  <c r="F762" i="14"/>
  <c r="B780" i="14" l="1"/>
  <c r="G47" i="32"/>
  <c r="F899" i="14"/>
  <c r="H36" i="29"/>
  <c r="F58" i="29"/>
  <c r="G47" i="29"/>
  <c r="B916" i="14"/>
  <c r="C762" i="14"/>
  <c r="D762" i="14" s="1"/>
  <c r="E763" i="14" s="1"/>
  <c r="H36" i="32" s="1"/>
  <c r="AN52" i="9"/>
  <c r="AN53" i="9" s="1"/>
  <c r="AN59" i="9" s="1"/>
  <c r="AO52" i="9"/>
  <c r="AP52" i="9"/>
  <c r="AQ52" i="9"/>
  <c r="AR52" i="9"/>
  <c r="AR53" i="9" s="1"/>
  <c r="AR59" i="9" s="1"/>
  <c r="AS52" i="9"/>
  <c r="AT52" i="9"/>
  <c r="AU52" i="9"/>
  <c r="AV52" i="9"/>
  <c r="AV53" i="9" s="1"/>
  <c r="AV59" i="9" s="1"/>
  <c r="AW52" i="9"/>
  <c r="AX52" i="9"/>
  <c r="AM52" i="9"/>
  <c r="AN43" i="9"/>
  <c r="AO43" i="9"/>
  <c r="AP43" i="9"/>
  <c r="AQ43" i="9"/>
  <c r="AR43" i="9"/>
  <c r="AS43" i="9"/>
  <c r="AT43" i="9"/>
  <c r="AU43" i="9"/>
  <c r="AV43" i="9"/>
  <c r="AW43" i="9"/>
  <c r="AX43" i="9"/>
  <c r="AM43" i="9"/>
  <c r="AN38" i="9"/>
  <c r="AO38" i="9"/>
  <c r="AP38" i="9"/>
  <c r="AQ38" i="9"/>
  <c r="AR38" i="9"/>
  <c r="AS38" i="9"/>
  <c r="AT38" i="9"/>
  <c r="AU38" i="9"/>
  <c r="AV38" i="9"/>
  <c r="AW38" i="9"/>
  <c r="AX38" i="9"/>
  <c r="AM38" i="9"/>
  <c r="AX53" i="9"/>
  <c r="AX59" i="9" s="1"/>
  <c r="AW53" i="9"/>
  <c r="AW59" i="9" s="1"/>
  <c r="AU53" i="9"/>
  <c r="AU59" i="9" s="1"/>
  <c r="AT53" i="9"/>
  <c r="AT59" i="9" s="1"/>
  <c r="AS53" i="9"/>
  <c r="AS59" i="9" s="1"/>
  <c r="AQ53" i="9"/>
  <c r="AQ59" i="9" s="1"/>
  <c r="AP53" i="9"/>
  <c r="AP59" i="9" s="1"/>
  <c r="AO53" i="9"/>
  <c r="AO59" i="9" s="1"/>
  <c r="AM53" i="9"/>
  <c r="AM59" i="9" s="1"/>
  <c r="G58" i="29" l="1"/>
  <c r="H47" i="29"/>
  <c r="B917" i="14"/>
  <c r="F763" i="14"/>
  <c r="AN43" i="1"/>
  <c r="AO43" i="1"/>
  <c r="AP43" i="1"/>
  <c r="AQ43" i="1"/>
  <c r="AR43" i="1"/>
  <c r="AS43" i="1"/>
  <c r="AT43" i="1"/>
  <c r="AU43" i="1"/>
  <c r="AV43" i="1"/>
  <c r="AW43" i="1"/>
  <c r="AX43" i="1"/>
  <c r="AM43" i="1"/>
  <c r="AG33" i="1"/>
  <c r="AH33" i="1"/>
  <c r="AI33" i="1"/>
  <c r="AJ33" i="1"/>
  <c r="AK33" i="1"/>
  <c r="AL33" i="1"/>
  <c r="AF33" i="1"/>
  <c r="AN33" i="1"/>
  <c r="AO33" i="1"/>
  <c r="AP33" i="1"/>
  <c r="AQ33" i="1"/>
  <c r="AR33" i="1"/>
  <c r="AS33" i="1"/>
  <c r="AT33" i="1"/>
  <c r="AU33" i="1"/>
  <c r="AV33" i="1"/>
  <c r="AW33" i="1"/>
  <c r="AX33" i="1"/>
  <c r="AM33" i="1"/>
  <c r="AM34" i="1" s="1"/>
  <c r="B413" i="14"/>
  <c r="F422" i="14" s="1"/>
  <c r="B412" i="14"/>
  <c r="B411" i="14"/>
  <c r="B410" i="14"/>
  <c r="B409" i="14"/>
  <c r="B218" i="14"/>
  <c r="B222" i="14"/>
  <c r="F229" i="14" s="1"/>
  <c r="B221" i="14"/>
  <c r="B220" i="14"/>
  <c r="B219" i="14"/>
  <c r="F35" i="14"/>
  <c r="D63" i="13"/>
  <c r="B63" i="13" s="1"/>
  <c r="C63" i="13"/>
  <c r="D62" i="13"/>
  <c r="C62" i="13"/>
  <c r="D61" i="13"/>
  <c r="B61" i="13" s="1"/>
  <c r="C61" i="13"/>
  <c r="D60" i="13"/>
  <c r="C60" i="13"/>
  <c r="D59" i="13"/>
  <c r="C59" i="13"/>
  <c r="D58" i="13"/>
  <c r="C58" i="13"/>
  <c r="D57" i="13"/>
  <c r="C57" i="13"/>
  <c r="D56" i="13"/>
  <c r="B56" i="13" s="1"/>
  <c r="D55" i="13"/>
  <c r="B55" i="13" s="1"/>
  <c r="D54" i="13"/>
  <c r="B54" i="13" s="1"/>
  <c r="D53" i="13"/>
  <c r="B53" i="13"/>
  <c r="D52" i="13"/>
  <c r="B52" i="13" s="1"/>
  <c r="D63" i="12"/>
  <c r="D62" i="12"/>
  <c r="D61" i="12"/>
  <c r="D60" i="12"/>
  <c r="D59" i="12"/>
  <c r="D58" i="12"/>
  <c r="D57" i="12"/>
  <c r="D56" i="12"/>
  <c r="D55" i="12"/>
  <c r="D54" i="12"/>
  <c r="D53" i="12"/>
  <c r="D52" i="12"/>
  <c r="D63" i="11"/>
  <c r="D62" i="11"/>
  <c r="D61" i="11"/>
  <c r="D60" i="11"/>
  <c r="D59" i="11"/>
  <c r="D58" i="11"/>
  <c r="D57" i="11"/>
  <c r="D55" i="11"/>
  <c r="D54" i="11"/>
  <c r="D53" i="11"/>
  <c r="D52" i="11"/>
  <c r="B63" i="11" l="1"/>
  <c r="B61" i="11"/>
  <c r="B59" i="11"/>
  <c r="B54" i="11"/>
  <c r="B63" i="12"/>
  <c r="B61" i="12"/>
  <c r="B59" i="12"/>
  <c r="B57" i="12"/>
  <c r="B55" i="12"/>
  <c r="B53" i="12"/>
  <c r="B57" i="13"/>
  <c r="B59" i="13"/>
  <c r="B60" i="13"/>
  <c r="B55" i="11"/>
  <c r="B57" i="11"/>
  <c r="B60" i="11"/>
  <c r="B58" i="12"/>
  <c r="B54" i="12"/>
  <c r="B781" i="14"/>
  <c r="H47" i="32"/>
  <c r="H58" i="29"/>
  <c r="B62" i="12"/>
  <c r="B52" i="12"/>
  <c r="B53" i="11"/>
  <c r="B52" i="11"/>
  <c r="B58" i="13"/>
  <c r="B62" i="13"/>
  <c r="B58" i="11"/>
  <c r="B62" i="11"/>
  <c r="B56" i="12"/>
  <c r="B60" i="12"/>
  <c r="AX34" i="1"/>
  <c r="AW34" i="1"/>
  <c r="AV34" i="1"/>
  <c r="AU34" i="1"/>
  <c r="AT34" i="1"/>
  <c r="AS34" i="1"/>
  <c r="AR34" i="1"/>
  <c r="AQ34" i="1"/>
  <c r="AP34" i="1"/>
  <c r="AO34" i="1"/>
  <c r="AN34" i="1"/>
  <c r="AM18" i="7"/>
  <c r="AL18" i="7"/>
  <c r="C144" i="5" l="1"/>
  <c r="C160" i="5" s="1"/>
  <c r="C136" i="5"/>
  <c r="C128" i="5"/>
  <c r="C120" i="5"/>
  <c r="D120" i="5" s="1"/>
  <c r="B702" i="14"/>
  <c r="B641" i="14"/>
  <c r="B685" i="14"/>
  <c r="B686" i="14"/>
  <c r="B687" i="14"/>
  <c r="B689" i="14"/>
  <c r="B690" i="14"/>
  <c r="B691" i="14"/>
  <c r="B692" i="14"/>
  <c r="B693" i="14"/>
  <c r="B684" i="14"/>
  <c r="B632" i="14"/>
  <c r="F639" i="14" s="1"/>
  <c r="B631" i="14"/>
  <c r="B630" i="14"/>
  <c r="B629" i="14"/>
  <c r="B628" i="14"/>
  <c r="D16" i="24"/>
  <c r="D15" i="24"/>
  <c r="D16" i="28"/>
  <c r="D15" i="28"/>
  <c r="B15" i="28" s="1"/>
  <c r="C43" i="20"/>
  <c r="AX20" i="7"/>
  <c r="AX21" i="7" s="1"/>
  <c r="AW20" i="7"/>
  <c r="AW21" i="7" s="1"/>
  <c r="AV20" i="7"/>
  <c r="AV21" i="7" s="1"/>
  <c r="AU20" i="7"/>
  <c r="AU21" i="7" s="1"/>
  <c r="AT20" i="7"/>
  <c r="AT21" i="7" s="1"/>
  <c r="AS20" i="7"/>
  <c r="AS21" i="7" s="1"/>
  <c r="AR20" i="7"/>
  <c r="AR21" i="7" s="1"/>
  <c r="AQ21" i="7"/>
  <c r="AQ22" i="7" s="1"/>
  <c r="AP20" i="7"/>
  <c r="AP21" i="7" s="1"/>
  <c r="AP22" i="7" s="1"/>
  <c r="AP30" i="6" s="1"/>
  <c r="AO14" i="10" s="1"/>
  <c r="AO20" i="7"/>
  <c r="AO21" i="7" s="1"/>
  <c r="AO22" i="7" s="1"/>
  <c r="AO30" i="6" s="1"/>
  <c r="AN14" i="10" s="1"/>
  <c r="AN20" i="7"/>
  <c r="AN21" i="7" s="1"/>
  <c r="AM20" i="7"/>
  <c r="AM21" i="7" s="1"/>
  <c r="AX19" i="7"/>
  <c r="AX22" i="7" s="1"/>
  <c r="AX30" i="6" s="1"/>
  <c r="AW14" i="10" s="1"/>
  <c r="AW19" i="7"/>
  <c r="AV19" i="7"/>
  <c r="AV22" i="7" s="1"/>
  <c r="AV30" i="6" s="1"/>
  <c r="AU14" i="10" s="1"/>
  <c r="AU19" i="7"/>
  <c r="AU22" i="7" s="1"/>
  <c r="AU30" i="6" s="1"/>
  <c r="AT14" i="10" s="1"/>
  <c r="AT19" i="7"/>
  <c r="AT22" i="7" s="1"/>
  <c r="AT30" i="6" s="1"/>
  <c r="AS14" i="10" s="1"/>
  <c r="AS19" i="7"/>
  <c r="AS22" i="7" s="1"/>
  <c r="AS30" i="6" s="1"/>
  <c r="AR14" i="10" s="1"/>
  <c r="AR19" i="7"/>
  <c r="AR22" i="7" s="1"/>
  <c r="AR30" i="6" s="1"/>
  <c r="AQ14" i="10" s="1"/>
  <c r="AN19" i="7"/>
  <c r="AN22" i="7" s="1"/>
  <c r="AN30" i="6" s="1"/>
  <c r="AM14" i="10" s="1"/>
  <c r="AM19" i="7"/>
  <c r="AM22" i="7" s="1"/>
  <c r="AM30" i="6" s="1"/>
  <c r="AL14" i="10" s="1"/>
  <c r="AK18" i="7"/>
  <c r="AW30" i="6" l="1"/>
  <c r="AV14" i="10" s="1"/>
  <c r="AQ30" i="6"/>
  <c r="AP14" i="10" s="1"/>
  <c r="C152" i="5"/>
  <c r="B703" i="14"/>
  <c r="D728" i="14"/>
  <c r="A725" i="14"/>
  <c r="C43" i="21"/>
  <c r="D729" i="14" l="1"/>
  <c r="C899" i="14" l="1"/>
  <c r="D899" i="14" s="1"/>
  <c r="E900" i="14" s="1"/>
  <c r="D730" i="14"/>
  <c r="B583" i="14"/>
  <c r="B584" i="14" s="1"/>
  <c r="B41" i="15"/>
  <c r="B40" i="15"/>
  <c r="B39" i="15"/>
  <c r="C33" i="15"/>
  <c r="E28" i="15"/>
  <c r="C702" i="14" s="1"/>
  <c r="E27" i="15"/>
  <c r="C641" i="14" s="1"/>
  <c r="D641" i="14" s="1"/>
  <c r="E26" i="15"/>
  <c r="C583" i="14" s="1"/>
  <c r="B626" i="14"/>
  <c r="D15" i="26"/>
  <c r="B15" i="26" s="1"/>
  <c r="B15" i="24"/>
  <c r="D16" i="26"/>
  <c r="B642" i="14" s="1"/>
  <c r="C43" i="22"/>
  <c r="D71" i="4"/>
  <c r="H74" i="4"/>
  <c r="G74" i="4"/>
  <c r="H73" i="4"/>
  <c r="G73" i="4"/>
  <c r="F73" i="4"/>
  <c r="F43" i="22" s="1"/>
  <c r="H69" i="4"/>
  <c r="G69" i="4"/>
  <c r="F69" i="4"/>
  <c r="H71" i="4"/>
  <c r="G71" i="4"/>
  <c r="F71" i="4"/>
  <c r="F74" i="4"/>
  <c r="D74" i="4"/>
  <c r="D73" i="4"/>
  <c r="C70" i="4"/>
  <c r="C72" i="4" s="1"/>
  <c r="D69" i="4"/>
  <c r="H68" i="4"/>
  <c r="G68" i="4"/>
  <c r="F68" i="4"/>
  <c r="D68" i="4"/>
  <c r="H67" i="4"/>
  <c r="G67" i="4"/>
  <c r="F67" i="4"/>
  <c r="D67" i="4"/>
  <c r="D70" i="4" s="1"/>
  <c r="D72" i="4" s="1"/>
  <c r="C33" i="22"/>
  <c r="B574" i="14"/>
  <c r="F581" i="14" s="1"/>
  <c r="B573" i="14"/>
  <c r="B572" i="14"/>
  <c r="B571" i="14"/>
  <c r="B570" i="14"/>
  <c r="B568" i="14"/>
  <c r="D18" i="24"/>
  <c r="D17" i="24"/>
  <c r="B16" i="24"/>
  <c r="D18" i="26"/>
  <c r="D17" i="26"/>
  <c r="B16" i="26"/>
  <c r="B16" i="28"/>
  <c r="D17" i="28"/>
  <c r="D18" i="28"/>
  <c r="D19" i="28"/>
  <c r="B17" i="26" l="1"/>
  <c r="B18" i="26"/>
  <c r="B18" i="24"/>
  <c r="F900" i="14"/>
  <c r="I36" i="29"/>
  <c r="D702" i="14"/>
  <c r="E703" i="14" s="1"/>
  <c r="C703" i="14" s="1"/>
  <c r="H70" i="4"/>
  <c r="H72" i="4" s="1"/>
  <c r="AN38" i="1"/>
  <c r="AR38" i="1"/>
  <c r="AV38" i="1"/>
  <c r="AO38" i="1"/>
  <c r="AQ38" i="1"/>
  <c r="AS38" i="1"/>
  <c r="AU38" i="1"/>
  <c r="AW38" i="1"/>
  <c r="AM38" i="1"/>
  <c r="AP38" i="1"/>
  <c r="AT38" i="1"/>
  <c r="AX38" i="1"/>
  <c r="L69" i="4"/>
  <c r="J69" i="4"/>
  <c r="K69" i="4"/>
  <c r="I69" i="4"/>
  <c r="AO38" i="8"/>
  <c r="AQ38" i="8"/>
  <c r="AS38" i="8"/>
  <c r="AU38" i="8"/>
  <c r="AW38" i="8"/>
  <c r="AM38" i="8"/>
  <c r="AN38" i="8"/>
  <c r="AP38" i="8"/>
  <c r="AR38" i="8"/>
  <c r="AT38" i="8"/>
  <c r="AV38" i="8"/>
  <c r="AX38" i="8"/>
  <c r="L67" i="4"/>
  <c r="J67" i="4"/>
  <c r="K67" i="4"/>
  <c r="I67" i="4"/>
  <c r="L68" i="4"/>
  <c r="J68" i="4"/>
  <c r="K68" i="4"/>
  <c r="I68" i="4"/>
  <c r="AO43" i="8"/>
  <c r="AQ43" i="8"/>
  <c r="AS43" i="8"/>
  <c r="AU43" i="8"/>
  <c r="AW43" i="8"/>
  <c r="AM43" i="8"/>
  <c r="AN43" i="8"/>
  <c r="AP43" i="8"/>
  <c r="AR43" i="8"/>
  <c r="AT43" i="8"/>
  <c r="AV43" i="8"/>
  <c r="AX43" i="8"/>
  <c r="L71" i="4"/>
  <c r="J71" i="4"/>
  <c r="K71" i="4"/>
  <c r="I71" i="4"/>
  <c r="L73" i="4"/>
  <c r="J73" i="4"/>
  <c r="K73" i="4"/>
  <c r="I73" i="4"/>
  <c r="L74" i="4"/>
  <c r="J74" i="4"/>
  <c r="K74" i="4"/>
  <c r="I74" i="4"/>
  <c r="E642" i="14"/>
  <c r="C642" i="14" s="1"/>
  <c r="F38" i="20"/>
  <c r="H38" i="20"/>
  <c r="J38" i="20"/>
  <c r="L38" i="20"/>
  <c r="N38" i="20"/>
  <c r="D38" i="20"/>
  <c r="E38" i="20"/>
  <c r="G38" i="20"/>
  <c r="I38" i="20"/>
  <c r="K38" i="20"/>
  <c r="M38" i="20"/>
  <c r="O38" i="20"/>
  <c r="E43" i="21"/>
  <c r="G43" i="21"/>
  <c r="I43" i="21"/>
  <c r="K43" i="21"/>
  <c r="M43" i="21"/>
  <c r="O43" i="21"/>
  <c r="F43" i="21"/>
  <c r="H43" i="21"/>
  <c r="J43" i="21"/>
  <c r="N43" i="21"/>
  <c r="L43" i="21"/>
  <c r="D43" i="21"/>
  <c r="O43" i="22"/>
  <c r="M43" i="22"/>
  <c r="K43" i="22"/>
  <c r="I43" i="22"/>
  <c r="G43" i="22"/>
  <c r="E43" i="22"/>
  <c r="B645" i="14"/>
  <c r="B646" i="14" s="1"/>
  <c r="B587" i="14"/>
  <c r="B17" i="24"/>
  <c r="B706" i="14"/>
  <c r="B707" i="14" s="1"/>
  <c r="E43" i="20"/>
  <c r="G43" i="20"/>
  <c r="F43" i="20"/>
  <c r="I43" i="20"/>
  <c r="K43" i="20"/>
  <c r="M43" i="20"/>
  <c r="O43" i="20"/>
  <c r="H43" i="20"/>
  <c r="J43" i="20"/>
  <c r="L43" i="20"/>
  <c r="N43" i="20"/>
  <c r="D43" i="20"/>
  <c r="D43" i="22"/>
  <c r="N43" i="22"/>
  <c r="L43" i="22"/>
  <c r="J43" i="22"/>
  <c r="H43" i="22"/>
  <c r="D39" i="15"/>
  <c r="D40" i="15"/>
  <c r="D41" i="15"/>
  <c r="D731" i="14"/>
  <c r="D583" i="14"/>
  <c r="H76" i="4"/>
  <c r="G70" i="4"/>
  <c r="D76" i="4"/>
  <c r="D75" i="4"/>
  <c r="C76" i="4"/>
  <c r="C75" i="4"/>
  <c r="F70" i="4"/>
  <c r="F72" i="4" s="1"/>
  <c r="B17" i="28"/>
  <c r="B18" i="28"/>
  <c r="H48" i="4"/>
  <c r="G48" i="4"/>
  <c r="F48" i="4"/>
  <c r="H47" i="4"/>
  <c r="G47" i="4"/>
  <c r="F47" i="4"/>
  <c r="D49" i="4"/>
  <c r="D48" i="4"/>
  <c r="D47" i="4"/>
  <c r="H51" i="4"/>
  <c r="G51" i="4" s="1"/>
  <c r="A698" i="14"/>
  <c r="D667" i="14"/>
  <c r="A664" i="14"/>
  <c r="A637" i="14"/>
  <c r="D609" i="14"/>
  <c r="A606" i="14"/>
  <c r="A579" i="14"/>
  <c r="D28" i="24"/>
  <c r="D27" i="24"/>
  <c r="D26" i="24"/>
  <c r="D25" i="24"/>
  <c r="D24" i="24"/>
  <c r="D23" i="24"/>
  <c r="D22" i="24"/>
  <c r="D21" i="24"/>
  <c r="D20" i="24"/>
  <c r="D19" i="24"/>
  <c r="D28" i="26"/>
  <c r="D27" i="26"/>
  <c r="D26" i="26"/>
  <c r="D25" i="26"/>
  <c r="D24" i="26"/>
  <c r="D23" i="26"/>
  <c r="D22" i="26"/>
  <c r="D21" i="26"/>
  <c r="D20" i="26"/>
  <c r="D19" i="26"/>
  <c r="B19" i="28"/>
  <c r="D20" i="28"/>
  <c r="D21" i="28"/>
  <c r="D22" i="28"/>
  <c r="D23" i="28"/>
  <c r="D24" i="28"/>
  <c r="D25" i="28"/>
  <c r="D26" i="28"/>
  <c r="D27" i="28"/>
  <c r="D28" i="28"/>
  <c r="B21" i="26" l="1"/>
  <c r="B20" i="26"/>
  <c r="B24" i="26"/>
  <c r="B25" i="26"/>
  <c r="B22" i="26"/>
  <c r="B26" i="26"/>
  <c r="B23" i="26"/>
  <c r="B27" i="26"/>
  <c r="B21" i="28"/>
  <c r="B20" i="28"/>
  <c r="B28" i="28"/>
  <c r="B27" i="28"/>
  <c r="B26" i="28"/>
  <c r="B25" i="28"/>
  <c r="B24" i="28"/>
  <c r="B22" i="28"/>
  <c r="B23" i="28"/>
  <c r="B27" i="24"/>
  <c r="B25" i="24"/>
  <c r="B23" i="24"/>
  <c r="B21" i="24"/>
  <c r="B19" i="24"/>
  <c r="E43" i="30"/>
  <c r="G43" i="30"/>
  <c r="I43" i="30"/>
  <c r="K43" i="30"/>
  <c r="D43" i="30"/>
  <c r="F43" i="30"/>
  <c r="H43" i="30"/>
  <c r="J43" i="30"/>
  <c r="C43" i="30"/>
  <c r="F43" i="29"/>
  <c r="J43" i="29"/>
  <c r="E43" i="29"/>
  <c r="G43" i="29"/>
  <c r="I43" i="29"/>
  <c r="K43" i="29"/>
  <c r="D43" i="29"/>
  <c r="H43" i="29"/>
  <c r="C43" i="29"/>
  <c r="E43" i="32"/>
  <c r="G43" i="32"/>
  <c r="I43" i="32"/>
  <c r="K43" i="32"/>
  <c r="D43" i="32"/>
  <c r="F43" i="32"/>
  <c r="H43" i="32"/>
  <c r="J43" i="32"/>
  <c r="C43" i="32"/>
  <c r="E43" i="31"/>
  <c r="I43" i="31"/>
  <c r="D43" i="31"/>
  <c r="F43" i="31"/>
  <c r="H43" i="31"/>
  <c r="J43" i="31"/>
  <c r="C43" i="31"/>
  <c r="G43" i="31"/>
  <c r="K43" i="31"/>
  <c r="I47" i="29"/>
  <c r="B918" i="14"/>
  <c r="C900" i="14"/>
  <c r="C36" i="21"/>
  <c r="AP52" i="1"/>
  <c r="AP53" i="1" s="1"/>
  <c r="AP59" i="1" s="1"/>
  <c r="AO52" i="1"/>
  <c r="AO53" i="1" s="1"/>
  <c r="AO59" i="1" s="1"/>
  <c r="AQ52" i="1"/>
  <c r="AQ53" i="1" s="1"/>
  <c r="AQ59" i="1" s="1"/>
  <c r="AS52" i="1"/>
  <c r="AS53" i="1" s="1"/>
  <c r="AS59" i="1" s="1"/>
  <c r="AU52" i="1"/>
  <c r="AU53" i="1" s="1"/>
  <c r="AU59" i="1" s="1"/>
  <c r="AW52" i="1"/>
  <c r="AW53" i="1" s="1"/>
  <c r="AW59" i="1" s="1"/>
  <c r="AM52" i="1"/>
  <c r="AM53" i="1" s="1"/>
  <c r="AM59" i="1" s="1"/>
  <c r="AN52" i="1"/>
  <c r="AN53" i="1" s="1"/>
  <c r="AN59" i="1" s="1"/>
  <c r="AR52" i="1"/>
  <c r="AR53" i="1" s="1"/>
  <c r="AR59" i="1" s="1"/>
  <c r="AT52" i="1"/>
  <c r="AT53" i="1" s="1"/>
  <c r="AT59" i="1" s="1"/>
  <c r="AV52" i="1"/>
  <c r="AV53" i="1" s="1"/>
  <c r="AV59" i="1" s="1"/>
  <c r="AX52" i="1"/>
  <c r="AX53" i="1" s="1"/>
  <c r="AX59" i="1" s="1"/>
  <c r="AO52" i="8"/>
  <c r="AO53" i="8" s="1"/>
  <c r="AO59" i="8" s="1"/>
  <c r="AQ52" i="8"/>
  <c r="AQ53" i="8" s="1"/>
  <c r="AQ59" i="8" s="1"/>
  <c r="AS52" i="8"/>
  <c r="AS53" i="8" s="1"/>
  <c r="AS59" i="8" s="1"/>
  <c r="AU52" i="8"/>
  <c r="AU53" i="8" s="1"/>
  <c r="AU59" i="8" s="1"/>
  <c r="AW52" i="8"/>
  <c r="AW53" i="8" s="1"/>
  <c r="AW59" i="8" s="1"/>
  <c r="AM52" i="8"/>
  <c r="AM53" i="8" s="1"/>
  <c r="AM59" i="8" s="1"/>
  <c r="AN52" i="8"/>
  <c r="AN53" i="8" s="1"/>
  <c r="AN59" i="8" s="1"/>
  <c r="AP52" i="8"/>
  <c r="AP53" i="8" s="1"/>
  <c r="AP59" i="8" s="1"/>
  <c r="AR52" i="8"/>
  <c r="AR53" i="8" s="1"/>
  <c r="AR59" i="8" s="1"/>
  <c r="AT52" i="8"/>
  <c r="AT53" i="8" s="1"/>
  <c r="AT59" i="8" s="1"/>
  <c r="AV52" i="8"/>
  <c r="AV53" i="8" s="1"/>
  <c r="AV59" i="8" s="1"/>
  <c r="AX52" i="8"/>
  <c r="AX53" i="8" s="1"/>
  <c r="AX59" i="8" s="1"/>
  <c r="I70" i="4"/>
  <c r="I72" i="4" s="1"/>
  <c r="J70" i="4"/>
  <c r="J72" i="4" s="1"/>
  <c r="K70" i="4"/>
  <c r="K72" i="4" s="1"/>
  <c r="L70" i="4"/>
  <c r="L72" i="4" s="1"/>
  <c r="E38" i="22"/>
  <c r="G38" i="22"/>
  <c r="I38" i="22"/>
  <c r="K38" i="22"/>
  <c r="M38" i="22"/>
  <c r="O38" i="22"/>
  <c r="F38" i="22"/>
  <c r="H38" i="22"/>
  <c r="J38" i="22"/>
  <c r="L38" i="22"/>
  <c r="N38" i="22"/>
  <c r="D38" i="22"/>
  <c r="F52" i="20"/>
  <c r="H52" i="20"/>
  <c r="J52" i="20"/>
  <c r="L52" i="20"/>
  <c r="N52" i="20"/>
  <c r="D52" i="20"/>
  <c r="E52" i="20"/>
  <c r="G52" i="20"/>
  <c r="I52" i="20"/>
  <c r="K52" i="20"/>
  <c r="M52" i="20"/>
  <c r="O52" i="20"/>
  <c r="B708" i="14"/>
  <c r="B709" i="14" s="1"/>
  <c r="B710" i="14" s="1"/>
  <c r="B711" i="14" s="1"/>
  <c r="B712" i="14" s="1"/>
  <c r="B713" i="14" s="1"/>
  <c r="B714" i="14" s="1"/>
  <c r="B715" i="14" s="1"/>
  <c r="B716" i="14" s="1"/>
  <c r="B717" i="14" s="1"/>
  <c r="G72" i="4"/>
  <c r="G76" i="4" s="1"/>
  <c r="B647" i="14"/>
  <c r="B648" i="14" s="1"/>
  <c r="B649" i="14" s="1"/>
  <c r="B650" i="14" s="1"/>
  <c r="B651" i="14" s="1"/>
  <c r="B652" i="14" s="1"/>
  <c r="B653" i="14" s="1"/>
  <c r="B654" i="14" s="1"/>
  <c r="B655" i="14" s="1"/>
  <c r="B656" i="14" s="1"/>
  <c r="E584" i="14"/>
  <c r="C584" i="14" s="1"/>
  <c r="D584" i="14" s="1"/>
  <c r="D732" i="14"/>
  <c r="D642" i="14"/>
  <c r="E645" i="14" s="1"/>
  <c r="H75" i="4"/>
  <c r="F76" i="4"/>
  <c r="F75" i="4"/>
  <c r="B588" i="14"/>
  <c r="B28" i="24"/>
  <c r="B26" i="24"/>
  <c r="B24" i="24"/>
  <c r="B22" i="24"/>
  <c r="B20" i="24"/>
  <c r="B28" i="26"/>
  <c r="B19" i="26"/>
  <c r="D668" i="14"/>
  <c r="D610" i="14"/>
  <c r="C34" i="22"/>
  <c r="E38" i="29" l="1"/>
  <c r="I38" i="29"/>
  <c r="D38" i="29"/>
  <c r="F38" i="29"/>
  <c r="H38" i="29"/>
  <c r="J38" i="29"/>
  <c r="C38" i="29"/>
  <c r="G38" i="29"/>
  <c r="K38" i="29"/>
  <c r="D38" i="31"/>
  <c r="H38" i="31"/>
  <c r="C38" i="31"/>
  <c r="E38" i="31"/>
  <c r="G38" i="31"/>
  <c r="I38" i="31"/>
  <c r="K38" i="31"/>
  <c r="F38" i="31"/>
  <c r="J38" i="31"/>
  <c r="D38" i="30"/>
  <c r="F38" i="30"/>
  <c r="H38" i="30"/>
  <c r="J38" i="30"/>
  <c r="C38" i="30"/>
  <c r="E38" i="30"/>
  <c r="G38" i="30"/>
  <c r="I38" i="30"/>
  <c r="K38" i="30"/>
  <c r="D38" i="32"/>
  <c r="F38" i="32"/>
  <c r="H38" i="32"/>
  <c r="J38" i="32"/>
  <c r="C38" i="32"/>
  <c r="E38" i="32"/>
  <c r="G38" i="32"/>
  <c r="I38" i="32"/>
  <c r="K38" i="32"/>
  <c r="I58" i="29"/>
  <c r="D900" i="14"/>
  <c r="E901" i="14" s="1"/>
  <c r="L76" i="4"/>
  <c r="L75" i="4"/>
  <c r="I76" i="4"/>
  <c r="I75" i="4"/>
  <c r="K76" i="4"/>
  <c r="K75" i="4"/>
  <c r="J76" i="4"/>
  <c r="J75" i="4"/>
  <c r="F52" i="21"/>
  <c r="H52" i="21"/>
  <c r="H53" i="21" s="1"/>
  <c r="H59" i="21" s="1"/>
  <c r="J52" i="21"/>
  <c r="L52" i="21"/>
  <c r="N52" i="21"/>
  <c r="D52" i="21"/>
  <c r="E52" i="21"/>
  <c r="G52" i="21"/>
  <c r="G53" i="21" s="1"/>
  <c r="G59" i="21" s="1"/>
  <c r="I52" i="21"/>
  <c r="K52" i="21"/>
  <c r="M52" i="21"/>
  <c r="O52" i="21"/>
  <c r="E52" i="22"/>
  <c r="G52" i="22"/>
  <c r="G53" i="22" s="1"/>
  <c r="G59" i="22" s="1"/>
  <c r="I52" i="22"/>
  <c r="I53" i="22" s="1"/>
  <c r="I59" i="22" s="1"/>
  <c r="K52" i="22"/>
  <c r="K53" i="22" s="1"/>
  <c r="K59" i="22" s="1"/>
  <c r="M52" i="22"/>
  <c r="O52" i="22"/>
  <c r="F52" i="22"/>
  <c r="H52" i="22"/>
  <c r="J52" i="22"/>
  <c r="L52" i="22"/>
  <c r="N52" i="22"/>
  <c r="D52" i="22"/>
  <c r="O53" i="20"/>
  <c r="O59" i="20" s="1"/>
  <c r="F38" i="21"/>
  <c r="H38" i="21"/>
  <c r="J38" i="21"/>
  <c r="L38" i="21"/>
  <c r="N38" i="21"/>
  <c r="D38" i="21"/>
  <c r="G38" i="21"/>
  <c r="K38" i="21"/>
  <c r="O38" i="21"/>
  <c r="E38" i="21"/>
  <c r="I38" i="21"/>
  <c r="M38" i="21"/>
  <c r="G75" i="4"/>
  <c r="C645" i="14"/>
  <c r="D645" i="14" s="1"/>
  <c r="E646" i="14" s="1"/>
  <c r="F646" i="14" s="1"/>
  <c r="F645" i="14"/>
  <c r="C36" i="22"/>
  <c r="D733" i="14"/>
  <c r="D36" i="21"/>
  <c r="E587" i="14"/>
  <c r="D36" i="22" s="1"/>
  <c r="B589" i="14"/>
  <c r="B590" i="14" s="1"/>
  <c r="B591" i="14" s="1"/>
  <c r="B592" i="14" s="1"/>
  <c r="B593" i="14" s="1"/>
  <c r="B594" i="14" s="1"/>
  <c r="B595" i="14" s="1"/>
  <c r="B596" i="14" s="1"/>
  <c r="B597" i="14" s="1"/>
  <c r="B598" i="14" s="1"/>
  <c r="D669" i="14"/>
  <c r="D670" i="14" s="1"/>
  <c r="D671" i="14" s="1"/>
  <c r="D672" i="14" s="1"/>
  <c r="D673" i="14" s="1"/>
  <c r="D674" i="14" s="1"/>
  <c r="D611" i="14"/>
  <c r="D612" i="14" s="1"/>
  <c r="D613" i="14" s="1"/>
  <c r="D614" i="14" s="1"/>
  <c r="D615" i="14" s="1"/>
  <c r="D616" i="14" s="1"/>
  <c r="K53" i="20"/>
  <c r="K59" i="20" s="1"/>
  <c r="G53" i="20"/>
  <c r="G59" i="20" s="1"/>
  <c r="N53" i="20"/>
  <c r="N59" i="20" s="1"/>
  <c r="J53" i="20"/>
  <c r="J59" i="20" s="1"/>
  <c r="F53" i="20"/>
  <c r="F59" i="20" s="1"/>
  <c r="M53" i="20"/>
  <c r="M59" i="20" s="1"/>
  <c r="I53" i="20"/>
  <c r="I59" i="20" s="1"/>
  <c r="E53" i="20"/>
  <c r="E59" i="20" s="1"/>
  <c r="L53" i="20"/>
  <c r="L59" i="20" s="1"/>
  <c r="H53" i="20"/>
  <c r="H59" i="20" s="1"/>
  <c r="D53" i="20"/>
  <c r="D59" i="20" s="1"/>
  <c r="K53" i="21"/>
  <c r="K59" i="21" s="1"/>
  <c r="N53" i="21"/>
  <c r="N59" i="21" s="1"/>
  <c r="J53" i="21"/>
  <c r="J59" i="21" s="1"/>
  <c r="F53" i="21"/>
  <c r="F59" i="21" s="1"/>
  <c r="M53" i="21"/>
  <c r="M59" i="21" s="1"/>
  <c r="I53" i="21"/>
  <c r="I59" i="21" s="1"/>
  <c r="E53" i="21"/>
  <c r="E59" i="21" s="1"/>
  <c r="L53" i="21"/>
  <c r="L59" i="21" s="1"/>
  <c r="D53" i="21"/>
  <c r="D59" i="21" s="1"/>
  <c r="M53" i="22"/>
  <c r="M59" i="22" s="1"/>
  <c r="E53" i="22"/>
  <c r="E59" i="22" s="1"/>
  <c r="D52" i="31" l="1"/>
  <c r="H52" i="31"/>
  <c r="C52" i="31"/>
  <c r="E52" i="31"/>
  <c r="G52" i="31"/>
  <c r="I52" i="31"/>
  <c r="K52" i="31"/>
  <c r="F52" i="31"/>
  <c r="J52" i="31"/>
  <c r="D52" i="30"/>
  <c r="F52" i="30"/>
  <c r="H52" i="30"/>
  <c r="J52" i="30"/>
  <c r="C52" i="30"/>
  <c r="E52" i="30"/>
  <c r="G52" i="30"/>
  <c r="I52" i="30"/>
  <c r="K52" i="30"/>
  <c r="E52" i="32"/>
  <c r="G52" i="32"/>
  <c r="I52" i="32"/>
  <c r="K52" i="32"/>
  <c r="D52" i="32"/>
  <c r="F52" i="32"/>
  <c r="H52" i="32"/>
  <c r="J52" i="32"/>
  <c r="C52" i="32"/>
  <c r="G52" i="29"/>
  <c r="K52" i="29"/>
  <c r="D52" i="29"/>
  <c r="F52" i="29"/>
  <c r="H52" i="29"/>
  <c r="J52" i="29"/>
  <c r="C52" i="29"/>
  <c r="E52" i="29"/>
  <c r="I52" i="29"/>
  <c r="F901" i="14"/>
  <c r="J36" i="29"/>
  <c r="C901" i="14"/>
  <c r="D901" i="14" s="1"/>
  <c r="E902" i="14" s="1"/>
  <c r="C763" i="14"/>
  <c r="D763" i="14" s="1"/>
  <c r="E764" i="14" s="1"/>
  <c r="I36" i="32" s="1"/>
  <c r="B667" i="14"/>
  <c r="E667" i="14" s="1"/>
  <c r="B668" i="14"/>
  <c r="E668" i="14" s="1"/>
  <c r="N53" i="22"/>
  <c r="N59" i="22" s="1"/>
  <c r="J53" i="22"/>
  <c r="J59" i="22" s="1"/>
  <c r="F53" i="22"/>
  <c r="F59" i="22" s="1"/>
  <c r="O53" i="21"/>
  <c r="O59" i="21" s="1"/>
  <c r="D53" i="22"/>
  <c r="D59" i="22" s="1"/>
  <c r="L53" i="22"/>
  <c r="L59" i="22" s="1"/>
  <c r="H53" i="22"/>
  <c r="H59" i="22" s="1"/>
  <c r="O53" i="22"/>
  <c r="O59" i="22" s="1"/>
  <c r="D47" i="21"/>
  <c r="D734" i="14"/>
  <c r="C646" i="14"/>
  <c r="F587" i="14"/>
  <c r="C587" i="14"/>
  <c r="D675" i="14"/>
  <c r="D676" i="14" s="1"/>
  <c r="D677" i="14" s="1"/>
  <c r="D678" i="14" s="1"/>
  <c r="D617" i="14"/>
  <c r="D618" i="14" s="1"/>
  <c r="D619" i="14" s="1"/>
  <c r="D620" i="14" s="1"/>
  <c r="I53" i="29" l="1"/>
  <c r="I59" i="29" s="1"/>
  <c r="C53" i="29"/>
  <c r="C59" i="29" s="1"/>
  <c r="H53" i="29"/>
  <c r="H59" i="29" s="1"/>
  <c r="D53" i="29"/>
  <c r="D59" i="29" s="1"/>
  <c r="G53" i="29"/>
  <c r="G59" i="29" s="1"/>
  <c r="J53" i="32"/>
  <c r="J59" i="32" s="1"/>
  <c r="F53" i="32"/>
  <c r="F59" i="32" s="1"/>
  <c r="K53" i="32"/>
  <c r="K59" i="32" s="1"/>
  <c r="G53" i="32"/>
  <c r="G59" i="32" s="1"/>
  <c r="K53" i="30"/>
  <c r="K59" i="30" s="1"/>
  <c r="G53" i="30"/>
  <c r="G59" i="30" s="1"/>
  <c r="C53" i="30"/>
  <c r="C59" i="30" s="1"/>
  <c r="H53" i="30"/>
  <c r="H59" i="30" s="1"/>
  <c r="D53" i="30"/>
  <c r="D59" i="30" s="1"/>
  <c r="F53" i="31"/>
  <c r="F59" i="31" s="1"/>
  <c r="I53" i="31"/>
  <c r="I59" i="31" s="1"/>
  <c r="E53" i="31"/>
  <c r="E59" i="31" s="1"/>
  <c r="H53" i="31"/>
  <c r="H59" i="31" s="1"/>
  <c r="E53" i="29"/>
  <c r="E59" i="29" s="1"/>
  <c r="J53" i="29"/>
  <c r="J59" i="29" s="1"/>
  <c r="F53" i="29"/>
  <c r="F59" i="29" s="1"/>
  <c r="K53" i="29"/>
  <c r="K59" i="29" s="1"/>
  <c r="H53" i="32"/>
  <c r="H59" i="32" s="1"/>
  <c r="D53" i="32"/>
  <c r="D59" i="32" s="1"/>
  <c r="I53" i="32"/>
  <c r="I59" i="32" s="1"/>
  <c r="E53" i="32"/>
  <c r="E59" i="32" s="1"/>
  <c r="I53" i="30"/>
  <c r="I59" i="30" s="1"/>
  <c r="E53" i="30"/>
  <c r="E59" i="30" s="1"/>
  <c r="J53" i="30"/>
  <c r="J59" i="30" s="1"/>
  <c r="F53" i="30"/>
  <c r="F59" i="30" s="1"/>
  <c r="J53" i="31"/>
  <c r="J59" i="31" s="1"/>
  <c r="K53" i="31"/>
  <c r="K59" i="31" s="1"/>
  <c r="G53" i="31"/>
  <c r="G59" i="31" s="1"/>
  <c r="C53" i="31"/>
  <c r="C59" i="31" s="1"/>
  <c r="D53" i="31"/>
  <c r="D59" i="31" s="1"/>
  <c r="F902" i="14"/>
  <c r="K36" i="29"/>
  <c r="J47" i="29"/>
  <c r="B919" i="14"/>
  <c r="C902" i="14"/>
  <c r="F764" i="14"/>
  <c r="B782" i="14" s="1"/>
  <c r="C764" i="14"/>
  <c r="D764" i="14" s="1"/>
  <c r="E765" i="14" s="1"/>
  <c r="J36" i="32" s="1"/>
  <c r="E58" i="32"/>
  <c r="D58" i="21"/>
  <c r="D735" i="14"/>
  <c r="E36" i="21"/>
  <c r="D646" i="14"/>
  <c r="E647" i="14" s="1"/>
  <c r="F647" i="14" s="1"/>
  <c r="D47" i="22"/>
  <c r="D58" i="22" s="1"/>
  <c r="B609" i="14"/>
  <c r="E609" i="14" s="1"/>
  <c r="D587" i="14"/>
  <c r="E588" i="14" s="1"/>
  <c r="J58" i="29" l="1"/>
  <c r="K47" i="29"/>
  <c r="B920" i="14"/>
  <c r="D902" i="14"/>
  <c r="F765" i="14"/>
  <c r="B783" i="14" s="1"/>
  <c r="B669" i="14"/>
  <c r="E669" i="14" s="1"/>
  <c r="E47" i="21"/>
  <c r="E58" i="21" s="1"/>
  <c r="D736" i="14"/>
  <c r="E36" i="22"/>
  <c r="F588" i="14"/>
  <c r="B610" i="14" s="1"/>
  <c r="E610" i="14" s="1"/>
  <c r="C588" i="14"/>
  <c r="D588" i="14" s="1"/>
  <c r="E589" i="14" s="1"/>
  <c r="F589" i="14" s="1"/>
  <c r="B611" i="14" s="1"/>
  <c r="K58" i="29" l="1"/>
  <c r="C765" i="14"/>
  <c r="D765" i="14" s="1"/>
  <c r="E766" i="14" s="1"/>
  <c r="K36" i="32" s="1"/>
  <c r="F58" i="32"/>
  <c r="D737" i="14"/>
  <c r="F766" i="14" l="1"/>
  <c r="B784" i="14" s="1"/>
  <c r="B785" i="14" s="1"/>
  <c r="D738" i="14"/>
  <c r="C766" i="14" l="1"/>
  <c r="D739" i="14"/>
  <c r="D766" i="14" l="1"/>
  <c r="AD20" i="6" l="1"/>
  <c r="AE20" i="6"/>
  <c r="AF20" i="6"/>
  <c r="AG20" i="6"/>
  <c r="AH20" i="6"/>
  <c r="AI20" i="6"/>
  <c r="AJ20" i="6"/>
  <c r="AK20" i="6"/>
  <c r="AD21" i="6"/>
  <c r="AE21" i="6"/>
  <c r="AF21" i="6"/>
  <c r="AG21" i="6"/>
  <c r="AH21" i="6"/>
  <c r="AI21" i="6"/>
  <c r="AJ21" i="6"/>
  <c r="AK21" i="6"/>
  <c r="AD22" i="6"/>
  <c r="AE22" i="6"/>
  <c r="AF22" i="6"/>
  <c r="AG22" i="6"/>
  <c r="AH22" i="6"/>
  <c r="AI22" i="6"/>
  <c r="AJ22" i="6"/>
  <c r="AK22" i="6"/>
  <c r="AC20" i="6"/>
  <c r="AC21" i="6"/>
  <c r="AC22" i="6"/>
  <c r="AB20" i="6"/>
  <c r="AB21" i="6"/>
  <c r="AB22" i="6"/>
  <c r="AA20" i="6"/>
  <c r="AA21" i="6"/>
  <c r="AA22" i="6"/>
  <c r="C159" i="5"/>
  <c r="C158" i="5"/>
  <c r="B160" i="5"/>
  <c r="D160" i="5" s="1"/>
  <c r="B159" i="5"/>
  <c r="B158" i="5"/>
  <c r="C151" i="5"/>
  <c r="C191" i="5" s="1"/>
  <c r="C150" i="5"/>
  <c r="C190" i="5" s="1"/>
  <c r="B152" i="5"/>
  <c r="B151" i="5"/>
  <c r="B191" i="5" s="1"/>
  <c r="B150" i="5"/>
  <c r="B190" i="5" s="1"/>
  <c r="D121" i="5"/>
  <c r="D122" i="5" s="1"/>
  <c r="D143" i="5"/>
  <c r="D167" i="5" s="1"/>
  <c r="D142" i="5"/>
  <c r="D166" i="5" s="1"/>
  <c r="C143" i="5"/>
  <c r="C142" i="5"/>
  <c r="B144" i="5"/>
  <c r="B143" i="5"/>
  <c r="B142" i="5"/>
  <c r="B134" i="5"/>
  <c r="D159" i="5"/>
  <c r="D158" i="5"/>
  <c r="D151" i="5"/>
  <c r="D150" i="5"/>
  <c r="C107" i="5"/>
  <c r="B107" i="5"/>
  <c r="D106" i="5"/>
  <c r="C106" i="5"/>
  <c r="B106" i="5"/>
  <c r="D105" i="5"/>
  <c r="C105" i="5"/>
  <c r="B105" i="5"/>
  <c r="B99" i="5"/>
  <c r="D98" i="5"/>
  <c r="C98" i="5"/>
  <c r="B98" i="5"/>
  <c r="D97" i="5"/>
  <c r="C33" i="21" s="1"/>
  <c r="C34" i="21" s="1"/>
  <c r="C97" i="5"/>
  <c r="B97" i="5"/>
  <c r="D91" i="5"/>
  <c r="D92" i="5" s="1"/>
  <c r="B136" i="5"/>
  <c r="D136" i="5" s="1"/>
  <c r="D135" i="5"/>
  <c r="C135" i="5"/>
  <c r="B135" i="5"/>
  <c r="D134" i="5"/>
  <c r="C134" i="5"/>
  <c r="B128" i="5"/>
  <c r="D128" i="5" s="1"/>
  <c r="D127" i="5"/>
  <c r="C127" i="5"/>
  <c r="B127" i="5"/>
  <c r="D126" i="5"/>
  <c r="C126" i="5"/>
  <c r="B126" i="5"/>
  <c r="AJ18" i="7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30" i="12"/>
  <c r="AI18" i="7"/>
  <c r="AD18" i="7"/>
  <c r="AH18" i="7"/>
  <c r="AG18" i="7"/>
  <c r="AF18" i="7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AE18" i="7"/>
  <c r="D34" i="6"/>
  <c r="D35" i="6"/>
  <c r="D36" i="6"/>
  <c r="C36" i="6"/>
  <c r="C35" i="6"/>
  <c r="C34" i="6"/>
  <c r="AC18" i="7"/>
  <c r="AB18" i="7"/>
  <c r="B430" i="14"/>
  <c r="B237" i="14"/>
  <c r="D41" i="12"/>
  <c r="B41" i="12" s="1"/>
  <c r="D42" i="12"/>
  <c r="B42" i="12" s="1"/>
  <c r="D40" i="11"/>
  <c r="B43" i="14"/>
  <c r="D41" i="11"/>
  <c r="D42" i="11"/>
  <c r="B7" i="18"/>
  <c r="C7" i="18" s="1"/>
  <c r="D40" i="12"/>
  <c r="B40" i="12" s="1"/>
  <c r="D43" i="12"/>
  <c r="D44" i="12"/>
  <c r="B44" i="12" s="1"/>
  <c r="D45" i="12"/>
  <c r="D46" i="12"/>
  <c r="B46" i="12" s="1"/>
  <c r="D47" i="12"/>
  <c r="D48" i="12"/>
  <c r="B48" i="12" s="1"/>
  <c r="D49" i="12"/>
  <c r="B49" i="12" s="1"/>
  <c r="D50" i="12"/>
  <c r="B50" i="12" s="1"/>
  <c r="D51" i="12"/>
  <c r="B51" i="12" s="1"/>
  <c r="D43" i="11"/>
  <c r="B43" i="11" s="1"/>
  <c r="D44" i="11"/>
  <c r="D45" i="11"/>
  <c r="D46" i="11"/>
  <c r="D47" i="11"/>
  <c r="B47" i="11" s="1"/>
  <c r="D48" i="11"/>
  <c r="D49" i="11"/>
  <c r="B49" i="11" s="1"/>
  <c r="D50" i="11"/>
  <c r="B50" i="11" s="1"/>
  <c r="D51" i="11"/>
  <c r="B51" i="11" s="1"/>
  <c r="AB43" i="9"/>
  <c r="AC43" i="9"/>
  <c r="AD43" i="9"/>
  <c r="AE43" i="9"/>
  <c r="AF43" i="9"/>
  <c r="AG43" i="9"/>
  <c r="AH43" i="9"/>
  <c r="AI43" i="9"/>
  <c r="AJ43" i="9"/>
  <c r="AK43" i="9"/>
  <c r="AL43" i="9"/>
  <c r="AA43" i="9"/>
  <c r="AB43" i="8"/>
  <c r="AC43" i="8"/>
  <c r="AD43" i="8"/>
  <c r="AE43" i="8"/>
  <c r="AF43" i="8"/>
  <c r="AG43" i="8"/>
  <c r="AH43" i="8"/>
  <c r="AI43" i="8"/>
  <c r="AJ43" i="8"/>
  <c r="AK43" i="8"/>
  <c r="AL43" i="8"/>
  <c r="AA43" i="8"/>
  <c r="AB43" i="1"/>
  <c r="AC43" i="1"/>
  <c r="AD43" i="1"/>
  <c r="AE43" i="1"/>
  <c r="AF43" i="1"/>
  <c r="AG43" i="1"/>
  <c r="AH43" i="1"/>
  <c r="AI43" i="1"/>
  <c r="AJ43" i="1"/>
  <c r="AK43" i="1"/>
  <c r="AL43" i="1"/>
  <c r="AA43" i="1"/>
  <c r="C46" i="13"/>
  <c r="C47" i="13"/>
  <c r="C48" i="13"/>
  <c r="C49" i="13"/>
  <c r="C50" i="13"/>
  <c r="C51" i="13"/>
  <c r="D51" i="13"/>
  <c r="D501" i="14"/>
  <c r="D537" i="14" s="1"/>
  <c r="B399" i="14"/>
  <c r="B400" i="14"/>
  <c r="B401" i="14"/>
  <c r="B402" i="14"/>
  <c r="A499" i="14"/>
  <c r="B407" i="14"/>
  <c r="B406" i="14"/>
  <c r="B405" i="14"/>
  <c r="B404" i="14"/>
  <c r="C50" i="4"/>
  <c r="C52" i="4" s="1"/>
  <c r="E49" i="4"/>
  <c r="E501" i="14"/>
  <c r="B394" i="14"/>
  <c r="B395" i="14"/>
  <c r="B396" i="14"/>
  <c r="B397" i="14"/>
  <c r="D125" i="14"/>
  <c r="D317" i="14"/>
  <c r="E317" i="14" s="1"/>
  <c r="B203" i="14"/>
  <c r="B204" i="14"/>
  <c r="B205" i="14"/>
  <c r="B206" i="14"/>
  <c r="B208" i="14"/>
  <c r="B209" i="14"/>
  <c r="B210" i="14"/>
  <c r="B211" i="14"/>
  <c r="E47" i="4"/>
  <c r="E48" i="4"/>
  <c r="E51" i="4"/>
  <c r="D51" i="4" s="1"/>
  <c r="D65" i="5"/>
  <c r="D66" i="5" s="1"/>
  <c r="D67" i="5" s="1"/>
  <c r="B82" i="5"/>
  <c r="D82" i="5" s="1"/>
  <c r="D80" i="5"/>
  <c r="D81" i="5"/>
  <c r="C81" i="5"/>
  <c r="B81" i="5"/>
  <c r="C80" i="5"/>
  <c r="B80" i="5"/>
  <c r="B74" i="5"/>
  <c r="D72" i="5"/>
  <c r="D73" i="5"/>
  <c r="C73" i="5"/>
  <c r="B73" i="5"/>
  <c r="C72" i="5"/>
  <c r="B72" i="5"/>
  <c r="AA18" i="7"/>
  <c r="AE17" i="7"/>
  <c r="Z18" i="7"/>
  <c r="D39" i="12"/>
  <c r="B39" i="12" s="1"/>
  <c r="B213" i="14"/>
  <c r="B214" i="14"/>
  <c r="B215" i="14"/>
  <c r="B216" i="14"/>
  <c r="D39" i="11"/>
  <c r="B51" i="13"/>
  <c r="D50" i="13"/>
  <c r="B50" i="13" s="1"/>
  <c r="D49" i="13"/>
  <c r="B49" i="13" s="1"/>
  <c r="D48" i="13"/>
  <c r="B48" i="13" s="1"/>
  <c r="D47" i="13"/>
  <c r="B47" i="13" s="1"/>
  <c r="D46" i="13"/>
  <c r="B46" i="13" s="1"/>
  <c r="D45" i="13"/>
  <c r="C45" i="13"/>
  <c r="D44" i="13"/>
  <c r="B44" i="13" s="1"/>
  <c r="D43" i="13"/>
  <c r="B43" i="13" s="1"/>
  <c r="D42" i="13"/>
  <c r="B42" i="13" s="1"/>
  <c r="D41" i="13"/>
  <c r="B41" i="13" s="1"/>
  <c r="D40" i="13"/>
  <c r="B40" i="13" s="1"/>
  <c r="B41" i="11"/>
  <c r="B40" i="11"/>
  <c r="D18" i="13"/>
  <c r="D19" i="13"/>
  <c r="D20" i="13"/>
  <c r="D21" i="13"/>
  <c r="D22" i="13"/>
  <c r="B22" i="13" s="1"/>
  <c r="D23" i="13"/>
  <c r="B6" i="18" s="1"/>
  <c r="D24" i="13"/>
  <c r="B24" i="13" s="1"/>
  <c r="D25" i="13"/>
  <c r="D26" i="13"/>
  <c r="B26" i="13" s="1"/>
  <c r="D27" i="13"/>
  <c r="D28" i="13"/>
  <c r="B28" i="13" s="1"/>
  <c r="D29" i="13"/>
  <c r="B29" i="13" s="1"/>
  <c r="D30" i="13"/>
  <c r="B30" i="13" s="1"/>
  <c r="D31" i="13"/>
  <c r="D33" i="13"/>
  <c r="D34" i="13"/>
  <c r="D35" i="13"/>
  <c r="D36" i="13"/>
  <c r="D37" i="13"/>
  <c r="D38" i="13"/>
  <c r="D18" i="12"/>
  <c r="D19" i="12"/>
  <c r="D20" i="12"/>
  <c r="D21" i="12"/>
  <c r="B21" i="12" s="1"/>
  <c r="D22" i="12"/>
  <c r="D23" i="12"/>
  <c r="B23" i="12" s="1"/>
  <c r="D24" i="12"/>
  <c r="D25" i="12"/>
  <c r="D26" i="12"/>
  <c r="D27" i="12"/>
  <c r="D28" i="12"/>
  <c r="D29" i="12"/>
  <c r="D30" i="12"/>
  <c r="B30" i="12" s="1"/>
  <c r="D31" i="12"/>
  <c r="B31" i="12" s="1"/>
  <c r="D32" i="12"/>
  <c r="B32" i="12" s="1"/>
  <c r="D33" i="12"/>
  <c r="D34" i="12"/>
  <c r="D35" i="12"/>
  <c r="D36" i="12"/>
  <c r="B36" i="12" s="1"/>
  <c r="D37" i="12"/>
  <c r="I21" i="19" s="1"/>
  <c r="J21" i="19" s="1"/>
  <c r="D38" i="12"/>
  <c r="B38" i="12" s="1"/>
  <c r="D18" i="11"/>
  <c r="B18" i="11" s="1"/>
  <c r="D19" i="11"/>
  <c r="D20" i="11"/>
  <c r="B20" i="11" s="1"/>
  <c r="D21" i="11"/>
  <c r="B21" i="11" s="1"/>
  <c r="D22" i="11"/>
  <c r="B22" i="11" s="1"/>
  <c r="D23" i="11"/>
  <c r="D24" i="11"/>
  <c r="B24" i="11" s="1"/>
  <c r="D25" i="11"/>
  <c r="B25" i="11" s="1"/>
  <c r="D26" i="11"/>
  <c r="B26" i="11" s="1"/>
  <c r="D27" i="11"/>
  <c r="D28" i="11"/>
  <c r="B28" i="11" s="1"/>
  <c r="D29" i="11"/>
  <c r="D30" i="11"/>
  <c r="B30" i="11" s="1"/>
  <c r="D31" i="11"/>
  <c r="D32" i="11"/>
  <c r="B32" i="11" s="1"/>
  <c r="D33" i="11"/>
  <c r="B6" i="17" s="1"/>
  <c r="D34" i="11"/>
  <c r="B34" i="11" s="1"/>
  <c r="D35" i="11"/>
  <c r="B35" i="11" s="1"/>
  <c r="D36" i="11"/>
  <c r="B36" i="11" s="1"/>
  <c r="D37" i="11"/>
  <c r="D38" i="11"/>
  <c r="B38" i="11" s="1"/>
  <c r="AL34" i="1"/>
  <c r="AK34" i="1"/>
  <c r="AJ34" i="1"/>
  <c r="AI34" i="1"/>
  <c r="AH34" i="1"/>
  <c r="AG34" i="1"/>
  <c r="AF34" i="1"/>
  <c r="AE33" i="1"/>
  <c r="AE34" i="1" s="1"/>
  <c r="AD33" i="1"/>
  <c r="AD34" i="1" s="1"/>
  <c r="AC33" i="1"/>
  <c r="AC34" i="1" s="1"/>
  <c r="AB33" i="1"/>
  <c r="AB34" i="1" s="1"/>
  <c r="AA33" i="1"/>
  <c r="AA34" i="1" s="1"/>
  <c r="AL19" i="7"/>
  <c r="AL20" i="7"/>
  <c r="AL21" i="7" s="1"/>
  <c r="AK19" i="7"/>
  <c r="AK20" i="7"/>
  <c r="AK21" i="7" s="1"/>
  <c r="AJ19" i="7"/>
  <c r="AJ20" i="7"/>
  <c r="AJ21" i="7" s="1"/>
  <c r="AI19" i="7"/>
  <c r="AI20" i="7"/>
  <c r="AI21" i="7" s="1"/>
  <c r="AH19" i="7"/>
  <c r="AH20" i="7"/>
  <c r="AH21" i="7" s="1"/>
  <c r="AG19" i="7"/>
  <c r="AG20" i="7"/>
  <c r="AG21" i="7" s="1"/>
  <c r="AF19" i="7"/>
  <c r="AF20" i="7"/>
  <c r="AF21" i="7" s="1"/>
  <c r="AE19" i="7"/>
  <c r="AE20" i="7"/>
  <c r="AE21" i="7" s="1"/>
  <c r="AD19" i="7"/>
  <c r="AD20" i="7"/>
  <c r="AD21" i="7" s="1"/>
  <c r="AC19" i="7"/>
  <c r="AC20" i="7"/>
  <c r="AC21" i="7"/>
  <c r="AB19" i="7"/>
  <c r="AB20" i="7"/>
  <c r="AB21" i="7" s="1"/>
  <c r="AB22" i="7" s="1"/>
  <c r="AB30" i="6" s="1"/>
  <c r="AA14" i="10" s="1"/>
  <c r="AA49" i="10" s="1"/>
  <c r="AA19" i="7"/>
  <c r="AA20" i="7"/>
  <c r="AA21" i="7" s="1"/>
  <c r="AA22" i="7" s="1"/>
  <c r="AA30" i="6" s="1"/>
  <c r="Z14" i="10" s="1"/>
  <c r="Z49" i="10" s="1"/>
  <c r="AI21" i="10"/>
  <c r="AI56" i="10" s="1"/>
  <c r="AF21" i="10"/>
  <c r="AF56" i="10" s="1"/>
  <c r="AC21" i="10"/>
  <c r="AC56" i="10" s="1"/>
  <c r="Z21" i="10"/>
  <c r="Z56" i="10" s="1"/>
  <c r="W21" i="10"/>
  <c r="W56" i="10" s="1"/>
  <c r="X21" i="10"/>
  <c r="X56" i="10" s="1"/>
  <c r="T21" i="10"/>
  <c r="T56" i="10" s="1"/>
  <c r="Q21" i="10"/>
  <c r="Q56" i="10" s="1"/>
  <c r="N21" i="10"/>
  <c r="N56" i="10" s="1"/>
  <c r="E43" i="1"/>
  <c r="E43" i="8"/>
  <c r="E43" i="9"/>
  <c r="C17" i="6"/>
  <c r="C18" i="6"/>
  <c r="C19" i="6"/>
  <c r="B14" i="10"/>
  <c r="B49" i="10" s="1"/>
  <c r="D17" i="6"/>
  <c r="D18" i="6"/>
  <c r="D19" i="6"/>
  <c r="C14" i="10"/>
  <c r="C49" i="10" s="1"/>
  <c r="B21" i="10"/>
  <c r="B56" i="10"/>
  <c r="C21" i="10"/>
  <c r="C56" i="10"/>
  <c r="F43" i="1"/>
  <c r="F43" i="8"/>
  <c r="F43" i="9"/>
  <c r="G43" i="1"/>
  <c r="G43" i="8"/>
  <c r="G43" i="9"/>
  <c r="H43" i="1"/>
  <c r="H43" i="8"/>
  <c r="H43" i="9"/>
  <c r="E21" i="10"/>
  <c r="E56" i="10" s="1"/>
  <c r="I43" i="1"/>
  <c r="I43" i="8"/>
  <c r="I43" i="9"/>
  <c r="J43" i="1"/>
  <c r="J43" i="8"/>
  <c r="J43" i="9"/>
  <c r="K43" i="1"/>
  <c r="K43" i="8"/>
  <c r="K43" i="9"/>
  <c r="H21" i="10"/>
  <c r="H56" i="10" s="1"/>
  <c r="J21" i="10"/>
  <c r="J56" i="10" s="1"/>
  <c r="L43" i="1"/>
  <c r="L43" i="8"/>
  <c r="L43" i="9"/>
  <c r="M43" i="1"/>
  <c r="M43" i="8"/>
  <c r="M43" i="9"/>
  <c r="N43" i="1"/>
  <c r="N43" i="8"/>
  <c r="N43" i="9"/>
  <c r="K21" i="10"/>
  <c r="K56" i="10" s="1"/>
  <c r="O33" i="1"/>
  <c r="O34" i="1" s="1"/>
  <c r="O43" i="1"/>
  <c r="O43" i="8"/>
  <c r="O43" i="9"/>
  <c r="O21" i="10"/>
  <c r="O56" i="10" s="1"/>
  <c r="P33" i="1"/>
  <c r="P34" i="1" s="1"/>
  <c r="P43" i="1"/>
  <c r="P43" i="8"/>
  <c r="P43" i="9"/>
  <c r="P21" i="10"/>
  <c r="P56" i="10" s="1"/>
  <c r="Q33" i="1"/>
  <c r="Q34" i="1" s="1"/>
  <c r="Q43" i="1"/>
  <c r="Q43" i="8"/>
  <c r="Q43" i="9"/>
  <c r="R33" i="1"/>
  <c r="R34" i="1" s="1"/>
  <c r="R43" i="1"/>
  <c r="R43" i="8"/>
  <c r="R43" i="9"/>
  <c r="S33" i="1"/>
  <c r="S34" i="1" s="1"/>
  <c r="S43" i="1"/>
  <c r="S43" i="8"/>
  <c r="S43" i="9"/>
  <c r="T33" i="1"/>
  <c r="T34" i="1" s="1"/>
  <c r="T43" i="1"/>
  <c r="T43" i="8"/>
  <c r="T43" i="9"/>
  <c r="U33" i="1"/>
  <c r="U34" i="1" s="1"/>
  <c r="U43" i="1"/>
  <c r="U43" i="8"/>
  <c r="U43" i="9"/>
  <c r="V33" i="1"/>
  <c r="V34" i="1" s="1"/>
  <c r="V43" i="1"/>
  <c r="V43" i="8"/>
  <c r="V43" i="9"/>
  <c r="W33" i="1"/>
  <c r="W34" i="1" s="1"/>
  <c r="W43" i="1"/>
  <c r="W43" i="8"/>
  <c r="W43" i="9"/>
  <c r="U21" i="10"/>
  <c r="U56" i="10" s="1"/>
  <c r="V21" i="10"/>
  <c r="V56" i="10" s="1"/>
  <c r="X33" i="1"/>
  <c r="X34" i="1" s="1"/>
  <c r="X43" i="1"/>
  <c r="X43" i="8"/>
  <c r="X43" i="9"/>
  <c r="Y33" i="1"/>
  <c r="Y34" i="1" s="1"/>
  <c r="Y43" i="1"/>
  <c r="Y43" i="8"/>
  <c r="Y43" i="9"/>
  <c r="Z33" i="1"/>
  <c r="Z34" i="1" s="1"/>
  <c r="Z43" i="1"/>
  <c r="Z43" i="8"/>
  <c r="Z43" i="9"/>
  <c r="Z19" i="7"/>
  <c r="AA21" i="10"/>
  <c r="AA56" i="10" s="1"/>
  <c r="AB21" i="10"/>
  <c r="AB56" i="10" s="1"/>
  <c r="AD21" i="10"/>
  <c r="AD56" i="10" s="1"/>
  <c r="AG21" i="10"/>
  <c r="AG56" i="10" s="1"/>
  <c r="AH21" i="10"/>
  <c r="AH56" i="10" s="1"/>
  <c r="AK21" i="10"/>
  <c r="AK56" i="10" s="1"/>
  <c r="Y18" i="7"/>
  <c r="X18" i="7"/>
  <c r="C18" i="12"/>
  <c r="C19" i="12"/>
  <c r="C20" i="12"/>
  <c r="C21" i="12"/>
  <c r="C22" i="12"/>
  <c r="C23" i="12"/>
  <c r="C24" i="12"/>
  <c r="C25" i="12"/>
  <c r="C26" i="12"/>
  <c r="C27" i="12"/>
  <c r="C28" i="12"/>
  <c r="C29" i="12"/>
  <c r="W18" i="7"/>
  <c r="D32" i="13"/>
  <c r="B32" i="13" s="1"/>
  <c r="V18" i="7"/>
  <c r="U18" i="7"/>
  <c r="T18" i="7"/>
  <c r="S18" i="7"/>
  <c r="P20" i="7"/>
  <c r="Q20" i="7"/>
  <c r="R20" i="7"/>
  <c r="S20" i="7"/>
  <c r="T20" i="7"/>
  <c r="U20" i="7"/>
  <c r="V20" i="7"/>
  <c r="W20" i="7"/>
  <c r="X20" i="7"/>
  <c r="Y20" i="7"/>
  <c r="Z20" i="7"/>
  <c r="O20" i="7"/>
  <c r="R18" i="7"/>
  <c r="Q18" i="7"/>
  <c r="E29" i="4"/>
  <c r="D29" i="4" s="1"/>
  <c r="E30" i="4"/>
  <c r="E32" i="4"/>
  <c r="D32" i="4" s="1"/>
  <c r="C31" i="4"/>
  <c r="C33" i="4" s="1"/>
  <c r="C45" i="5"/>
  <c r="P18" i="7"/>
  <c r="B53" i="5"/>
  <c r="D51" i="5"/>
  <c r="O33" i="9" s="1"/>
  <c r="O34" i="9" s="1"/>
  <c r="D52" i="5"/>
  <c r="B45" i="5"/>
  <c r="D45" i="5" s="1"/>
  <c r="D43" i="5"/>
  <c r="D44" i="5"/>
  <c r="D37" i="5"/>
  <c r="D38" i="5" s="1"/>
  <c r="C52" i="5"/>
  <c r="B52" i="5"/>
  <c r="C51" i="5"/>
  <c r="B51" i="5"/>
  <c r="C44" i="5"/>
  <c r="B44" i="5"/>
  <c r="C43" i="5"/>
  <c r="B43" i="5"/>
  <c r="O18" i="7"/>
  <c r="B11" i="5"/>
  <c r="G33" i="1"/>
  <c r="G34" i="1" s="1"/>
  <c r="D26" i="5"/>
  <c r="D17" i="5"/>
  <c r="G33" i="8" s="1"/>
  <c r="G34" i="8" s="1"/>
  <c r="D18" i="5"/>
  <c r="C19" i="5"/>
  <c r="O19" i="7"/>
  <c r="O21" i="7"/>
  <c r="P19" i="7"/>
  <c r="P21" i="7"/>
  <c r="Q19" i="7"/>
  <c r="Q21" i="7"/>
  <c r="R19" i="7"/>
  <c r="R21" i="7"/>
  <c r="S21" i="7"/>
  <c r="S19" i="7"/>
  <c r="T21" i="7"/>
  <c r="T19" i="7"/>
  <c r="U21" i="7"/>
  <c r="U19" i="7"/>
  <c r="V21" i="7"/>
  <c r="V19" i="7"/>
  <c r="W21" i="7"/>
  <c r="W19" i="7"/>
  <c r="X21" i="7"/>
  <c r="X19" i="7"/>
  <c r="Y21" i="7"/>
  <c r="Y19" i="7"/>
  <c r="Z21" i="7"/>
  <c r="D39" i="13"/>
  <c r="B39" i="13" s="1"/>
  <c r="B31" i="13"/>
  <c r="B33" i="13"/>
  <c r="B34" i="13"/>
  <c r="B35" i="13"/>
  <c r="B36" i="13"/>
  <c r="B37" i="13"/>
  <c r="B38" i="13"/>
  <c r="B33" i="12"/>
  <c r="B34" i="12"/>
  <c r="B35" i="12"/>
  <c r="B37" i="11"/>
  <c r="B39" i="11"/>
  <c r="B19" i="11"/>
  <c r="B23" i="11"/>
  <c r="B27" i="11"/>
  <c r="N18" i="7"/>
  <c r="N19" i="7" s="1"/>
  <c r="M18" i="7"/>
  <c r="M19" i="7" s="1"/>
  <c r="E5" i="15"/>
  <c r="C43" i="14" s="1"/>
  <c r="C20" i="15"/>
  <c r="C19" i="15"/>
  <c r="C18" i="15"/>
  <c r="B20" i="15"/>
  <c r="B19" i="15"/>
  <c r="B18" i="15"/>
  <c r="C12" i="15"/>
  <c r="J18" i="7"/>
  <c r="J19" i="7" s="1"/>
  <c r="K18" i="7"/>
  <c r="K19" i="7" s="1"/>
  <c r="I18" i="7"/>
  <c r="H18" i="7"/>
  <c r="G18" i="7"/>
  <c r="E7" i="15"/>
  <c r="C430" i="14" s="1"/>
  <c r="B27" i="13"/>
  <c r="B25" i="13"/>
  <c r="B21" i="13"/>
  <c r="B20" i="13"/>
  <c r="M20" i="7"/>
  <c r="M21" i="7"/>
  <c r="L17" i="7"/>
  <c r="L19" i="7"/>
  <c r="L20" i="7"/>
  <c r="L21" i="7"/>
  <c r="K20" i="7"/>
  <c r="K21" i="7"/>
  <c r="J20" i="7"/>
  <c r="J21" i="7" s="1"/>
  <c r="I19" i="7"/>
  <c r="I20" i="7"/>
  <c r="I21" i="7" s="1"/>
  <c r="H17" i="7"/>
  <c r="H20" i="7"/>
  <c r="H21" i="7" s="1"/>
  <c r="G17" i="7"/>
  <c r="G19" i="7" s="1"/>
  <c r="G20" i="7"/>
  <c r="G21" i="7" s="1"/>
  <c r="F18" i="7"/>
  <c r="F17" i="7"/>
  <c r="F19" i="7"/>
  <c r="F20" i="7"/>
  <c r="F21" i="7"/>
  <c r="E17" i="7"/>
  <c r="E19" i="7"/>
  <c r="E20" i="7"/>
  <c r="E21" i="7" s="1"/>
  <c r="B19" i="13"/>
  <c r="B18" i="13"/>
  <c r="N20" i="7"/>
  <c r="N21" i="7" s="1"/>
  <c r="E6" i="15"/>
  <c r="C237" i="14" s="1"/>
  <c r="A31" i="14"/>
  <c r="A123" i="14"/>
  <c r="A225" i="14"/>
  <c r="A315" i="14"/>
  <c r="A418" i="14"/>
  <c r="C26" i="5"/>
  <c r="B26" i="5"/>
  <c r="C25" i="5"/>
  <c r="B25" i="5"/>
  <c r="C18" i="5"/>
  <c r="B18" i="5"/>
  <c r="C17" i="5"/>
  <c r="B17" i="5"/>
  <c r="E12" i="4"/>
  <c r="D12" i="4" s="1"/>
  <c r="E13" i="4"/>
  <c r="D13" i="4" s="1"/>
  <c r="E15" i="4"/>
  <c r="D15" i="4" s="1"/>
  <c r="C14" i="4"/>
  <c r="C16" i="4" s="1"/>
  <c r="AC22" i="7"/>
  <c r="AC30" i="6" s="1"/>
  <c r="AB14" i="10" s="1"/>
  <c r="AB49" i="10" s="1"/>
  <c r="B23" i="13"/>
  <c r="C6" i="18" s="1"/>
  <c r="B438" i="14" s="1"/>
  <c r="B33" i="11"/>
  <c r="C6" i="17" s="1"/>
  <c r="Z22" i="7"/>
  <c r="Z30" i="6" s="1"/>
  <c r="Y14" i="10" s="1"/>
  <c r="Y49" i="10" s="1"/>
  <c r="AE33" i="8"/>
  <c r="AE34" i="8" s="1"/>
  <c r="AD33" i="8"/>
  <c r="AD34" i="8" s="1"/>
  <c r="AC33" i="8"/>
  <c r="AC34" i="8" s="1"/>
  <c r="AB33" i="8"/>
  <c r="AB34" i="8" s="1"/>
  <c r="AA33" i="8"/>
  <c r="AA34" i="8" s="1"/>
  <c r="D25" i="5"/>
  <c r="E33" i="9" s="1"/>
  <c r="E34" i="9" s="1"/>
  <c r="Z33" i="8"/>
  <c r="Z34" i="8" s="1"/>
  <c r="X33" i="8"/>
  <c r="X34" i="8" s="1"/>
  <c r="W33" i="8"/>
  <c r="W34" i="8" s="1"/>
  <c r="U33" i="8"/>
  <c r="U34" i="8" s="1"/>
  <c r="T33" i="8"/>
  <c r="T34" i="8" s="1"/>
  <c r="R33" i="8"/>
  <c r="R34" i="8" s="1"/>
  <c r="Q33" i="8"/>
  <c r="Q34" i="8" s="1"/>
  <c r="P33" i="8"/>
  <c r="P34" i="8" s="1"/>
  <c r="O33" i="8"/>
  <c r="O34" i="8" s="1"/>
  <c r="M33" i="1"/>
  <c r="M34" i="1" s="1"/>
  <c r="K33" i="1"/>
  <c r="K34" i="1" s="1"/>
  <c r="I33" i="1"/>
  <c r="I34" i="1" s="1"/>
  <c r="E33" i="1"/>
  <c r="E34" i="1" s="1"/>
  <c r="F33" i="1"/>
  <c r="F34" i="1" s="1"/>
  <c r="Y33" i="8"/>
  <c r="Y34" i="8" s="1"/>
  <c r="V33" i="8"/>
  <c r="V34" i="8" s="1"/>
  <c r="S33" i="8"/>
  <c r="S34" i="8" s="1"/>
  <c r="N33" i="1"/>
  <c r="N34" i="1" s="1"/>
  <c r="L33" i="1"/>
  <c r="L34" i="1" s="1"/>
  <c r="J33" i="1"/>
  <c r="J34" i="1" s="1"/>
  <c r="H33" i="1"/>
  <c r="H34" i="1" s="1"/>
  <c r="D50" i="4"/>
  <c r="D52" i="4" s="1"/>
  <c r="C7" i="17"/>
  <c r="B71" i="14" s="1"/>
  <c r="B7" i="17"/>
  <c r="B7" i="19"/>
  <c r="B6" i="19"/>
  <c r="C6" i="19"/>
  <c r="B256" i="14" s="1"/>
  <c r="K33" i="9"/>
  <c r="K34" i="9" s="1"/>
  <c r="Y21" i="10"/>
  <c r="Y56" i="10" s="1"/>
  <c r="R21" i="10"/>
  <c r="R56" i="10" s="1"/>
  <c r="L21" i="10"/>
  <c r="L56" i="10" s="1"/>
  <c r="I21" i="10"/>
  <c r="I56" i="10" s="1"/>
  <c r="F21" i="10"/>
  <c r="F56" i="10" s="1"/>
  <c r="D21" i="10"/>
  <c r="D56" i="10" s="1"/>
  <c r="B63" i="14"/>
  <c r="Z38" i="1"/>
  <c r="O38" i="1"/>
  <c r="V38" i="1"/>
  <c r="R38" i="1"/>
  <c r="Q38" i="1"/>
  <c r="U38" i="1"/>
  <c r="T38" i="1"/>
  <c r="C36" i="4"/>
  <c r="X38" i="1"/>
  <c r="W38" i="1"/>
  <c r="S38" i="1"/>
  <c r="P38" i="1"/>
  <c r="Y38" i="1"/>
  <c r="B19" i="5"/>
  <c r="S52" i="1"/>
  <c r="S53" i="1" s="1"/>
  <c r="S59" i="1" s="1"/>
  <c r="V52" i="1"/>
  <c r="V53" i="1" s="1"/>
  <c r="V59" i="1" s="1"/>
  <c r="R52" i="1"/>
  <c r="R53" i="1" s="1"/>
  <c r="R59" i="1" s="1"/>
  <c r="AC25" i="1"/>
  <c r="D39" i="5"/>
  <c r="AA26" i="1" s="1"/>
  <c r="AA66" i="1" s="1"/>
  <c r="W25" i="1"/>
  <c r="R25" i="1"/>
  <c r="Z25" i="1"/>
  <c r="AA25" i="1"/>
  <c r="Q25" i="1"/>
  <c r="Y25" i="1"/>
  <c r="T25" i="1"/>
  <c r="AD25" i="1"/>
  <c r="S25" i="1"/>
  <c r="O25" i="1"/>
  <c r="V25" i="1"/>
  <c r="AE25" i="1"/>
  <c r="AB25" i="1"/>
  <c r="U25" i="1"/>
  <c r="P25" i="1"/>
  <c r="X25" i="1"/>
  <c r="L33" i="9" l="1"/>
  <c r="L34" i="9" s="1"/>
  <c r="Y26" i="1"/>
  <c r="Y66" i="1" s="1"/>
  <c r="AC33" i="9"/>
  <c r="AC34" i="9" s="1"/>
  <c r="D46" i="5"/>
  <c r="O25" i="8" s="1"/>
  <c r="D83" i="5"/>
  <c r="AH26" i="9" s="1"/>
  <c r="AH66" i="9" s="1"/>
  <c r="G33" i="9"/>
  <c r="G34" i="9" s="1"/>
  <c r="AA33" i="9"/>
  <c r="AA34" i="9" s="1"/>
  <c r="H33" i="9"/>
  <c r="H34" i="9" s="1"/>
  <c r="AE33" i="9"/>
  <c r="AE34" i="9" s="1"/>
  <c r="M33" i="9"/>
  <c r="M34" i="9" s="1"/>
  <c r="N33" i="9"/>
  <c r="N34" i="9" s="1"/>
  <c r="F33" i="9"/>
  <c r="F34" i="9" s="1"/>
  <c r="H33" i="8"/>
  <c r="H34" i="8" s="1"/>
  <c r="L33" i="8"/>
  <c r="L34" i="8" s="1"/>
  <c r="S33" i="9"/>
  <c r="S34" i="9" s="1"/>
  <c r="Y33" i="9"/>
  <c r="Y34" i="9" s="1"/>
  <c r="AD33" i="9"/>
  <c r="AD34" i="9" s="1"/>
  <c r="F33" i="8"/>
  <c r="F34" i="8" s="1"/>
  <c r="Q33" i="9"/>
  <c r="Q34" i="9" s="1"/>
  <c r="T33" i="9"/>
  <c r="T34" i="9" s="1"/>
  <c r="W33" i="9"/>
  <c r="W34" i="9" s="1"/>
  <c r="Z33" i="9"/>
  <c r="Z34" i="9" s="1"/>
  <c r="I33" i="9"/>
  <c r="I34" i="9" s="1"/>
  <c r="J33" i="9"/>
  <c r="J34" i="9" s="1"/>
  <c r="J33" i="8"/>
  <c r="J34" i="8" s="1"/>
  <c r="N33" i="8"/>
  <c r="N34" i="8" s="1"/>
  <c r="V33" i="9"/>
  <c r="V34" i="9" s="1"/>
  <c r="AB33" i="9"/>
  <c r="AB34" i="9" s="1"/>
  <c r="P33" i="9"/>
  <c r="P34" i="9" s="1"/>
  <c r="R33" i="9"/>
  <c r="R34" i="9" s="1"/>
  <c r="U33" i="9"/>
  <c r="U34" i="9" s="1"/>
  <c r="X33" i="9"/>
  <c r="X34" i="9" s="1"/>
  <c r="D331" i="14"/>
  <c r="D332" i="14" s="1"/>
  <c r="D333" i="14" s="1"/>
  <c r="D334" i="14" s="1"/>
  <c r="D336" i="14" s="1"/>
  <c r="D337" i="14" s="1"/>
  <c r="D338" i="14" s="1"/>
  <c r="D19" i="5"/>
  <c r="D20" i="5" s="1"/>
  <c r="B13" i="18"/>
  <c r="B27" i="12"/>
  <c r="C9" i="19"/>
  <c r="B273" i="14" s="1"/>
  <c r="B9" i="19"/>
  <c r="C8" i="19"/>
  <c r="B269" i="14" s="1"/>
  <c r="B8" i="19"/>
  <c r="C7" i="19"/>
  <c r="B265" i="14" s="1"/>
  <c r="B37" i="12"/>
  <c r="B29" i="12"/>
  <c r="B26" i="12"/>
  <c r="B25" i="12"/>
  <c r="B22" i="12"/>
  <c r="B19" i="12"/>
  <c r="B18" i="12"/>
  <c r="B28" i="12"/>
  <c r="B24" i="12"/>
  <c r="B20" i="12"/>
  <c r="I22" i="19"/>
  <c r="J22" i="19" s="1"/>
  <c r="C64" i="13"/>
  <c r="B47" i="12"/>
  <c r="B43" i="12"/>
  <c r="C64" i="12"/>
  <c r="D64" i="12"/>
  <c r="B9" i="17"/>
  <c r="I22" i="17"/>
  <c r="J22" i="17" s="1"/>
  <c r="B27" i="5"/>
  <c r="D27" i="5" s="1"/>
  <c r="D28" i="5" s="1"/>
  <c r="D11" i="5"/>
  <c r="D12" i="5" s="1"/>
  <c r="D13" i="5" s="1"/>
  <c r="D64" i="13"/>
  <c r="E33" i="8"/>
  <c r="E34" i="8" s="1"/>
  <c r="I33" i="8"/>
  <c r="I34" i="8" s="1"/>
  <c r="K33" i="8"/>
  <c r="K34" i="8" s="1"/>
  <c r="M33" i="8"/>
  <c r="M34" i="8" s="1"/>
  <c r="O26" i="1"/>
  <c r="O66" i="1" s="1"/>
  <c r="W52" i="1"/>
  <c r="W53" i="1" s="1"/>
  <c r="W59" i="1" s="1"/>
  <c r="Z52" i="1"/>
  <c r="Z53" i="1" s="1"/>
  <c r="Z59" i="1" s="1"/>
  <c r="Q52" i="1"/>
  <c r="Q53" i="1" s="1"/>
  <c r="Q59" i="1" s="1"/>
  <c r="Y52" i="1"/>
  <c r="Y53" i="1" s="1"/>
  <c r="Y59" i="1" s="1"/>
  <c r="K22" i="7"/>
  <c r="K30" i="6" s="1"/>
  <c r="J14" i="10" s="1"/>
  <c r="J49" i="10" s="1"/>
  <c r="AE22" i="7"/>
  <c r="AE30" i="6" s="1"/>
  <c r="AD14" i="10" s="1"/>
  <c r="AD49" i="10" s="1"/>
  <c r="AF22" i="7"/>
  <c r="AF30" i="6" s="1"/>
  <c r="AE14" i="10" s="1"/>
  <c r="AE49" i="10" s="1"/>
  <c r="E33" i="32"/>
  <c r="E34" i="32" s="1"/>
  <c r="G33" i="32"/>
  <c r="G34" i="32" s="1"/>
  <c r="I33" i="32"/>
  <c r="I34" i="32" s="1"/>
  <c r="K33" i="32"/>
  <c r="D33" i="32"/>
  <c r="D34" i="32" s="1"/>
  <c r="F33" i="32"/>
  <c r="F34" i="32" s="1"/>
  <c r="H33" i="32"/>
  <c r="H34" i="32" s="1"/>
  <c r="J33" i="32"/>
  <c r="J34" i="32" s="1"/>
  <c r="C33" i="32"/>
  <c r="C34" i="32" s="1"/>
  <c r="B45" i="11"/>
  <c r="C9" i="17" s="1"/>
  <c r="B88" i="14" s="1"/>
  <c r="B46" i="11"/>
  <c r="B44" i="11"/>
  <c r="B48" i="11"/>
  <c r="B8" i="17"/>
  <c r="B31" i="11"/>
  <c r="B29" i="11"/>
  <c r="B42" i="11"/>
  <c r="B45" i="13"/>
  <c r="B64" i="13" s="1"/>
  <c r="D164" i="14"/>
  <c r="D165" i="14" s="1"/>
  <c r="D166" i="14" s="1"/>
  <c r="D167" i="14" s="1"/>
  <c r="D168" i="14" s="1"/>
  <c r="D170" i="14" s="1"/>
  <c r="D174" i="14" s="1"/>
  <c r="D175" i="14" s="1"/>
  <c r="D176" i="14" s="1"/>
  <c r="D177" i="14" s="1"/>
  <c r="D178" i="14" s="1"/>
  <c r="D179" i="14" s="1"/>
  <c r="B866" i="14"/>
  <c r="C866" i="14" s="1"/>
  <c r="B821" i="14"/>
  <c r="C849" i="14"/>
  <c r="D849" i="14" s="1"/>
  <c r="E850" i="14" s="1"/>
  <c r="D36" i="30" s="1"/>
  <c r="E50" i="4"/>
  <c r="C55" i="4"/>
  <c r="AB38" i="1"/>
  <c r="AF38" i="1"/>
  <c r="AJ38" i="1"/>
  <c r="AC38" i="1"/>
  <c r="AG38" i="1"/>
  <c r="C56" i="4"/>
  <c r="AD38" i="1"/>
  <c r="AH38" i="1"/>
  <c r="AL38" i="1"/>
  <c r="AE38" i="1"/>
  <c r="AI38" i="1"/>
  <c r="AA38" i="1"/>
  <c r="AK38" i="1"/>
  <c r="O52" i="1"/>
  <c r="O53" i="1" s="1"/>
  <c r="O59" i="1" s="1"/>
  <c r="P52" i="1"/>
  <c r="P53" i="1" s="1"/>
  <c r="P59" i="1" s="1"/>
  <c r="B17" i="14"/>
  <c r="F33" i="14" s="1"/>
  <c r="T52" i="1"/>
  <c r="T53" i="1" s="1"/>
  <c r="T59" i="1" s="1"/>
  <c r="U52" i="1"/>
  <c r="U53" i="1" s="1"/>
  <c r="U59" i="1" s="1"/>
  <c r="X52" i="1"/>
  <c r="X53" i="1" s="1"/>
  <c r="X59" i="1" s="1"/>
  <c r="V26" i="1"/>
  <c r="V66" i="1" s="1"/>
  <c r="P26" i="1"/>
  <c r="P66" i="1" s="1"/>
  <c r="AN33" i="9"/>
  <c r="AN34" i="9" s="1"/>
  <c r="AP33" i="9"/>
  <c r="AP34" i="9" s="1"/>
  <c r="AR33" i="9"/>
  <c r="AR34" i="9" s="1"/>
  <c r="AT33" i="9"/>
  <c r="AT34" i="9" s="1"/>
  <c r="AV33" i="9"/>
  <c r="AV34" i="9" s="1"/>
  <c r="AX33" i="9"/>
  <c r="AX34" i="9" s="1"/>
  <c r="AO33" i="9"/>
  <c r="AO34" i="9" s="1"/>
  <c r="AQ33" i="9"/>
  <c r="AQ34" i="9" s="1"/>
  <c r="AS33" i="9"/>
  <c r="AS34" i="9" s="1"/>
  <c r="AU33" i="9"/>
  <c r="AU34" i="9" s="1"/>
  <c r="AW33" i="9"/>
  <c r="AW34" i="9" s="1"/>
  <c r="AM33" i="9"/>
  <c r="AM34" i="9" s="1"/>
  <c r="D137" i="5"/>
  <c r="C33" i="20"/>
  <c r="C34" i="20" s="1"/>
  <c r="D107" i="5"/>
  <c r="D108" i="5" s="1"/>
  <c r="D144" i="5"/>
  <c r="B168" i="5"/>
  <c r="B184" i="5"/>
  <c r="B176" i="5"/>
  <c r="D152" i="5"/>
  <c r="B192" i="5"/>
  <c r="AO33" i="8"/>
  <c r="AO34" i="8" s="1"/>
  <c r="AQ33" i="8"/>
  <c r="AQ34" i="8" s="1"/>
  <c r="AN33" i="8"/>
  <c r="AN34" i="8" s="1"/>
  <c r="AP33" i="8"/>
  <c r="AP34" i="8" s="1"/>
  <c r="AR33" i="8"/>
  <c r="AR34" i="8" s="1"/>
  <c r="AT33" i="8"/>
  <c r="AT34" i="8" s="1"/>
  <c r="AV33" i="8"/>
  <c r="AV34" i="8" s="1"/>
  <c r="AX33" i="8"/>
  <c r="AX34" i="8" s="1"/>
  <c r="AS33" i="8"/>
  <c r="AS34" i="8" s="1"/>
  <c r="AU33" i="8"/>
  <c r="AU34" i="8" s="1"/>
  <c r="AM33" i="8"/>
  <c r="AM34" i="8" s="1"/>
  <c r="AW33" i="8"/>
  <c r="AW34" i="8" s="1"/>
  <c r="AS25" i="1"/>
  <c r="AW25" i="1"/>
  <c r="AN25" i="1"/>
  <c r="AP25" i="1"/>
  <c r="AR25" i="1"/>
  <c r="AT25" i="1"/>
  <c r="AV25" i="1"/>
  <c r="AX25" i="1"/>
  <c r="AO25" i="1"/>
  <c r="AQ25" i="1"/>
  <c r="AU25" i="1"/>
  <c r="AM25" i="1"/>
  <c r="AG33" i="8"/>
  <c r="AG34" i="8" s="1"/>
  <c r="AI33" i="8"/>
  <c r="AI34" i="8" s="1"/>
  <c r="AK33" i="8"/>
  <c r="AK34" i="8" s="1"/>
  <c r="AF33" i="8"/>
  <c r="AF34" i="8" s="1"/>
  <c r="AH33" i="8"/>
  <c r="AH34" i="8" s="1"/>
  <c r="AJ33" i="8"/>
  <c r="AJ34" i="8" s="1"/>
  <c r="AL33" i="8"/>
  <c r="AL34" i="8" s="1"/>
  <c r="AH33" i="9"/>
  <c r="AH34" i="9" s="1"/>
  <c r="AJ33" i="9"/>
  <c r="AJ34" i="9" s="1"/>
  <c r="AL33" i="9"/>
  <c r="AL34" i="9" s="1"/>
  <c r="AG33" i="9"/>
  <c r="AG34" i="9" s="1"/>
  <c r="AI33" i="9"/>
  <c r="AI34" i="9" s="1"/>
  <c r="AK33" i="9"/>
  <c r="AK34" i="9" s="1"/>
  <c r="AF33" i="9"/>
  <c r="AF34" i="9" s="1"/>
  <c r="D145" i="5"/>
  <c r="B182" i="5"/>
  <c r="B174" i="5"/>
  <c r="B166" i="5"/>
  <c r="C183" i="5"/>
  <c r="C175" i="5"/>
  <c r="C167" i="5"/>
  <c r="D183" i="5"/>
  <c r="D175" i="5"/>
  <c r="D191" i="5" s="1"/>
  <c r="K34" i="32"/>
  <c r="B183" i="5"/>
  <c r="B175" i="5"/>
  <c r="B167" i="5"/>
  <c r="C166" i="5"/>
  <c r="C182" i="5"/>
  <c r="C174" i="5"/>
  <c r="D182" i="5"/>
  <c r="D174" i="5"/>
  <c r="D126" i="14"/>
  <c r="E126" i="14" s="1"/>
  <c r="D538" i="14"/>
  <c r="D539" i="14" s="1"/>
  <c r="D540" i="14" s="1"/>
  <c r="D541" i="14" s="1"/>
  <c r="D542" i="14" s="1"/>
  <c r="D543" i="14" s="1"/>
  <c r="D544" i="14" s="1"/>
  <c r="D545" i="14" s="1"/>
  <c r="D546" i="14" s="1"/>
  <c r="D547" i="14" s="1"/>
  <c r="D548" i="14" s="1"/>
  <c r="D551" i="14"/>
  <c r="C37" i="6"/>
  <c r="B47" i="10" s="1"/>
  <c r="B51" i="10" s="1"/>
  <c r="B53" i="10" s="1"/>
  <c r="C45" i="10" s="1"/>
  <c r="E125" i="14"/>
  <c r="D182" i="14"/>
  <c r="F22" i="7"/>
  <c r="F30" i="6" s="1"/>
  <c r="E14" i="10" s="1"/>
  <c r="E49" i="10" s="1"/>
  <c r="L22" i="7"/>
  <c r="L30" i="6" s="1"/>
  <c r="K14" i="10" s="1"/>
  <c r="K49" i="10" s="1"/>
  <c r="M22" i="7"/>
  <c r="M30" i="6" s="1"/>
  <c r="L14" i="10" s="1"/>
  <c r="L49" i="10" s="1"/>
  <c r="AG26" i="1"/>
  <c r="AG66" i="1" s="1"/>
  <c r="E52" i="4"/>
  <c r="B238" i="14"/>
  <c r="B239" i="14" s="1"/>
  <c r="B240" i="14" s="1"/>
  <c r="B241" i="14" s="1"/>
  <c r="B242" i="14" s="1"/>
  <c r="B243" i="14" s="1"/>
  <c r="B244" i="14" s="1"/>
  <c r="B245" i="14" s="1"/>
  <c r="B246" i="14" s="1"/>
  <c r="AF26" i="9"/>
  <c r="AF66" i="9" s="1"/>
  <c r="AK26" i="9"/>
  <c r="AK66" i="9" s="1"/>
  <c r="AI26" i="9"/>
  <c r="AI66" i="9" s="1"/>
  <c r="AG26" i="9"/>
  <c r="AG66" i="9" s="1"/>
  <c r="C25" i="22"/>
  <c r="D93" i="5"/>
  <c r="C26" i="22" s="1"/>
  <c r="E33" i="20"/>
  <c r="E34" i="20" s="1"/>
  <c r="G33" i="20"/>
  <c r="G34" i="20" s="1"/>
  <c r="I33" i="20"/>
  <c r="I34" i="20" s="1"/>
  <c r="K33" i="20"/>
  <c r="K34" i="20" s="1"/>
  <c r="M33" i="20"/>
  <c r="M34" i="20" s="1"/>
  <c r="O33" i="20"/>
  <c r="O34" i="20" s="1"/>
  <c r="F33" i="20"/>
  <c r="F34" i="20" s="1"/>
  <c r="H33" i="20"/>
  <c r="H34" i="20" s="1"/>
  <c r="J33" i="20"/>
  <c r="J34" i="20" s="1"/>
  <c r="L33" i="20"/>
  <c r="L34" i="20" s="1"/>
  <c r="N33" i="20"/>
  <c r="N34" i="20" s="1"/>
  <c r="D33" i="20"/>
  <c r="D34" i="20" s="1"/>
  <c r="E33" i="21"/>
  <c r="E34" i="21" s="1"/>
  <c r="G33" i="21"/>
  <c r="G34" i="21" s="1"/>
  <c r="I33" i="21"/>
  <c r="I34" i="21" s="1"/>
  <c r="K33" i="21"/>
  <c r="K34" i="21" s="1"/>
  <c r="M33" i="21"/>
  <c r="M34" i="21" s="1"/>
  <c r="O33" i="21"/>
  <c r="O34" i="21" s="1"/>
  <c r="F33" i="21"/>
  <c r="F34" i="21" s="1"/>
  <c r="J33" i="21"/>
  <c r="J34" i="21" s="1"/>
  <c r="N33" i="21"/>
  <c r="N34" i="21" s="1"/>
  <c r="H33" i="21"/>
  <c r="H34" i="21" s="1"/>
  <c r="L33" i="21"/>
  <c r="L34" i="21" s="1"/>
  <c r="D33" i="21"/>
  <c r="D34" i="21" s="1"/>
  <c r="D33" i="22"/>
  <c r="AE26" i="1"/>
  <c r="AE66" i="1" s="1"/>
  <c r="X26" i="1"/>
  <c r="X66" i="1" s="1"/>
  <c r="AB26" i="1"/>
  <c r="AB66" i="1" s="1"/>
  <c r="S26" i="1"/>
  <c r="S66" i="1" s="1"/>
  <c r="I22" i="7"/>
  <c r="I30" i="6" s="1"/>
  <c r="H14" i="10" s="1"/>
  <c r="H49" i="10" s="1"/>
  <c r="H19" i="7"/>
  <c r="D18" i="15"/>
  <c r="D19" i="15"/>
  <c r="Y22" i="7"/>
  <c r="Y30" i="6" s="1"/>
  <c r="X14" i="10" s="1"/>
  <c r="X49" i="10" s="1"/>
  <c r="X22" i="7"/>
  <c r="X30" i="6" s="1"/>
  <c r="W14" i="10" s="1"/>
  <c r="W49" i="10" s="1"/>
  <c r="W22" i="7"/>
  <c r="W30" i="6" s="1"/>
  <c r="V14" i="10" s="1"/>
  <c r="V49" i="10" s="1"/>
  <c r="V22" i="7"/>
  <c r="V30" i="6" s="1"/>
  <c r="U14" i="10" s="1"/>
  <c r="U49" i="10" s="1"/>
  <c r="U22" i="7"/>
  <c r="U30" i="6" s="1"/>
  <c r="T14" i="10" s="1"/>
  <c r="T49" i="10" s="1"/>
  <c r="T22" i="7"/>
  <c r="T30" i="6" s="1"/>
  <c r="S14" i="10" s="1"/>
  <c r="S49" i="10" s="1"/>
  <c r="S22" i="7"/>
  <c r="S30" i="6" s="1"/>
  <c r="R14" i="10" s="1"/>
  <c r="R49" i="10" s="1"/>
  <c r="R22" i="7"/>
  <c r="R30" i="6" s="1"/>
  <c r="Q14" i="10" s="1"/>
  <c r="Q49" i="10" s="1"/>
  <c r="Q22" i="7"/>
  <c r="Q30" i="6" s="1"/>
  <c r="P14" i="10" s="1"/>
  <c r="P49" i="10" s="1"/>
  <c r="P22" i="7"/>
  <c r="P30" i="6" s="1"/>
  <c r="O14" i="10" s="1"/>
  <c r="O49" i="10" s="1"/>
  <c r="O22" i="7"/>
  <c r="O30" i="6" s="1"/>
  <c r="N14" i="10" s="1"/>
  <c r="N49" i="10" s="1"/>
  <c r="D53" i="5"/>
  <c r="D54" i="5" s="1"/>
  <c r="E31" i="4"/>
  <c r="E33" i="4" s="1"/>
  <c r="M21" i="10"/>
  <c r="M56" i="10" s="1"/>
  <c r="G21" i="10"/>
  <c r="G56" i="10" s="1"/>
  <c r="G49" i="4"/>
  <c r="F49" i="4"/>
  <c r="F50" i="4" s="1"/>
  <c r="F52" i="4" s="1"/>
  <c r="B431" i="14"/>
  <c r="B432" i="14" s="1"/>
  <c r="B433" i="14" s="1"/>
  <c r="B434" i="14" s="1"/>
  <c r="B435" i="14" s="1"/>
  <c r="B437" i="14" s="1"/>
  <c r="B439" i="14" s="1"/>
  <c r="B441" i="14" s="1"/>
  <c r="B442" i="14" s="1"/>
  <c r="B443" i="14" s="1"/>
  <c r="B444" i="14" s="1"/>
  <c r="B447" i="14" s="1"/>
  <c r="B448" i="14" s="1"/>
  <c r="B449" i="14" s="1"/>
  <c r="B450" i="14" s="1"/>
  <c r="B452" i="14" s="1"/>
  <c r="B453" i="14" s="1"/>
  <c r="B454" i="14" s="1"/>
  <c r="B456" i="14" s="1"/>
  <c r="B457" i="14" s="1"/>
  <c r="B458" i="14" s="1"/>
  <c r="B459" i="14" s="1"/>
  <c r="B460" i="14" s="1"/>
  <c r="B461" i="14" s="1"/>
  <c r="B462" i="14" s="1"/>
  <c r="B466" i="14" s="1"/>
  <c r="B467" i="14" s="1"/>
  <c r="B468" i="14" s="1"/>
  <c r="B469" i="14" s="1"/>
  <c r="B470" i="14" s="1"/>
  <c r="B471" i="14" s="1"/>
  <c r="B472" i="14" s="1"/>
  <c r="B473" i="14" s="1"/>
  <c r="B474" i="14" s="1"/>
  <c r="B475" i="14" s="1"/>
  <c r="B476" i="14" s="1"/>
  <c r="AL26" i="9"/>
  <c r="AL66" i="9" s="1"/>
  <c r="AJ26" i="9"/>
  <c r="AJ66" i="9" s="1"/>
  <c r="C99" i="5"/>
  <c r="D99" i="5" s="1"/>
  <c r="D100" i="5" s="1"/>
  <c r="D27" i="6"/>
  <c r="C12" i="10" s="1"/>
  <c r="C16" i="10" s="1"/>
  <c r="C27" i="6"/>
  <c r="C39" i="6" s="1"/>
  <c r="C41" i="6" s="1"/>
  <c r="D146" i="5"/>
  <c r="D26" i="22" s="1"/>
  <c r="D25" i="22"/>
  <c r="D6" i="18"/>
  <c r="D43" i="14"/>
  <c r="E44" i="14" s="1"/>
  <c r="E36" i="1" s="1"/>
  <c r="AL26" i="1"/>
  <c r="AL66" i="1" s="1"/>
  <c r="AJ26" i="1"/>
  <c r="AJ66" i="1" s="1"/>
  <c r="AH26" i="1"/>
  <c r="AH66" i="1" s="1"/>
  <c r="AF26" i="1"/>
  <c r="AF66" i="1" s="1"/>
  <c r="AK26" i="1"/>
  <c r="AK66" i="1" s="1"/>
  <c r="AI26" i="1"/>
  <c r="AI66" i="1" s="1"/>
  <c r="D237" i="14"/>
  <c r="F36" i="22"/>
  <c r="C589" i="14"/>
  <c r="D20" i="15"/>
  <c r="D318" i="14"/>
  <c r="D359" i="14"/>
  <c r="L38" i="1"/>
  <c r="C19" i="4"/>
  <c r="J38" i="1"/>
  <c r="F38" i="1"/>
  <c r="I38" i="1"/>
  <c r="E38" i="1"/>
  <c r="N38" i="1"/>
  <c r="H38" i="1"/>
  <c r="M38" i="1"/>
  <c r="G38" i="1"/>
  <c r="K38" i="1"/>
  <c r="D14" i="4"/>
  <c r="D16" i="4" s="1"/>
  <c r="E14" i="4"/>
  <c r="E16" i="4" s="1"/>
  <c r="D502" i="14"/>
  <c r="F36" i="21"/>
  <c r="D153" i="5"/>
  <c r="D154" i="5" s="1"/>
  <c r="D161" i="5"/>
  <c r="D129" i="5"/>
  <c r="D138" i="5"/>
  <c r="AK22" i="7"/>
  <c r="AK30" i="6" s="1"/>
  <c r="AJ14" i="10" s="1"/>
  <c r="AJ49" i="10" s="1"/>
  <c r="AJ22" i="7"/>
  <c r="AJ30" i="6" s="1"/>
  <c r="AI14" i="10" s="1"/>
  <c r="AI49" i="10" s="1"/>
  <c r="D8" i="19"/>
  <c r="B45" i="12"/>
  <c r="AI22" i="7"/>
  <c r="AI30" i="6" s="1"/>
  <c r="AH14" i="10" s="1"/>
  <c r="AH49" i="10" s="1"/>
  <c r="AJ21" i="10"/>
  <c r="AJ56" i="10" s="1"/>
  <c r="D9" i="17"/>
  <c r="B13" i="17"/>
  <c r="D64" i="11"/>
  <c r="B44" i="14"/>
  <c r="B45" i="14" s="1"/>
  <c r="B46" i="14" s="1"/>
  <c r="B47" i="14" s="1"/>
  <c r="B48" i="14" s="1"/>
  <c r="B49" i="14" s="1"/>
  <c r="B50" i="14" s="1"/>
  <c r="B51" i="14" s="1"/>
  <c r="B52" i="14" s="1"/>
  <c r="B53" i="14" s="1"/>
  <c r="B56" i="14" s="1"/>
  <c r="B57" i="14" s="1"/>
  <c r="B58" i="14" s="1"/>
  <c r="B59" i="14" s="1"/>
  <c r="B60" i="14" s="1"/>
  <c r="B62" i="14" s="1"/>
  <c r="B64" i="14" s="1"/>
  <c r="B66" i="14" s="1"/>
  <c r="B67" i="14" s="1"/>
  <c r="B68" i="14" s="1"/>
  <c r="B70" i="14" s="1"/>
  <c r="B72" i="14" s="1"/>
  <c r="B74" i="14" s="1"/>
  <c r="D430" i="14"/>
  <c r="E431" i="14" s="1"/>
  <c r="D6" i="17"/>
  <c r="C8" i="17"/>
  <c r="B64" i="11"/>
  <c r="AD22" i="7"/>
  <c r="AD30" i="6" s="1"/>
  <c r="AC14" i="10" s="1"/>
  <c r="AC49" i="10" s="1"/>
  <c r="AH22" i="7"/>
  <c r="AH30" i="6" s="1"/>
  <c r="AG14" i="10" s="1"/>
  <c r="AG49" i="10" s="1"/>
  <c r="D7" i="17"/>
  <c r="AL22" i="7"/>
  <c r="AL30" i="6" s="1"/>
  <c r="AK14" i="10" s="1"/>
  <c r="AK49" i="10" s="1"/>
  <c r="AG22" i="7"/>
  <c r="AG30" i="6" s="1"/>
  <c r="AF14" i="10" s="1"/>
  <c r="AF49" i="10" s="1"/>
  <c r="D519" i="14"/>
  <c r="D520" i="14" s="1"/>
  <c r="D521" i="14" s="1"/>
  <c r="D522" i="14" s="1"/>
  <c r="D524" i="14" s="1"/>
  <c r="D528" i="14" s="1"/>
  <c r="D529" i="14" s="1"/>
  <c r="D530" i="14" s="1"/>
  <c r="D531" i="14" s="1"/>
  <c r="D532" i="14" s="1"/>
  <c r="D533" i="14" s="1"/>
  <c r="D534" i="14" s="1"/>
  <c r="AD25" i="8"/>
  <c r="AC25" i="8"/>
  <c r="AE25" i="8"/>
  <c r="Z25" i="8"/>
  <c r="X25" i="8"/>
  <c r="S25" i="8"/>
  <c r="Q25" i="8"/>
  <c r="D47" i="5"/>
  <c r="AB25" i="8"/>
  <c r="AI25" i="9"/>
  <c r="AF25" i="9"/>
  <c r="AJ25" i="9"/>
  <c r="AD38" i="9"/>
  <c r="AH38" i="9"/>
  <c r="AL38" i="9"/>
  <c r="AE38" i="9"/>
  <c r="AI38" i="9"/>
  <c r="AA38" i="9"/>
  <c r="E55" i="4"/>
  <c r="AB38" i="9"/>
  <c r="AF38" i="9"/>
  <c r="AJ38" i="9"/>
  <c r="AC38" i="9"/>
  <c r="AG38" i="9"/>
  <c r="AK38" i="9"/>
  <c r="E56" i="4"/>
  <c r="H22" i="7"/>
  <c r="H30" i="6" s="1"/>
  <c r="G14" i="10" s="1"/>
  <c r="G49" i="10" s="1"/>
  <c r="J22" i="7"/>
  <c r="J30" i="6" s="1"/>
  <c r="I14" i="10" s="1"/>
  <c r="I49" i="10" s="1"/>
  <c r="AE38" i="8"/>
  <c r="AI38" i="8"/>
  <c r="AA38" i="8"/>
  <c r="AD38" i="8"/>
  <c r="AH38" i="8"/>
  <c r="AL38" i="8"/>
  <c r="D55" i="4"/>
  <c r="AC38" i="8"/>
  <c r="AG38" i="8"/>
  <c r="AK38" i="8"/>
  <c r="AB38" i="8"/>
  <c r="AF38" i="8"/>
  <c r="AJ38" i="8"/>
  <c r="D56" i="4"/>
  <c r="AH25" i="1"/>
  <c r="AJ25" i="1"/>
  <c r="AL25" i="1"/>
  <c r="AG25" i="1"/>
  <c r="AI25" i="1"/>
  <c r="AK25" i="1"/>
  <c r="AF25" i="1"/>
  <c r="Z26" i="1"/>
  <c r="Z66" i="1" s="1"/>
  <c r="W26" i="1"/>
  <c r="W66" i="1" s="1"/>
  <c r="AC26" i="1"/>
  <c r="AC66" i="1" s="1"/>
  <c r="Q26" i="1"/>
  <c r="Q66" i="1" s="1"/>
  <c r="T26" i="1"/>
  <c r="T66" i="1" s="1"/>
  <c r="AD26" i="1"/>
  <c r="AD66" i="1" s="1"/>
  <c r="R26" i="1"/>
  <c r="R66" i="1" s="1"/>
  <c r="U26" i="1"/>
  <c r="U66" i="1" s="1"/>
  <c r="E22" i="7"/>
  <c r="E30" i="6" s="1"/>
  <c r="D14" i="10" s="1"/>
  <c r="D49" i="10" s="1"/>
  <c r="G22" i="7"/>
  <c r="G30" i="6" s="1"/>
  <c r="F14" i="10" s="1"/>
  <c r="F49" i="10" s="1"/>
  <c r="N22" i="7"/>
  <c r="N30" i="6" s="1"/>
  <c r="M14" i="10" s="1"/>
  <c r="M49" i="10" s="1"/>
  <c r="D6" i="19"/>
  <c r="AA52" i="1"/>
  <c r="AA53" i="1" s="1"/>
  <c r="AA59" i="1" s="1"/>
  <c r="AG52" i="1"/>
  <c r="AG53" i="1" s="1"/>
  <c r="AG59" i="1" s="1"/>
  <c r="AE52" i="1"/>
  <c r="AE53" i="1" s="1"/>
  <c r="AE59" i="1" s="1"/>
  <c r="AL52" i="1"/>
  <c r="AL53" i="1" s="1"/>
  <c r="AL59" i="1" s="1"/>
  <c r="AF52" i="1"/>
  <c r="AF53" i="1" s="1"/>
  <c r="AF59" i="1" s="1"/>
  <c r="AD52" i="1"/>
  <c r="AD53" i="1" s="1"/>
  <c r="AD59" i="1" s="1"/>
  <c r="D30" i="4"/>
  <c r="D31" i="4" s="1"/>
  <c r="D33" i="4" s="1"/>
  <c r="S21" i="10"/>
  <c r="S56" i="10" s="1"/>
  <c r="AE21" i="10"/>
  <c r="AE56" i="10" s="1"/>
  <c r="D74" i="5"/>
  <c r="D139" i="14"/>
  <c r="D140" i="14" s="1"/>
  <c r="D141" i="14" s="1"/>
  <c r="D142" i="14" s="1"/>
  <c r="D143" i="14" s="1"/>
  <c r="D145" i="14" s="1"/>
  <c r="D37" i="6"/>
  <c r="C47" i="10" s="1"/>
  <c r="C51" i="10" s="1"/>
  <c r="D7" i="18"/>
  <c r="C13" i="18"/>
  <c r="B12" i="10" l="1"/>
  <c r="B16" i="10" s="1"/>
  <c r="B18" i="10" s="1"/>
  <c r="B20" i="10" s="1"/>
  <c r="B22" i="10" s="1"/>
  <c r="R25" i="8"/>
  <c r="V25" i="8"/>
  <c r="U25" i="8"/>
  <c r="Y25" i="8"/>
  <c r="P25" i="8"/>
  <c r="T25" i="8"/>
  <c r="AA25" i="8"/>
  <c r="W25" i="8"/>
  <c r="AH25" i="9"/>
  <c r="AG25" i="9"/>
  <c r="AL25" i="9"/>
  <c r="AK25" i="9"/>
  <c r="B403" i="14"/>
  <c r="F420" i="14" s="1"/>
  <c r="B212" i="14"/>
  <c r="F227" i="14" s="1"/>
  <c r="D340" i="14"/>
  <c r="D341" i="14" s="1"/>
  <c r="D342" i="14" s="1"/>
  <c r="D343" i="14" s="1"/>
  <c r="D345" i="14" s="1"/>
  <c r="D349" i="14" s="1"/>
  <c r="D172" i="14"/>
  <c r="D171" i="14"/>
  <c r="E25" i="9"/>
  <c r="I25" i="9"/>
  <c r="N25" i="9"/>
  <c r="G25" i="9"/>
  <c r="K25" i="9"/>
  <c r="N25" i="8"/>
  <c r="L25" i="8"/>
  <c r="J25" i="8"/>
  <c r="N25" i="1"/>
  <c r="L25" i="1"/>
  <c r="J25" i="1"/>
  <c r="H25" i="1"/>
  <c r="F25" i="1"/>
  <c r="M25" i="1"/>
  <c r="K25" i="1"/>
  <c r="I25" i="1"/>
  <c r="G25" i="1"/>
  <c r="E25" i="1"/>
  <c r="D9" i="19"/>
  <c r="D7" i="19"/>
  <c r="B14" i="19"/>
  <c r="C14" i="19"/>
  <c r="B64" i="12"/>
  <c r="F25" i="8"/>
  <c r="G25" i="8"/>
  <c r="D33" i="30"/>
  <c r="D34" i="30" s="1"/>
  <c r="F33" i="30"/>
  <c r="F34" i="30" s="1"/>
  <c r="H33" i="30"/>
  <c r="H34" i="30" s="1"/>
  <c r="J33" i="30"/>
  <c r="J34" i="30" s="1"/>
  <c r="C33" i="30"/>
  <c r="C34" i="30" s="1"/>
  <c r="E33" i="30"/>
  <c r="E34" i="30" s="1"/>
  <c r="G33" i="30"/>
  <c r="G34" i="30" s="1"/>
  <c r="I33" i="30"/>
  <c r="I34" i="30" s="1"/>
  <c r="K33" i="30"/>
  <c r="K34" i="30" s="1"/>
  <c r="D33" i="31"/>
  <c r="D34" i="31" s="1"/>
  <c r="F33" i="31"/>
  <c r="F34" i="31" s="1"/>
  <c r="H33" i="31"/>
  <c r="H34" i="31" s="1"/>
  <c r="J33" i="31"/>
  <c r="J34" i="31" s="1"/>
  <c r="C33" i="31"/>
  <c r="C34" i="31" s="1"/>
  <c r="G33" i="31"/>
  <c r="G34" i="31" s="1"/>
  <c r="K33" i="31"/>
  <c r="K34" i="31" s="1"/>
  <c r="E33" i="31"/>
  <c r="E34" i="31" s="1"/>
  <c r="I33" i="31"/>
  <c r="I34" i="31" s="1"/>
  <c r="F850" i="14"/>
  <c r="D47" i="30" s="1"/>
  <c r="C821" i="14"/>
  <c r="D127" i="14"/>
  <c r="C850" i="14"/>
  <c r="D850" i="14" s="1"/>
  <c r="E851" i="14" s="1"/>
  <c r="AJ52" i="1"/>
  <c r="AJ53" i="1" s="1"/>
  <c r="AJ59" i="1" s="1"/>
  <c r="AC52" i="1"/>
  <c r="AC53" i="1" s="1"/>
  <c r="AC59" i="1" s="1"/>
  <c r="AH52" i="1"/>
  <c r="AH53" i="1" s="1"/>
  <c r="AH59" i="1" s="1"/>
  <c r="AI52" i="1"/>
  <c r="AI53" i="1" s="1"/>
  <c r="AI59" i="1" s="1"/>
  <c r="B22" i="14"/>
  <c r="AB52" i="1"/>
  <c r="AB53" i="1" s="1"/>
  <c r="AB59" i="1" s="1"/>
  <c r="AK52" i="1"/>
  <c r="AK53" i="1" s="1"/>
  <c r="AK59" i="1" s="1"/>
  <c r="K25" i="8"/>
  <c r="D21" i="5"/>
  <c r="D192" i="5"/>
  <c r="D176" i="5"/>
  <c r="D168" i="5"/>
  <c r="D169" i="5" s="1"/>
  <c r="AN25" i="9"/>
  <c r="AP25" i="9"/>
  <c r="AR25" i="9"/>
  <c r="AT25" i="9"/>
  <c r="AV25" i="9"/>
  <c r="AX25" i="9"/>
  <c r="AO25" i="9"/>
  <c r="AQ25" i="9"/>
  <c r="AS25" i="9"/>
  <c r="AU25" i="9"/>
  <c r="AW25" i="9"/>
  <c r="AM25" i="9"/>
  <c r="AN26" i="9"/>
  <c r="AN66" i="9" s="1"/>
  <c r="AP26" i="9"/>
  <c r="AP66" i="9" s="1"/>
  <c r="AR26" i="9"/>
  <c r="AR66" i="9" s="1"/>
  <c r="AT26" i="9"/>
  <c r="AT66" i="9" s="1"/>
  <c r="AV26" i="9"/>
  <c r="AV66" i="9" s="1"/>
  <c r="AX26" i="9"/>
  <c r="AX66" i="9" s="1"/>
  <c r="AO26" i="9"/>
  <c r="AO66" i="9" s="1"/>
  <c r="AQ26" i="9"/>
  <c r="AQ66" i="9" s="1"/>
  <c r="AS26" i="9"/>
  <c r="AS66" i="9" s="1"/>
  <c r="AU26" i="9"/>
  <c r="AU66" i="9" s="1"/>
  <c r="AW26" i="9"/>
  <c r="AW66" i="9" s="1"/>
  <c r="AM26" i="9"/>
  <c r="AM66" i="9" s="1"/>
  <c r="D130" i="5"/>
  <c r="AN25" i="8"/>
  <c r="AP25" i="8"/>
  <c r="AR25" i="8"/>
  <c r="AT25" i="8"/>
  <c r="AV25" i="8"/>
  <c r="AX25" i="8"/>
  <c r="AM25" i="8"/>
  <c r="AO25" i="8"/>
  <c r="AQ25" i="8"/>
  <c r="AU25" i="8"/>
  <c r="AS25" i="8"/>
  <c r="AW25" i="8"/>
  <c r="D177" i="5"/>
  <c r="D190" i="5"/>
  <c r="AS26" i="1"/>
  <c r="AS66" i="1" s="1"/>
  <c r="AN26" i="1"/>
  <c r="AN66" i="1" s="1"/>
  <c r="AP26" i="1"/>
  <c r="AP66" i="1" s="1"/>
  <c r="AR26" i="1"/>
  <c r="AR66" i="1" s="1"/>
  <c r="AT26" i="1"/>
  <c r="AT66" i="1" s="1"/>
  <c r="AV26" i="1"/>
  <c r="AV66" i="1" s="1"/>
  <c r="AX26" i="1"/>
  <c r="AX66" i="1" s="1"/>
  <c r="AO26" i="1"/>
  <c r="AO66" i="1" s="1"/>
  <c r="AQ26" i="1"/>
  <c r="AQ66" i="1" s="1"/>
  <c r="AU26" i="1"/>
  <c r="AU66" i="1" s="1"/>
  <c r="AW26" i="1"/>
  <c r="AW66" i="1" s="1"/>
  <c r="AM26" i="1"/>
  <c r="AM66" i="1" s="1"/>
  <c r="D184" i="5"/>
  <c r="D185" i="5" s="1"/>
  <c r="H25" i="8"/>
  <c r="M25" i="8"/>
  <c r="I25" i="8"/>
  <c r="E25" i="8"/>
  <c r="B477" i="14"/>
  <c r="B480" i="14" s="1"/>
  <c r="B481" i="14" s="1"/>
  <c r="B482" i="14" s="1"/>
  <c r="B483" i="14" s="1"/>
  <c r="B484" i="14" s="1"/>
  <c r="B485" i="14" s="1"/>
  <c r="B486" i="14" s="1"/>
  <c r="B487" i="14" s="1"/>
  <c r="B488" i="14" s="1"/>
  <c r="B489" i="14" s="1"/>
  <c r="B490" i="14" s="1"/>
  <c r="B491" i="14" s="1"/>
  <c r="D360" i="14"/>
  <c r="D361" i="14" s="1"/>
  <c r="D362" i="14" s="1"/>
  <c r="D363" i="14" s="1"/>
  <c r="D364" i="14" s="1"/>
  <c r="D365" i="14" s="1"/>
  <c r="D366" i="14" s="1"/>
  <c r="D367" i="14" s="1"/>
  <c r="D368" i="14" s="1"/>
  <c r="D369" i="14" s="1"/>
  <c r="D370" i="14" s="1"/>
  <c r="D373" i="14"/>
  <c r="D374" i="14" s="1"/>
  <c r="D375" i="14" s="1"/>
  <c r="D376" i="14" s="1"/>
  <c r="D377" i="14" s="1"/>
  <c r="D378" i="14" s="1"/>
  <c r="D379" i="14" s="1"/>
  <c r="D380" i="14" s="1"/>
  <c r="D381" i="14" s="1"/>
  <c r="D382" i="14" s="1"/>
  <c r="D384" i="14" s="1"/>
  <c r="D385" i="14" s="1"/>
  <c r="D386" i="14" s="1"/>
  <c r="D388" i="14" s="1"/>
  <c r="D183" i="14"/>
  <c r="AG26" i="8"/>
  <c r="AG66" i="8" s="1"/>
  <c r="AI26" i="8"/>
  <c r="AI66" i="8" s="1"/>
  <c r="AK26" i="8"/>
  <c r="AK66" i="8" s="1"/>
  <c r="AF26" i="8"/>
  <c r="AF66" i="8" s="1"/>
  <c r="AH26" i="8"/>
  <c r="AH66" i="8" s="1"/>
  <c r="AJ26" i="8"/>
  <c r="AJ66" i="8" s="1"/>
  <c r="AL26" i="8"/>
  <c r="AL66" i="8" s="1"/>
  <c r="C25" i="20"/>
  <c r="D109" i="5"/>
  <c r="C25" i="21"/>
  <c r="D101" i="5"/>
  <c r="C26" i="21" s="1"/>
  <c r="C66" i="21" s="1"/>
  <c r="C38" i="22"/>
  <c r="F55" i="4"/>
  <c r="F56" i="4"/>
  <c r="C52" i="22" s="1"/>
  <c r="U38" i="9"/>
  <c r="R38" i="9"/>
  <c r="P38" i="9"/>
  <c r="Y38" i="9"/>
  <c r="Z38" i="9"/>
  <c r="E36" i="4"/>
  <c r="S38" i="9"/>
  <c r="W38" i="9"/>
  <c r="T38" i="9"/>
  <c r="Q38" i="9"/>
  <c r="O38" i="9"/>
  <c r="V38" i="9"/>
  <c r="X38" i="9"/>
  <c r="H33" i="22"/>
  <c r="H34" i="22" s="1"/>
  <c r="O33" i="22"/>
  <c r="O34" i="22" s="1"/>
  <c r="K33" i="22"/>
  <c r="K34" i="22" s="1"/>
  <c r="G33" i="22"/>
  <c r="G34" i="22" s="1"/>
  <c r="F33" i="22"/>
  <c r="F34" i="22" s="1"/>
  <c r="L33" i="22"/>
  <c r="L34" i="22" s="1"/>
  <c r="D34" i="22"/>
  <c r="E33" i="22"/>
  <c r="E34" i="22" s="1"/>
  <c r="M33" i="22"/>
  <c r="M34" i="22" s="1"/>
  <c r="I33" i="22"/>
  <c r="I34" i="22" s="1"/>
  <c r="N33" i="22"/>
  <c r="N34" i="22" s="1"/>
  <c r="J33" i="22"/>
  <c r="J34" i="22" s="1"/>
  <c r="H49" i="4"/>
  <c r="H50" i="4" s="1"/>
  <c r="H52" i="4" s="1"/>
  <c r="G50" i="4"/>
  <c r="G52" i="4" s="1"/>
  <c r="AE25" i="9"/>
  <c r="S25" i="9"/>
  <c r="O25" i="9"/>
  <c r="T25" i="9"/>
  <c r="AD25" i="9"/>
  <c r="Q25" i="9"/>
  <c r="Y25" i="9"/>
  <c r="R25" i="9"/>
  <c r="Z25" i="9"/>
  <c r="AB25" i="9"/>
  <c r="AA25" i="9"/>
  <c r="W25" i="9"/>
  <c r="P25" i="9"/>
  <c r="X25" i="9"/>
  <c r="AC25" i="9"/>
  <c r="U25" i="9"/>
  <c r="D55" i="5"/>
  <c r="V25" i="9"/>
  <c r="C66" i="22"/>
  <c r="D66" i="22"/>
  <c r="M26" i="22"/>
  <c r="M66" i="22" s="1"/>
  <c r="I26" i="22"/>
  <c r="I66" i="22" s="1"/>
  <c r="N26" i="22"/>
  <c r="N66" i="22" s="1"/>
  <c r="J26" i="22"/>
  <c r="J66" i="22" s="1"/>
  <c r="F26" i="22"/>
  <c r="F66" i="22" s="1"/>
  <c r="O26" i="22"/>
  <c r="O66" i="22" s="1"/>
  <c r="K26" i="22"/>
  <c r="K66" i="22" s="1"/>
  <c r="G26" i="22"/>
  <c r="G66" i="22" s="1"/>
  <c r="E26" i="22"/>
  <c r="E66" i="22" s="1"/>
  <c r="L26" i="22"/>
  <c r="L66" i="22" s="1"/>
  <c r="H26" i="22"/>
  <c r="H66" i="22" s="1"/>
  <c r="G25" i="22"/>
  <c r="N25" i="22"/>
  <c r="J25" i="22"/>
  <c r="F25" i="22"/>
  <c r="M25" i="22"/>
  <c r="I25" i="22"/>
  <c r="E25" i="22"/>
  <c r="L25" i="22"/>
  <c r="H25" i="22"/>
  <c r="O25" i="22"/>
  <c r="K25" i="22"/>
  <c r="E25" i="20"/>
  <c r="G25" i="20"/>
  <c r="I25" i="20"/>
  <c r="K25" i="20"/>
  <c r="M25" i="20"/>
  <c r="O25" i="20"/>
  <c r="F25" i="20"/>
  <c r="H25" i="20"/>
  <c r="J25" i="20"/>
  <c r="L25" i="20"/>
  <c r="N25" i="20"/>
  <c r="D25" i="20"/>
  <c r="D162" i="5"/>
  <c r="E25" i="21"/>
  <c r="G25" i="21"/>
  <c r="I25" i="21"/>
  <c r="K25" i="21"/>
  <c r="M25" i="21"/>
  <c r="O25" i="21"/>
  <c r="F25" i="21"/>
  <c r="H25" i="21"/>
  <c r="J25" i="21"/>
  <c r="L25" i="21"/>
  <c r="N25" i="21"/>
  <c r="D25" i="21"/>
  <c r="C44" i="14"/>
  <c r="D44" i="14" s="1"/>
  <c r="E45" i="14" s="1"/>
  <c r="B55" i="10"/>
  <c r="B57" i="10" s="1"/>
  <c r="E238" i="14"/>
  <c r="E36" i="8" s="1"/>
  <c r="E318" i="14"/>
  <c r="D319" i="14"/>
  <c r="D320" i="14" s="1"/>
  <c r="D321" i="14" s="1"/>
  <c r="D322" i="14" s="1"/>
  <c r="D323" i="14" s="1"/>
  <c r="D324" i="14" s="1"/>
  <c r="D325" i="14" s="1"/>
  <c r="D326" i="14" s="1"/>
  <c r="D327" i="14" s="1"/>
  <c r="D328" i="14" s="1"/>
  <c r="F38" i="9"/>
  <c r="I38" i="9"/>
  <c r="G38" i="9"/>
  <c r="K38" i="9"/>
  <c r="H38" i="9"/>
  <c r="M38" i="9"/>
  <c r="J38" i="9"/>
  <c r="E19" i="4"/>
  <c r="L38" i="9"/>
  <c r="E38" i="9"/>
  <c r="N38" i="9"/>
  <c r="L38" i="8"/>
  <c r="E38" i="8"/>
  <c r="N38" i="8"/>
  <c r="F38" i="8"/>
  <c r="I38" i="8"/>
  <c r="G38" i="8"/>
  <c r="K38" i="8"/>
  <c r="H38" i="8"/>
  <c r="D19" i="4"/>
  <c r="M38" i="8"/>
  <c r="J38" i="8"/>
  <c r="N52" i="1"/>
  <c r="N53" i="1" s="1"/>
  <c r="N59" i="1" s="1"/>
  <c r="H52" i="1"/>
  <c r="H53" i="1" s="1"/>
  <c r="H59" i="1" s="1"/>
  <c r="J52" i="1"/>
  <c r="J53" i="1" s="1"/>
  <c r="J59" i="1" s="1"/>
  <c r="M52" i="1"/>
  <c r="M53" i="1" s="1"/>
  <c r="M59" i="1" s="1"/>
  <c r="L52" i="1"/>
  <c r="L53" i="1" s="1"/>
  <c r="L59" i="1" s="1"/>
  <c r="B12" i="14"/>
  <c r="G52" i="1"/>
  <c r="G53" i="1" s="1"/>
  <c r="G59" i="1" s="1"/>
  <c r="E52" i="1"/>
  <c r="E53" i="1" s="1"/>
  <c r="E59" i="1" s="1"/>
  <c r="F52" i="1"/>
  <c r="F53" i="1" s="1"/>
  <c r="F59" i="1" s="1"/>
  <c r="I52" i="1"/>
  <c r="I53" i="1" s="1"/>
  <c r="I59" i="1" s="1"/>
  <c r="K52" i="1"/>
  <c r="K53" i="1" s="1"/>
  <c r="K59" i="1" s="1"/>
  <c r="D503" i="14"/>
  <c r="D504" i="14" s="1"/>
  <c r="D505" i="14" s="1"/>
  <c r="D506" i="14" s="1"/>
  <c r="D507" i="14" s="1"/>
  <c r="D509" i="14" s="1"/>
  <c r="E502" i="14"/>
  <c r="C647" i="14"/>
  <c r="F25" i="9"/>
  <c r="H25" i="9"/>
  <c r="L25" i="9"/>
  <c r="M25" i="9"/>
  <c r="D29" i="5"/>
  <c r="J25" i="9"/>
  <c r="N26" i="1"/>
  <c r="N66" i="1" s="1"/>
  <c r="M26" i="1"/>
  <c r="M66" i="1" s="1"/>
  <c r="K26" i="1"/>
  <c r="K66" i="1" s="1"/>
  <c r="J26" i="1"/>
  <c r="J66" i="1" s="1"/>
  <c r="L26" i="1"/>
  <c r="L66" i="1" s="1"/>
  <c r="F26" i="1"/>
  <c r="F66" i="1" s="1"/>
  <c r="I26" i="1"/>
  <c r="I66" i="1" s="1"/>
  <c r="H26" i="1"/>
  <c r="H66" i="1" s="1"/>
  <c r="G26" i="1"/>
  <c r="G66" i="1" s="1"/>
  <c r="E26" i="1"/>
  <c r="E66" i="1" s="1"/>
  <c r="C431" i="14"/>
  <c r="E36" i="9"/>
  <c r="B75" i="14"/>
  <c r="B76" i="14" s="1"/>
  <c r="B78" i="14" s="1"/>
  <c r="D8" i="17"/>
  <c r="C13" i="17"/>
  <c r="AG25" i="8"/>
  <c r="AI25" i="8"/>
  <c r="AK25" i="8"/>
  <c r="AF25" i="8"/>
  <c r="AH25" i="8"/>
  <c r="AJ25" i="8"/>
  <c r="AL25" i="8"/>
  <c r="D146" i="14"/>
  <c r="D147" i="14" s="1"/>
  <c r="D149" i="14"/>
  <c r="D150" i="14" s="1"/>
  <c r="D151" i="14" s="1"/>
  <c r="D153" i="14" s="1"/>
  <c r="P38" i="8"/>
  <c r="Y38" i="8"/>
  <c r="Z38" i="8"/>
  <c r="D36" i="4"/>
  <c r="S38" i="8"/>
  <c r="W38" i="8"/>
  <c r="T38" i="8"/>
  <c r="Q38" i="8"/>
  <c r="O38" i="8"/>
  <c r="V38" i="8"/>
  <c r="X38" i="8"/>
  <c r="U38" i="8"/>
  <c r="R38" i="8"/>
  <c r="AG52" i="8"/>
  <c r="AG53" i="8" s="1"/>
  <c r="AG59" i="8" s="1"/>
  <c r="AI52" i="8"/>
  <c r="AI53" i="8" s="1"/>
  <c r="AI59" i="8" s="1"/>
  <c r="AF52" i="8"/>
  <c r="AF53" i="8" s="1"/>
  <c r="AF59" i="8" s="1"/>
  <c r="AH52" i="8"/>
  <c r="AH53" i="8" s="1"/>
  <c r="AH59" i="8" s="1"/>
  <c r="AE52" i="8"/>
  <c r="AE53" i="8" s="1"/>
  <c r="AE59" i="8" s="1"/>
  <c r="AK52" i="8"/>
  <c r="AK53" i="8" s="1"/>
  <c r="AK59" i="8" s="1"/>
  <c r="AB52" i="8"/>
  <c r="AB53" i="8" s="1"/>
  <c r="AB59" i="8" s="1"/>
  <c r="AL52" i="8"/>
  <c r="AL53" i="8" s="1"/>
  <c r="AL59" i="8" s="1"/>
  <c r="AC52" i="8"/>
  <c r="AC53" i="8" s="1"/>
  <c r="AC59" i="8" s="1"/>
  <c r="AA52" i="8"/>
  <c r="AA53" i="8" s="1"/>
  <c r="AA59" i="8" s="1"/>
  <c r="AD52" i="8"/>
  <c r="AD53" i="8" s="1"/>
  <c r="AD59" i="8" s="1"/>
  <c r="AJ52" i="8"/>
  <c r="AJ53" i="8" s="1"/>
  <c r="AJ59" i="8" s="1"/>
  <c r="AD52" i="9"/>
  <c r="AD53" i="9" s="1"/>
  <c r="AD59" i="9" s="1"/>
  <c r="AF52" i="9"/>
  <c r="AF53" i="9" s="1"/>
  <c r="AF59" i="9" s="1"/>
  <c r="AL52" i="9"/>
  <c r="AL53" i="9" s="1"/>
  <c r="AL59" i="9" s="1"/>
  <c r="AE52" i="9"/>
  <c r="AE53" i="9" s="1"/>
  <c r="AE59" i="9" s="1"/>
  <c r="AG52" i="9"/>
  <c r="AG53" i="9" s="1"/>
  <c r="AG59" i="9" s="1"/>
  <c r="AA52" i="9"/>
  <c r="AA53" i="9" s="1"/>
  <c r="AA59" i="9" s="1"/>
  <c r="AJ52" i="9"/>
  <c r="AJ53" i="9" s="1"/>
  <c r="AJ59" i="9" s="1"/>
  <c r="AC52" i="9"/>
  <c r="AC53" i="9" s="1"/>
  <c r="AC59" i="9" s="1"/>
  <c r="AI52" i="9"/>
  <c r="AI53" i="9" s="1"/>
  <c r="AI59" i="9" s="1"/>
  <c r="AB52" i="9"/>
  <c r="AB53" i="9" s="1"/>
  <c r="AB59" i="9" s="1"/>
  <c r="AH52" i="9"/>
  <c r="AH53" i="9" s="1"/>
  <c r="AH59" i="9" s="1"/>
  <c r="AK52" i="9"/>
  <c r="AK53" i="9" s="1"/>
  <c r="AK59" i="9" s="1"/>
  <c r="AA26" i="8"/>
  <c r="AA66" i="8" s="1"/>
  <c r="T26" i="8"/>
  <c r="T66" i="8" s="1"/>
  <c r="O26" i="8"/>
  <c r="O66" i="8" s="1"/>
  <c r="Q26" i="8"/>
  <c r="Q66" i="8" s="1"/>
  <c r="U26" i="8"/>
  <c r="U66" i="8" s="1"/>
  <c r="W26" i="8"/>
  <c r="W66" i="8" s="1"/>
  <c r="Z26" i="8"/>
  <c r="Z66" i="8" s="1"/>
  <c r="AC26" i="8"/>
  <c r="AC66" i="8" s="1"/>
  <c r="AE26" i="8"/>
  <c r="AE66" i="8" s="1"/>
  <c r="R26" i="8"/>
  <c r="R66" i="8" s="1"/>
  <c r="P26" i="8"/>
  <c r="P66" i="8" s="1"/>
  <c r="S26" i="8"/>
  <c r="S66" i="8" s="1"/>
  <c r="Y26" i="8"/>
  <c r="Y66" i="8" s="1"/>
  <c r="X26" i="8"/>
  <c r="X66" i="8" s="1"/>
  <c r="V26" i="8"/>
  <c r="V66" i="8" s="1"/>
  <c r="AB26" i="8"/>
  <c r="AB66" i="8" s="1"/>
  <c r="AD26" i="8"/>
  <c r="AD66" i="8" s="1"/>
  <c r="K26" i="8"/>
  <c r="K66" i="8" s="1"/>
  <c r="E26" i="8"/>
  <c r="E66" i="8" s="1"/>
  <c r="L26" i="8"/>
  <c r="L66" i="8" s="1"/>
  <c r="G26" i="8"/>
  <c r="G66" i="8" s="1"/>
  <c r="J26" i="8"/>
  <c r="J66" i="8" s="1"/>
  <c r="M26" i="8"/>
  <c r="M66" i="8" s="1"/>
  <c r="F26" i="8"/>
  <c r="F66" i="8" s="1"/>
  <c r="I26" i="8"/>
  <c r="I66" i="8" s="1"/>
  <c r="N26" i="8"/>
  <c r="N66" i="8" s="1"/>
  <c r="H26" i="8"/>
  <c r="H66" i="8" s="1"/>
  <c r="D39" i="6"/>
  <c r="D41" i="6" s="1"/>
  <c r="B247" i="14"/>
  <c r="C53" i="10"/>
  <c r="D45" i="10" s="1"/>
  <c r="C10" i="10" l="1"/>
  <c r="D346" i="14"/>
  <c r="D347" i="14" s="1"/>
  <c r="D186" i="5"/>
  <c r="D25" i="30"/>
  <c r="F25" i="30"/>
  <c r="H25" i="30"/>
  <c r="J25" i="30"/>
  <c r="C25" i="30"/>
  <c r="E25" i="30"/>
  <c r="G25" i="30"/>
  <c r="I25" i="30"/>
  <c r="K25" i="30"/>
  <c r="D33" i="29"/>
  <c r="D34" i="29" s="1"/>
  <c r="H33" i="29"/>
  <c r="H34" i="29" s="1"/>
  <c r="C33" i="29"/>
  <c r="C34" i="29" s="1"/>
  <c r="E33" i="29"/>
  <c r="E34" i="29" s="1"/>
  <c r="G33" i="29"/>
  <c r="G34" i="29" s="1"/>
  <c r="I33" i="29"/>
  <c r="I34" i="29" s="1"/>
  <c r="K33" i="29"/>
  <c r="K34" i="29" s="1"/>
  <c r="F33" i="29"/>
  <c r="F34" i="29" s="1"/>
  <c r="J33" i="29"/>
  <c r="J34" i="29" s="1"/>
  <c r="D170" i="5"/>
  <c r="K25" i="32"/>
  <c r="D25" i="32"/>
  <c r="F25" i="32"/>
  <c r="H25" i="32"/>
  <c r="J25" i="32"/>
  <c r="C25" i="32"/>
  <c r="E25" i="32"/>
  <c r="G25" i="32"/>
  <c r="I25" i="32"/>
  <c r="D178" i="5"/>
  <c r="C25" i="31"/>
  <c r="D25" i="31"/>
  <c r="F25" i="31"/>
  <c r="H25" i="31"/>
  <c r="J25" i="31"/>
  <c r="E25" i="31"/>
  <c r="G25" i="31"/>
  <c r="I25" i="31"/>
  <c r="K25" i="31"/>
  <c r="B868" i="14"/>
  <c r="D866" i="14"/>
  <c r="D867" i="14" s="1"/>
  <c r="D868" i="14" s="1"/>
  <c r="D869" i="14" s="1"/>
  <c r="D870" i="14" s="1"/>
  <c r="D871" i="14" s="1"/>
  <c r="D872" i="14" s="1"/>
  <c r="D873" i="14" s="1"/>
  <c r="D874" i="14" s="1"/>
  <c r="D875" i="14" s="1"/>
  <c r="D911" i="14"/>
  <c r="D912" i="14" s="1"/>
  <c r="D58" i="30"/>
  <c r="F851" i="14"/>
  <c r="E36" i="30"/>
  <c r="D128" i="14"/>
  <c r="D129" i="14" s="1"/>
  <c r="D130" i="14" s="1"/>
  <c r="D131" i="14" s="1"/>
  <c r="D132" i="14" s="1"/>
  <c r="D133" i="14" s="1"/>
  <c r="D134" i="14" s="1"/>
  <c r="D135" i="14" s="1"/>
  <c r="D136" i="14" s="1"/>
  <c r="D775" i="14"/>
  <c r="D821" i="14"/>
  <c r="E821" i="14" s="1"/>
  <c r="B823" i="14"/>
  <c r="C805" i="14"/>
  <c r="D805" i="14" s="1"/>
  <c r="E806" i="14" s="1"/>
  <c r="F34" i="14"/>
  <c r="B627" i="14"/>
  <c r="F638" i="14" s="1"/>
  <c r="B217" i="14"/>
  <c r="F228" i="14" s="1"/>
  <c r="B408" i="14"/>
  <c r="B688" i="14"/>
  <c r="B569" i="14"/>
  <c r="F580" i="14" s="1"/>
  <c r="AO26" i="8"/>
  <c r="AO66" i="8" s="1"/>
  <c r="AQ26" i="8"/>
  <c r="AQ66" i="8" s="1"/>
  <c r="AS26" i="8"/>
  <c r="AS66" i="8" s="1"/>
  <c r="AU26" i="8"/>
  <c r="AU66" i="8" s="1"/>
  <c r="AW26" i="8"/>
  <c r="AW66" i="8" s="1"/>
  <c r="AP26" i="8"/>
  <c r="AP66" i="8" s="1"/>
  <c r="AT26" i="8"/>
  <c r="AT66" i="8" s="1"/>
  <c r="AX26" i="8"/>
  <c r="AX66" i="8" s="1"/>
  <c r="AM26" i="8"/>
  <c r="AM66" i="8" s="1"/>
  <c r="AN26" i="8"/>
  <c r="AN66" i="8" s="1"/>
  <c r="AR26" i="8"/>
  <c r="AR66" i="8" s="1"/>
  <c r="AV26" i="8"/>
  <c r="AV66" i="8" s="1"/>
  <c r="D193" i="5"/>
  <c r="C26" i="20"/>
  <c r="C66" i="20" s="1"/>
  <c r="D184" i="14"/>
  <c r="B81" i="14"/>
  <c r="B82" i="14" s="1"/>
  <c r="B83" i="14" s="1"/>
  <c r="B84" i="14" s="1"/>
  <c r="B85" i="14" s="1"/>
  <c r="B87" i="14" s="1"/>
  <c r="C38" i="21"/>
  <c r="G56" i="4"/>
  <c r="C52" i="21" s="1"/>
  <c r="G55" i="4"/>
  <c r="C53" i="22"/>
  <c r="C59" i="22" s="1"/>
  <c r="O26" i="9"/>
  <c r="O66" i="9" s="1"/>
  <c r="U26" i="9"/>
  <c r="U66" i="9" s="1"/>
  <c r="T26" i="9"/>
  <c r="T66" i="9" s="1"/>
  <c r="AD26" i="9"/>
  <c r="AD66" i="9" s="1"/>
  <c r="P26" i="9"/>
  <c r="P66" i="9" s="1"/>
  <c r="V26" i="9"/>
  <c r="V66" i="9" s="1"/>
  <c r="Z26" i="9"/>
  <c r="Z66" i="9" s="1"/>
  <c r="AE26" i="9"/>
  <c r="AE66" i="9" s="1"/>
  <c r="Y26" i="9"/>
  <c r="Y66" i="9" s="1"/>
  <c r="Q26" i="9"/>
  <c r="Q66" i="9" s="1"/>
  <c r="W26" i="9"/>
  <c r="W66" i="9" s="1"/>
  <c r="AB26" i="9"/>
  <c r="AB66" i="9" s="1"/>
  <c r="X26" i="9"/>
  <c r="X66" i="9" s="1"/>
  <c r="AA26" i="9"/>
  <c r="AA66" i="9" s="1"/>
  <c r="S26" i="9"/>
  <c r="S66" i="9" s="1"/>
  <c r="R26" i="9"/>
  <c r="R66" i="9" s="1"/>
  <c r="AC26" i="9"/>
  <c r="AC66" i="9" s="1"/>
  <c r="C38" i="20"/>
  <c r="H55" i="4"/>
  <c r="H56" i="4"/>
  <c r="E26" i="20"/>
  <c r="E66" i="20" s="1"/>
  <c r="G26" i="20"/>
  <c r="G66" i="20" s="1"/>
  <c r="I26" i="20"/>
  <c r="I66" i="20" s="1"/>
  <c r="K26" i="20"/>
  <c r="K66" i="20" s="1"/>
  <c r="M26" i="20"/>
  <c r="M66" i="20" s="1"/>
  <c r="O26" i="20"/>
  <c r="O66" i="20" s="1"/>
  <c r="F26" i="20"/>
  <c r="F66" i="20" s="1"/>
  <c r="H26" i="20"/>
  <c r="H66" i="20" s="1"/>
  <c r="J26" i="20"/>
  <c r="J66" i="20" s="1"/>
  <c r="L26" i="20"/>
  <c r="L66" i="20" s="1"/>
  <c r="N26" i="20"/>
  <c r="N66" i="20" s="1"/>
  <c r="D26" i="20"/>
  <c r="D66" i="20" s="1"/>
  <c r="F26" i="21"/>
  <c r="F66" i="21" s="1"/>
  <c r="H26" i="21"/>
  <c r="H66" i="21" s="1"/>
  <c r="J26" i="21"/>
  <c r="J66" i="21" s="1"/>
  <c r="L26" i="21"/>
  <c r="L66" i="21" s="1"/>
  <c r="N26" i="21"/>
  <c r="N66" i="21" s="1"/>
  <c r="D26" i="21"/>
  <c r="D66" i="21" s="1"/>
  <c r="E26" i="21"/>
  <c r="E66" i="21" s="1"/>
  <c r="G26" i="21"/>
  <c r="G66" i="21" s="1"/>
  <c r="I26" i="21"/>
  <c r="I66" i="21" s="1"/>
  <c r="K26" i="21"/>
  <c r="K66" i="21" s="1"/>
  <c r="M26" i="21"/>
  <c r="M66" i="21" s="1"/>
  <c r="O26" i="21"/>
  <c r="O66" i="21" s="1"/>
  <c r="C238" i="14"/>
  <c r="J52" i="9"/>
  <c r="J53" i="9" s="1"/>
  <c r="J59" i="9" s="1"/>
  <c r="E52" i="8"/>
  <c r="E53" i="8" s="1"/>
  <c r="E59" i="8" s="1"/>
  <c r="K52" i="8"/>
  <c r="K53" i="8" s="1"/>
  <c r="K59" i="8" s="1"/>
  <c r="L52" i="9"/>
  <c r="L53" i="9" s="1"/>
  <c r="L59" i="9" s="1"/>
  <c r="F52" i="9"/>
  <c r="F53" i="9" s="1"/>
  <c r="F59" i="9" s="1"/>
  <c r="M52" i="9"/>
  <c r="M53" i="9" s="1"/>
  <c r="M59" i="9" s="1"/>
  <c r="N52" i="8"/>
  <c r="N53" i="8" s="1"/>
  <c r="N59" i="8" s="1"/>
  <c r="G52" i="8"/>
  <c r="G53" i="8" s="1"/>
  <c r="G59" i="8" s="1"/>
  <c r="H52" i="9"/>
  <c r="H53" i="9" s="1"/>
  <c r="H59" i="9" s="1"/>
  <c r="M52" i="8"/>
  <c r="M53" i="8" s="1"/>
  <c r="M59" i="8" s="1"/>
  <c r="N52" i="9"/>
  <c r="N53" i="9" s="1"/>
  <c r="N59" i="9" s="1"/>
  <c r="F52" i="8"/>
  <c r="F53" i="8" s="1"/>
  <c r="F59" i="8" s="1"/>
  <c r="H52" i="8"/>
  <c r="H53" i="8" s="1"/>
  <c r="H59" i="8" s="1"/>
  <c r="G52" i="9"/>
  <c r="G53" i="9" s="1"/>
  <c r="G59" i="9" s="1"/>
  <c r="I52" i="8"/>
  <c r="I53" i="8" s="1"/>
  <c r="I59" i="8" s="1"/>
  <c r="I52" i="9"/>
  <c r="I53" i="9" s="1"/>
  <c r="I59" i="9" s="1"/>
  <c r="J52" i="8"/>
  <c r="J53" i="8" s="1"/>
  <c r="J59" i="8" s="1"/>
  <c r="L52" i="8"/>
  <c r="L53" i="8" s="1"/>
  <c r="L59" i="8" s="1"/>
  <c r="E52" i="9"/>
  <c r="E53" i="9" s="1"/>
  <c r="E59" i="9" s="1"/>
  <c r="K52" i="9"/>
  <c r="K53" i="9" s="1"/>
  <c r="K59" i="9" s="1"/>
  <c r="B398" i="14"/>
  <c r="F419" i="14" s="1"/>
  <c r="B207" i="14"/>
  <c r="F226" i="14" s="1"/>
  <c r="F238" i="14" s="1"/>
  <c r="F32" i="14"/>
  <c r="F45" i="14" s="1"/>
  <c r="D513" i="14"/>
  <c r="D514" i="14" s="1"/>
  <c r="D515" i="14" s="1"/>
  <c r="D510" i="14"/>
  <c r="D511" i="14" s="1"/>
  <c r="D589" i="14"/>
  <c r="E590" i="14" s="1"/>
  <c r="F590" i="14" s="1"/>
  <c r="B612" i="14" s="1"/>
  <c r="D647" i="14"/>
  <c r="E648" i="14" s="1"/>
  <c r="F648" i="14" s="1"/>
  <c r="M26" i="9"/>
  <c r="M66" i="9" s="1"/>
  <c r="K26" i="9"/>
  <c r="K66" i="9" s="1"/>
  <c r="E26" i="9"/>
  <c r="E66" i="9" s="1"/>
  <c r="G26" i="9"/>
  <c r="G66" i="9" s="1"/>
  <c r="L26" i="9"/>
  <c r="L66" i="9" s="1"/>
  <c r="I26" i="9"/>
  <c r="I66" i="9" s="1"/>
  <c r="H26" i="9"/>
  <c r="H66" i="9" s="1"/>
  <c r="N26" i="9"/>
  <c r="N66" i="9" s="1"/>
  <c r="J26" i="9"/>
  <c r="J66" i="9" s="1"/>
  <c r="F26" i="9"/>
  <c r="F66" i="9" s="1"/>
  <c r="F36" i="1"/>
  <c r="C45" i="14"/>
  <c r="D45" i="14" s="1"/>
  <c r="D431" i="14"/>
  <c r="E432" i="14" s="1"/>
  <c r="R52" i="8"/>
  <c r="R53" i="8" s="1"/>
  <c r="R59" i="8" s="1"/>
  <c r="U52" i="8"/>
  <c r="U53" i="8" s="1"/>
  <c r="U59" i="8" s="1"/>
  <c r="T52" i="9"/>
  <c r="T53" i="9" s="1"/>
  <c r="T59" i="9" s="1"/>
  <c r="W52" i="9"/>
  <c r="W53" i="9" s="1"/>
  <c r="W59" i="9" s="1"/>
  <c r="P52" i="8"/>
  <c r="P53" i="8" s="1"/>
  <c r="P59" i="8" s="1"/>
  <c r="S52" i="9"/>
  <c r="S53" i="9" s="1"/>
  <c r="S59" i="9" s="1"/>
  <c r="Y52" i="9"/>
  <c r="Y53" i="9" s="1"/>
  <c r="Y59" i="9" s="1"/>
  <c r="X52" i="9"/>
  <c r="X53" i="9" s="1"/>
  <c r="X59" i="9" s="1"/>
  <c r="O52" i="9"/>
  <c r="O53" i="9" s="1"/>
  <c r="O59" i="9" s="1"/>
  <c r="Q52" i="9"/>
  <c r="Q53" i="9" s="1"/>
  <c r="Q59" i="9" s="1"/>
  <c r="V52" i="8"/>
  <c r="V53" i="8" s="1"/>
  <c r="V59" i="8" s="1"/>
  <c r="Z52" i="8"/>
  <c r="Z53" i="8" s="1"/>
  <c r="Z59" i="8" s="1"/>
  <c r="R52" i="9"/>
  <c r="R53" i="9" s="1"/>
  <c r="R59" i="9" s="1"/>
  <c r="U52" i="9"/>
  <c r="U53" i="9" s="1"/>
  <c r="U59" i="9" s="1"/>
  <c r="T52" i="8"/>
  <c r="T53" i="8" s="1"/>
  <c r="T59" i="8" s="1"/>
  <c r="W52" i="8"/>
  <c r="W53" i="8" s="1"/>
  <c r="W59" i="8" s="1"/>
  <c r="S52" i="8"/>
  <c r="S53" i="8" s="1"/>
  <c r="S59" i="8" s="1"/>
  <c r="Y52" i="8"/>
  <c r="Y53" i="8" s="1"/>
  <c r="Y59" i="8" s="1"/>
  <c r="X52" i="8"/>
  <c r="X53" i="8" s="1"/>
  <c r="X59" i="8" s="1"/>
  <c r="P52" i="9"/>
  <c r="P53" i="9" s="1"/>
  <c r="P59" i="9" s="1"/>
  <c r="V52" i="9"/>
  <c r="V53" i="9" s="1"/>
  <c r="V59" i="9" s="1"/>
  <c r="Z52" i="9"/>
  <c r="Z53" i="9" s="1"/>
  <c r="Z59" i="9" s="1"/>
  <c r="O52" i="8"/>
  <c r="O53" i="8" s="1"/>
  <c r="O59" i="8" s="1"/>
  <c r="Q52" i="8"/>
  <c r="Q53" i="8" s="1"/>
  <c r="Q59" i="8" s="1"/>
  <c r="D154" i="14"/>
  <c r="D155" i="14" s="1"/>
  <c r="D157" i="14"/>
  <c r="D353" i="14"/>
  <c r="D350" i="14"/>
  <c r="B250" i="14"/>
  <c r="C55" i="10"/>
  <c r="C57" i="10" s="1"/>
  <c r="C18" i="10" l="1"/>
  <c r="D10" i="10" s="1"/>
  <c r="E866" i="14"/>
  <c r="E868" i="14"/>
  <c r="E26" i="31"/>
  <c r="E66" i="31" s="1"/>
  <c r="G26" i="31"/>
  <c r="G66" i="31" s="1"/>
  <c r="I26" i="31"/>
  <c r="I66" i="31" s="1"/>
  <c r="K26" i="31"/>
  <c r="K66" i="31" s="1"/>
  <c r="D26" i="31"/>
  <c r="D66" i="31" s="1"/>
  <c r="F26" i="31"/>
  <c r="F66" i="31" s="1"/>
  <c r="H26" i="31"/>
  <c r="H66" i="31" s="1"/>
  <c r="J26" i="31"/>
  <c r="J66" i="31" s="1"/>
  <c r="C26" i="31"/>
  <c r="C66" i="31" s="1"/>
  <c r="E26" i="32"/>
  <c r="E66" i="32" s="1"/>
  <c r="G26" i="32"/>
  <c r="G66" i="32" s="1"/>
  <c r="I26" i="32"/>
  <c r="I66" i="32" s="1"/>
  <c r="K26" i="32"/>
  <c r="K66" i="32" s="1"/>
  <c r="D26" i="32"/>
  <c r="D66" i="32" s="1"/>
  <c r="F26" i="32"/>
  <c r="F66" i="32" s="1"/>
  <c r="H26" i="32"/>
  <c r="H66" i="32" s="1"/>
  <c r="J26" i="32"/>
  <c r="J66" i="32" s="1"/>
  <c r="C26" i="32"/>
  <c r="C66" i="32" s="1"/>
  <c r="D194" i="5"/>
  <c r="E25" i="29"/>
  <c r="G25" i="29"/>
  <c r="I25" i="29"/>
  <c r="K25" i="29"/>
  <c r="D25" i="29"/>
  <c r="F25" i="29"/>
  <c r="H25" i="29"/>
  <c r="J25" i="29"/>
  <c r="C25" i="29"/>
  <c r="E26" i="30"/>
  <c r="E66" i="30" s="1"/>
  <c r="G26" i="30"/>
  <c r="G66" i="30" s="1"/>
  <c r="I26" i="30"/>
  <c r="I66" i="30" s="1"/>
  <c r="K26" i="30"/>
  <c r="K66" i="30" s="1"/>
  <c r="D26" i="30"/>
  <c r="D66" i="30" s="1"/>
  <c r="F26" i="30"/>
  <c r="F66" i="30" s="1"/>
  <c r="H26" i="30"/>
  <c r="H66" i="30" s="1"/>
  <c r="J26" i="30"/>
  <c r="J66" i="30" s="1"/>
  <c r="C26" i="30"/>
  <c r="C66" i="30" s="1"/>
  <c r="F866" i="14"/>
  <c r="C19" i="30" s="1"/>
  <c r="D913" i="14"/>
  <c r="E912" i="14"/>
  <c r="F806" i="14"/>
  <c r="E47" i="31" s="1"/>
  <c r="E36" i="31"/>
  <c r="B869" i="14"/>
  <c r="E869" i="14" s="1"/>
  <c r="E47" i="30"/>
  <c r="F821" i="14"/>
  <c r="C19" i="31" s="1"/>
  <c r="D776" i="14"/>
  <c r="E775" i="14"/>
  <c r="F775" i="14"/>
  <c r="C19" i="32" s="1"/>
  <c r="D822" i="14"/>
  <c r="D823" i="14" s="1"/>
  <c r="E823" i="14" s="1"/>
  <c r="C52" i="20"/>
  <c r="F583" i="14"/>
  <c r="B607" i="14" s="1"/>
  <c r="F584" i="14"/>
  <c r="B608" i="14" s="1"/>
  <c r="E608" i="14" s="1"/>
  <c r="F421" i="14"/>
  <c r="F642" i="14"/>
  <c r="B822" i="14"/>
  <c r="F641" i="14"/>
  <c r="B665" i="14" s="1"/>
  <c r="B670" i="14"/>
  <c r="E670" i="14" s="1"/>
  <c r="D516" i="14"/>
  <c r="D552" i="14"/>
  <c r="D553" i="14" s="1"/>
  <c r="D554" i="14" s="1"/>
  <c r="D555" i="14" s="1"/>
  <c r="D556" i="14" s="1"/>
  <c r="D557" i="14" s="1"/>
  <c r="D558" i="14" s="1"/>
  <c r="D559" i="14" s="1"/>
  <c r="D560" i="14" s="1"/>
  <c r="D561" i="14" s="1"/>
  <c r="D562" i="14" s="1"/>
  <c r="D186" i="14"/>
  <c r="B89" i="14"/>
  <c r="B91" i="14" s="1"/>
  <c r="B92" i="14" s="1"/>
  <c r="B93" i="14" s="1"/>
  <c r="B94" i="14" s="1"/>
  <c r="B95" i="14" s="1"/>
  <c r="B96" i="14" s="1"/>
  <c r="B100" i="14" s="1"/>
  <c r="B101" i="14" s="1"/>
  <c r="B102" i="14" s="1"/>
  <c r="B104" i="14" s="1"/>
  <c r="B106" i="14" s="1"/>
  <c r="B108" i="14" s="1"/>
  <c r="C53" i="21"/>
  <c r="C59" i="21" s="1"/>
  <c r="E46" i="14"/>
  <c r="C46" i="14" s="1"/>
  <c r="D46" i="14" s="1"/>
  <c r="E47" i="14" s="1"/>
  <c r="G36" i="21"/>
  <c r="D238" i="14"/>
  <c r="E239" i="14" s="1"/>
  <c r="F36" i="8" s="1"/>
  <c r="C590" i="14"/>
  <c r="D590" i="14" s="1"/>
  <c r="F237" i="14"/>
  <c r="B316" i="14" s="1"/>
  <c r="G36" i="22"/>
  <c r="F43" i="14"/>
  <c r="B124" i="14" s="1"/>
  <c r="F44" i="14"/>
  <c r="F430" i="14"/>
  <c r="B500" i="14" s="1"/>
  <c r="F431" i="14"/>
  <c r="C648" i="14"/>
  <c r="D648" i="14" s="1"/>
  <c r="E649" i="14" s="1"/>
  <c r="F649" i="14" s="1"/>
  <c r="F47" i="1"/>
  <c r="B128" i="14"/>
  <c r="F36" i="9"/>
  <c r="F432" i="14"/>
  <c r="C432" i="14"/>
  <c r="D432" i="14" s="1"/>
  <c r="E433" i="14" s="1"/>
  <c r="D158" i="14"/>
  <c r="D159" i="14" s="1"/>
  <c r="D161" i="14"/>
  <c r="D351" i="14"/>
  <c r="D354" i="14"/>
  <c r="B251" i="14"/>
  <c r="C20" i="10" l="1"/>
  <c r="C22" i="10" s="1"/>
  <c r="D187" i="14"/>
  <c r="D188" i="14"/>
  <c r="D26" i="29"/>
  <c r="D66" i="29" s="1"/>
  <c r="F26" i="29"/>
  <c r="F66" i="29" s="1"/>
  <c r="H26" i="29"/>
  <c r="H66" i="29" s="1"/>
  <c r="J26" i="29"/>
  <c r="J66" i="29" s="1"/>
  <c r="C26" i="29"/>
  <c r="C66" i="29" s="1"/>
  <c r="E26" i="29"/>
  <c r="E66" i="29" s="1"/>
  <c r="G26" i="29"/>
  <c r="G66" i="29" s="1"/>
  <c r="I26" i="29"/>
  <c r="I66" i="29" s="1"/>
  <c r="K26" i="29"/>
  <c r="K66" i="29" s="1"/>
  <c r="D914" i="14"/>
  <c r="E913" i="14"/>
  <c r="E58" i="31"/>
  <c r="E58" i="30"/>
  <c r="E822" i="14"/>
  <c r="F822" i="14" s="1"/>
  <c r="C20" i="31" s="1"/>
  <c r="C822" i="14"/>
  <c r="C823" i="14" s="1"/>
  <c r="C851" i="14"/>
  <c r="D851" i="14" s="1"/>
  <c r="E852" i="14" s="1"/>
  <c r="D824" i="14"/>
  <c r="D825" i="14" s="1"/>
  <c r="D826" i="14" s="1"/>
  <c r="D827" i="14" s="1"/>
  <c r="D828" i="14" s="1"/>
  <c r="D829" i="14" s="1"/>
  <c r="D830" i="14" s="1"/>
  <c r="D777" i="14"/>
  <c r="E776" i="14"/>
  <c r="F776" i="14" s="1"/>
  <c r="C20" i="32" s="1"/>
  <c r="D19" i="32" s="1"/>
  <c r="B824" i="14"/>
  <c r="C806" i="14"/>
  <c r="F46" i="14"/>
  <c r="G47" i="1" s="1"/>
  <c r="G58" i="1" s="1"/>
  <c r="C53" i="20"/>
  <c r="C59" i="20" s="1"/>
  <c r="C778" i="14"/>
  <c r="C779" i="14" s="1"/>
  <c r="C780" i="14" s="1"/>
  <c r="C781" i="14" s="1"/>
  <c r="C782" i="14" s="1"/>
  <c r="C783" i="14" s="1"/>
  <c r="C784" i="14" s="1"/>
  <c r="C53" i="32"/>
  <c r="C59" i="32" s="1"/>
  <c r="E665" i="14"/>
  <c r="C665" i="14"/>
  <c r="C47" i="21"/>
  <c r="B666" i="14"/>
  <c r="E666" i="14" s="1"/>
  <c r="E607" i="14"/>
  <c r="C607" i="14"/>
  <c r="G58" i="32"/>
  <c r="B671" i="14"/>
  <c r="E671" i="14" s="1"/>
  <c r="C500" i="14"/>
  <c r="F500" i="14" s="1"/>
  <c r="C316" i="14"/>
  <c r="C317" i="14" s="1"/>
  <c r="C318" i="14" s="1"/>
  <c r="C124" i="14"/>
  <c r="C125" i="14" s="1"/>
  <c r="C126" i="14" s="1"/>
  <c r="D190" i="14"/>
  <c r="B109" i="14"/>
  <c r="B110" i="14" s="1"/>
  <c r="F239" i="14"/>
  <c r="F47" i="8" s="1"/>
  <c r="G36" i="1"/>
  <c r="C47" i="14"/>
  <c r="D47" i="14" s="1"/>
  <c r="E48" i="14" s="1"/>
  <c r="C48" i="14" s="1"/>
  <c r="D48" i="14" s="1"/>
  <c r="E49" i="14" s="1"/>
  <c r="C49" i="14" s="1"/>
  <c r="H36" i="1"/>
  <c r="F47" i="14"/>
  <c r="H47" i="1" s="1"/>
  <c r="F47" i="21"/>
  <c r="G47" i="21"/>
  <c r="H36" i="21"/>
  <c r="C239" i="14"/>
  <c r="D239" i="14" s="1"/>
  <c r="E240" i="14" s="1"/>
  <c r="C240" i="14" s="1"/>
  <c r="D240" i="14" s="1"/>
  <c r="E241" i="14" s="1"/>
  <c r="E591" i="14"/>
  <c r="F591" i="14" s="1"/>
  <c r="B613" i="14" s="1"/>
  <c r="E611" i="14"/>
  <c r="F47" i="22"/>
  <c r="C47" i="22"/>
  <c r="E612" i="14"/>
  <c r="G47" i="22"/>
  <c r="E47" i="22"/>
  <c r="B319" i="14"/>
  <c r="E319" i="14" s="1"/>
  <c r="E47" i="8"/>
  <c r="E47" i="9"/>
  <c r="B503" i="14"/>
  <c r="E503" i="14" s="1"/>
  <c r="E47" i="1"/>
  <c r="B127" i="14"/>
  <c r="E127" i="14" s="1"/>
  <c r="C649" i="14"/>
  <c r="F58" i="1"/>
  <c r="E128" i="14"/>
  <c r="C433" i="14"/>
  <c r="D433" i="14" s="1"/>
  <c r="E434" i="14" s="1"/>
  <c r="F433" i="14"/>
  <c r="G36" i="9"/>
  <c r="F47" i="9"/>
  <c r="B504" i="14"/>
  <c r="B252" i="14"/>
  <c r="C501" i="14" l="1"/>
  <c r="C502" i="14" s="1"/>
  <c r="C503" i="14" s="1"/>
  <c r="C504" i="14" s="1"/>
  <c r="F48" i="14"/>
  <c r="I47" i="1" s="1"/>
  <c r="C21" i="31"/>
  <c r="C22" i="31" s="1"/>
  <c r="D19" i="31"/>
  <c r="C21" i="32"/>
  <c r="D915" i="14"/>
  <c r="E914" i="14"/>
  <c r="F852" i="14"/>
  <c r="F36" i="30"/>
  <c r="B129" i="14"/>
  <c r="E129" i="14" s="1"/>
  <c r="E824" i="14"/>
  <c r="C824" i="14"/>
  <c r="F823" i="14"/>
  <c r="D778" i="14"/>
  <c r="E777" i="14"/>
  <c r="F777" i="14" s="1"/>
  <c r="D20" i="32" s="1"/>
  <c r="E19" i="32" s="1"/>
  <c r="D806" i="14"/>
  <c r="E807" i="14" s="1"/>
  <c r="F124" i="14"/>
  <c r="F316" i="14"/>
  <c r="F317" i="14" s="1"/>
  <c r="F318" i="14" s="1"/>
  <c r="B130" i="14"/>
  <c r="E130" i="14" s="1"/>
  <c r="B320" i="14"/>
  <c r="E320" i="14" s="1"/>
  <c r="F607" i="14"/>
  <c r="C19" i="22" s="1"/>
  <c r="C608" i="14"/>
  <c r="C609" i="14" s="1"/>
  <c r="C610" i="14" s="1"/>
  <c r="C611" i="14" s="1"/>
  <c r="C612" i="14" s="1"/>
  <c r="C613" i="14" s="1"/>
  <c r="C58" i="21"/>
  <c r="F665" i="14"/>
  <c r="C666" i="14"/>
  <c r="C667" i="14" s="1"/>
  <c r="C668" i="14" s="1"/>
  <c r="C669" i="14" s="1"/>
  <c r="C670" i="14" s="1"/>
  <c r="C671" i="14" s="1"/>
  <c r="C58" i="32"/>
  <c r="H58" i="32"/>
  <c r="F501" i="14"/>
  <c r="F502" i="14" s="1"/>
  <c r="E19" i="9" s="1"/>
  <c r="I36" i="1"/>
  <c r="D191" i="14"/>
  <c r="B111" i="14"/>
  <c r="H47" i="21"/>
  <c r="G58" i="21"/>
  <c r="F58" i="21"/>
  <c r="H36" i="22"/>
  <c r="G36" i="8"/>
  <c r="F240" i="14"/>
  <c r="C591" i="14"/>
  <c r="D591" i="14" s="1"/>
  <c r="E592" i="14" s="1"/>
  <c r="F592" i="14" s="1"/>
  <c r="B614" i="14" s="1"/>
  <c r="C241" i="14"/>
  <c r="D241" i="14" s="1"/>
  <c r="E242" i="14" s="1"/>
  <c r="H36" i="8"/>
  <c r="F241" i="14"/>
  <c r="C319" i="14"/>
  <c r="E613" i="14"/>
  <c r="H47" i="22"/>
  <c r="E58" i="22"/>
  <c r="G58" i="22"/>
  <c r="C58" i="22"/>
  <c r="F58" i="22"/>
  <c r="E58" i="1"/>
  <c r="E58" i="9"/>
  <c r="F58" i="8"/>
  <c r="E58" i="8"/>
  <c r="C127" i="14"/>
  <c r="C128" i="14" s="1"/>
  <c r="D649" i="14"/>
  <c r="E650" i="14" s="1"/>
  <c r="F650" i="14" s="1"/>
  <c r="E504" i="14"/>
  <c r="C434" i="14"/>
  <c r="D434" i="14" s="1"/>
  <c r="E435" i="14" s="1"/>
  <c r="H36" i="9"/>
  <c r="F434" i="14"/>
  <c r="F58" i="9"/>
  <c r="G47" i="9"/>
  <c r="B505" i="14"/>
  <c r="E505" i="14" s="1"/>
  <c r="D49" i="14"/>
  <c r="E50" i="14" s="1"/>
  <c r="B253" i="14"/>
  <c r="B255" i="14" s="1"/>
  <c r="J36" i="1"/>
  <c r="F49" i="14"/>
  <c r="H58" i="1"/>
  <c r="B131" i="14" l="1"/>
  <c r="E131" i="14" s="1"/>
  <c r="C65" i="31"/>
  <c r="C67" i="31" s="1"/>
  <c r="C39" i="31"/>
  <c r="C56" i="31" s="1"/>
  <c r="F824" i="14"/>
  <c r="E20" i="31" s="1"/>
  <c r="F19" i="31" s="1"/>
  <c r="D20" i="31"/>
  <c r="D21" i="31" s="1"/>
  <c r="D22" i="31" s="1"/>
  <c r="D916" i="14"/>
  <c r="E915" i="14"/>
  <c r="C129" i="14"/>
  <c r="C130" i="14" s="1"/>
  <c r="F807" i="14"/>
  <c r="F47" i="31" s="1"/>
  <c r="F36" i="31"/>
  <c r="B870" i="14"/>
  <c r="E870" i="14" s="1"/>
  <c r="F47" i="30"/>
  <c r="C852" i="14"/>
  <c r="D852" i="14" s="1"/>
  <c r="E853" i="14" s="1"/>
  <c r="F125" i="14"/>
  <c r="F126" i="14" s="1"/>
  <c r="E19" i="1" s="1"/>
  <c r="D779" i="14"/>
  <c r="E778" i="14"/>
  <c r="F778" i="14" s="1"/>
  <c r="E20" i="32" s="1"/>
  <c r="F19" i="32" s="1"/>
  <c r="C807" i="14"/>
  <c r="C320" i="14"/>
  <c r="F666" i="14"/>
  <c r="C19" i="21"/>
  <c r="F608" i="14"/>
  <c r="F503" i="14"/>
  <c r="E20" i="9" s="1"/>
  <c r="B672" i="14"/>
  <c r="E672" i="14" s="1"/>
  <c r="D192" i="14"/>
  <c r="B112" i="14"/>
  <c r="I36" i="21"/>
  <c r="H58" i="21"/>
  <c r="F319" i="14"/>
  <c r="F320" i="14" s="1"/>
  <c r="E19" i="8"/>
  <c r="H47" i="8"/>
  <c r="B322" i="14"/>
  <c r="E322" i="14" s="1"/>
  <c r="C242" i="14"/>
  <c r="D242" i="14" s="1"/>
  <c r="E243" i="14" s="1"/>
  <c r="I36" i="8"/>
  <c r="F242" i="14"/>
  <c r="B321" i="14"/>
  <c r="G47" i="8"/>
  <c r="C592" i="14"/>
  <c r="H58" i="22"/>
  <c r="I36" i="22"/>
  <c r="C650" i="14"/>
  <c r="B506" i="14"/>
  <c r="E506" i="14" s="1"/>
  <c r="H47" i="9"/>
  <c r="C435" i="14"/>
  <c r="D435" i="14" s="1"/>
  <c r="E437" i="14" s="1"/>
  <c r="F435" i="14"/>
  <c r="I36" i="9"/>
  <c r="G58" i="9"/>
  <c r="C505" i="14"/>
  <c r="K36" i="1"/>
  <c r="F50" i="14"/>
  <c r="I58" i="1"/>
  <c r="B132" i="14"/>
  <c r="E132" i="14" s="1"/>
  <c r="J47" i="1"/>
  <c r="C50" i="14"/>
  <c r="C131" i="14" l="1"/>
  <c r="C132" i="14" s="1"/>
  <c r="F127" i="14"/>
  <c r="E20" i="1" s="1"/>
  <c r="D65" i="31"/>
  <c r="D67" i="31" s="1"/>
  <c r="D39" i="31"/>
  <c r="D56" i="31" s="1"/>
  <c r="E19" i="31"/>
  <c r="C44" i="31"/>
  <c r="C57" i="31" s="1"/>
  <c r="C60" i="31" s="1"/>
  <c r="C68" i="31" s="1"/>
  <c r="D917" i="14"/>
  <c r="E916" i="14"/>
  <c r="B825" i="14"/>
  <c r="C825" i="14" s="1"/>
  <c r="F58" i="31"/>
  <c r="F853" i="14"/>
  <c r="G36" i="30"/>
  <c r="F58" i="30"/>
  <c r="C853" i="14"/>
  <c r="D853" i="14" s="1"/>
  <c r="E854" i="14" s="1"/>
  <c r="D780" i="14"/>
  <c r="E779" i="14"/>
  <c r="F779" i="14" s="1"/>
  <c r="F20" i="32" s="1"/>
  <c r="G19" i="32" s="1"/>
  <c r="E825" i="14"/>
  <c r="F825" i="14" s="1"/>
  <c r="F20" i="31" s="1"/>
  <c r="D807" i="14"/>
  <c r="E808" i="14" s="1"/>
  <c r="E21" i="9"/>
  <c r="E22" i="9" s="1"/>
  <c r="E39" i="9" s="1"/>
  <c r="E56" i="9" s="1"/>
  <c r="F504" i="14"/>
  <c r="F505" i="14" s="1"/>
  <c r="G20" i="9" s="1"/>
  <c r="F667" i="14"/>
  <c r="C20" i="21"/>
  <c r="C21" i="21" s="1"/>
  <c r="C22" i="21" s="1"/>
  <c r="F609" i="14"/>
  <c r="C20" i="22"/>
  <c r="F19" i="9"/>
  <c r="I58" i="32"/>
  <c r="C506" i="14"/>
  <c r="E20" i="8"/>
  <c r="F19" i="8" s="1"/>
  <c r="D193" i="14"/>
  <c r="B113" i="14"/>
  <c r="I47" i="21"/>
  <c r="G58" i="8"/>
  <c r="I47" i="8"/>
  <c r="B323" i="14"/>
  <c r="E323" i="14" s="1"/>
  <c r="C243" i="14"/>
  <c r="D243" i="14" s="1"/>
  <c r="E244" i="14" s="1"/>
  <c r="J36" i="8"/>
  <c r="F243" i="14"/>
  <c r="H58" i="8"/>
  <c r="E321" i="14"/>
  <c r="F321" i="14" s="1"/>
  <c r="C321" i="14"/>
  <c r="C322" i="14" s="1"/>
  <c r="I47" i="22"/>
  <c r="F20" i="8"/>
  <c r="D650" i="14"/>
  <c r="E651" i="14" s="1"/>
  <c r="F651" i="14" s="1"/>
  <c r="D592" i="14"/>
  <c r="C437" i="14"/>
  <c r="J36" i="9"/>
  <c r="E439" i="14"/>
  <c r="F437" i="14"/>
  <c r="I47" i="9"/>
  <c r="B507" i="14"/>
  <c r="E507" i="14" s="1"/>
  <c r="H58" i="9"/>
  <c r="D50" i="14"/>
  <c r="E51" i="14" s="1"/>
  <c r="C51" i="14" s="1"/>
  <c r="B133" i="14"/>
  <c r="E133" i="14" s="1"/>
  <c r="K47" i="1"/>
  <c r="J58" i="1"/>
  <c r="B257" i="14"/>
  <c r="B259" i="14" s="1"/>
  <c r="F19" i="1" l="1"/>
  <c r="D44" i="31"/>
  <c r="D57" i="31" s="1"/>
  <c r="D60" i="31" s="1"/>
  <c r="D68" i="31" s="1"/>
  <c r="F128" i="14"/>
  <c r="F20" i="1" s="1"/>
  <c r="E21" i="1"/>
  <c r="E22" i="1" s="1"/>
  <c r="E65" i="1" s="1"/>
  <c r="E67" i="1" s="1"/>
  <c r="E21" i="31"/>
  <c r="E22" i="31" s="1"/>
  <c r="D918" i="14"/>
  <c r="E917" i="14"/>
  <c r="C69" i="31"/>
  <c r="AP24" i="6" s="1"/>
  <c r="F808" i="14"/>
  <c r="G36" i="31"/>
  <c r="G19" i="31"/>
  <c r="F21" i="31"/>
  <c r="F22" i="31" s="1"/>
  <c r="F854" i="14"/>
  <c r="H36" i="30"/>
  <c r="B871" i="14"/>
  <c r="E871" i="14" s="1"/>
  <c r="G47" i="30"/>
  <c r="C854" i="14"/>
  <c r="D854" i="14" s="1"/>
  <c r="E855" i="14" s="1"/>
  <c r="D781" i="14"/>
  <c r="E780" i="14"/>
  <c r="F780" i="14" s="1"/>
  <c r="G20" i="32" s="1"/>
  <c r="H19" i="32" s="1"/>
  <c r="C808" i="14"/>
  <c r="E65" i="9"/>
  <c r="E67" i="9" s="1"/>
  <c r="F20" i="9"/>
  <c r="G19" i="9" s="1"/>
  <c r="G21" i="9" s="1"/>
  <c r="G22" i="9" s="1"/>
  <c r="G39" i="9" s="1"/>
  <c r="F506" i="14"/>
  <c r="H20" i="9" s="1"/>
  <c r="H19" i="9" s="1"/>
  <c r="H21" i="9" s="1"/>
  <c r="H22" i="9" s="1"/>
  <c r="E21" i="8"/>
  <c r="E22" i="8" s="1"/>
  <c r="E39" i="8" s="1"/>
  <c r="E56" i="8" s="1"/>
  <c r="E44" i="9"/>
  <c r="E57" i="9" s="1"/>
  <c r="E60" i="9" s="1"/>
  <c r="E68" i="9" s="1"/>
  <c r="F610" i="14"/>
  <c r="D20" i="22"/>
  <c r="D19" i="21"/>
  <c r="C39" i="21"/>
  <c r="C56" i="21" s="1"/>
  <c r="C65" i="21"/>
  <c r="C67" i="21" s="1"/>
  <c r="D19" i="22"/>
  <c r="C21" i="22"/>
  <c r="C22" i="22" s="1"/>
  <c r="F668" i="14"/>
  <c r="D20" i="21"/>
  <c r="B673" i="14"/>
  <c r="E673" i="14" s="1"/>
  <c r="D194" i="14"/>
  <c r="B114" i="14"/>
  <c r="B115" i="14" s="1"/>
  <c r="C323" i="14"/>
  <c r="C133" i="14"/>
  <c r="C672" i="14"/>
  <c r="J36" i="21"/>
  <c r="I58" i="21"/>
  <c r="E593" i="14"/>
  <c r="F593" i="14" s="1"/>
  <c r="B615" i="14" s="1"/>
  <c r="J47" i="8"/>
  <c r="B324" i="14"/>
  <c r="E324" i="14" s="1"/>
  <c r="C244" i="14"/>
  <c r="D244" i="14" s="1"/>
  <c r="E245" i="14" s="1"/>
  <c r="K36" i="8"/>
  <c r="F244" i="14"/>
  <c r="I58" i="8"/>
  <c r="C614" i="14"/>
  <c r="E614" i="14"/>
  <c r="I58" i="22"/>
  <c r="F21" i="8"/>
  <c r="F22" i="8" s="1"/>
  <c r="G19" i="8"/>
  <c r="G20" i="8"/>
  <c r="F322" i="14"/>
  <c r="C651" i="14"/>
  <c r="D651" i="14" s="1"/>
  <c r="D437" i="14"/>
  <c r="I6" i="18"/>
  <c r="J6" i="18" s="1"/>
  <c r="K19" i="18" s="1"/>
  <c r="C507" i="14"/>
  <c r="I58" i="9"/>
  <c r="G65" i="9"/>
  <c r="G67" i="9" s="1"/>
  <c r="B509" i="14"/>
  <c r="E509" i="14" s="1"/>
  <c r="F439" i="14"/>
  <c r="J47" i="9"/>
  <c r="D51" i="14"/>
  <c r="E52" i="14" s="1"/>
  <c r="C52" i="14" s="1"/>
  <c r="B260" i="14"/>
  <c r="K58" i="1"/>
  <c r="L36" i="1"/>
  <c r="F51" i="14"/>
  <c r="I22" i="18" l="1"/>
  <c r="J22" i="18"/>
  <c r="G19" i="1"/>
  <c r="F21" i="1"/>
  <c r="F22" i="1" s="1"/>
  <c r="F39" i="1" s="1"/>
  <c r="F56" i="1" s="1"/>
  <c r="D69" i="31"/>
  <c r="AQ24" i="6" s="1"/>
  <c r="E34" i="6"/>
  <c r="E39" i="1"/>
  <c r="E56" i="1" s="1"/>
  <c r="F129" i="14"/>
  <c r="G20" i="1" s="1"/>
  <c r="D919" i="14"/>
  <c r="E918" i="14"/>
  <c r="E39" i="31"/>
  <c r="E56" i="31" s="1"/>
  <c r="E65" i="31"/>
  <c r="E67" i="31" s="1"/>
  <c r="F39" i="31"/>
  <c r="F56" i="31" s="1"/>
  <c r="F65" i="31"/>
  <c r="F67" i="31" s="1"/>
  <c r="G47" i="31"/>
  <c r="B826" i="14"/>
  <c r="F855" i="14"/>
  <c r="I36" i="30"/>
  <c r="B872" i="14"/>
  <c r="E872" i="14" s="1"/>
  <c r="H47" i="30"/>
  <c r="G58" i="30"/>
  <c r="D782" i="14"/>
  <c r="E781" i="14"/>
  <c r="F781" i="14" s="1"/>
  <c r="H20" i="32" s="1"/>
  <c r="I19" i="32" s="1"/>
  <c r="D808" i="14"/>
  <c r="E809" i="14" s="1"/>
  <c r="E65" i="8"/>
  <c r="E67" i="8" s="1"/>
  <c r="F507" i="14"/>
  <c r="I20" i="9" s="1"/>
  <c r="C324" i="14"/>
  <c r="F21" i="9"/>
  <c r="F22" i="9" s="1"/>
  <c r="F39" i="9" s="1"/>
  <c r="F56" i="9" s="1"/>
  <c r="E69" i="9"/>
  <c r="E19" i="6" s="1"/>
  <c r="F669" i="14"/>
  <c r="E20" i="21"/>
  <c r="C39" i="22"/>
  <c r="C65" i="22"/>
  <c r="C67" i="22" s="1"/>
  <c r="E19" i="22"/>
  <c r="E19" i="21"/>
  <c r="D21" i="22"/>
  <c r="D22" i="22" s="1"/>
  <c r="D21" i="21"/>
  <c r="D22" i="21" s="1"/>
  <c r="F611" i="14"/>
  <c r="E20" i="22"/>
  <c r="C44" i="21"/>
  <c r="C57" i="21" s="1"/>
  <c r="C60" i="21" s="1"/>
  <c r="C68" i="21" s="1"/>
  <c r="J58" i="32"/>
  <c r="D195" i="14"/>
  <c r="J36" i="22"/>
  <c r="C615" i="14"/>
  <c r="E652" i="14"/>
  <c r="F652" i="14" s="1"/>
  <c r="J47" i="21"/>
  <c r="C673" i="14"/>
  <c r="C593" i="14"/>
  <c r="D593" i="14" s="1"/>
  <c r="E594" i="14" s="1"/>
  <c r="K47" i="8"/>
  <c r="B325" i="14"/>
  <c r="E325" i="14" s="1"/>
  <c r="C245" i="14"/>
  <c r="D245" i="14" s="1"/>
  <c r="E246" i="14" s="1"/>
  <c r="L36" i="8"/>
  <c r="F245" i="14"/>
  <c r="J58" i="8"/>
  <c r="E44" i="8"/>
  <c r="E57" i="8" s="1"/>
  <c r="E60" i="8" s="1"/>
  <c r="E68" i="8" s="1"/>
  <c r="J47" i="22"/>
  <c r="F323" i="14"/>
  <c r="H20" i="8"/>
  <c r="H19" i="8" s="1"/>
  <c r="G21" i="8"/>
  <c r="G22" i="8" s="1"/>
  <c r="E36" i="6"/>
  <c r="F39" i="8"/>
  <c r="F56" i="8" s="1"/>
  <c r="F65" i="8"/>
  <c r="F67" i="8" s="1"/>
  <c r="G56" i="9"/>
  <c r="G44" i="9"/>
  <c r="G57" i="9" s="1"/>
  <c r="C509" i="14"/>
  <c r="E6" i="18" s="1"/>
  <c r="F6" i="18" s="1"/>
  <c r="J58" i="9"/>
  <c r="K6" i="18"/>
  <c r="C438" i="14"/>
  <c r="M36" i="1"/>
  <c r="F52" i="14"/>
  <c r="L47" i="1"/>
  <c r="B134" i="14"/>
  <c r="H65" i="9"/>
  <c r="H67" i="9" s="1"/>
  <c r="H39" i="9"/>
  <c r="H56" i="9" s="1"/>
  <c r="B261" i="14"/>
  <c r="D52" i="14"/>
  <c r="E53" i="14" s="1"/>
  <c r="C53" i="14" s="1"/>
  <c r="K22" i="18" l="1"/>
  <c r="F65" i="9"/>
  <c r="F67" i="9" s="1"/>
  <c r="F65" i="1"/>
  <c r="F67" i="1" s="1"/>
  <c r="E44" i="1"/>
  <c r="E57" i="1" s="1"/>
  <c r="E60" i="1" s="1"/>
  <c r="E68" i="1" s="1"/>
  <c r="E35" i="6"/>
  <c r="E37" i="6" s="1"/>
  <c r="D47" i="10" s="1"/>
  <c r="D51" i="10" s="1"/>
  <c r="D53" i="10" s="1"/>
  <c r="F44" i="1"/>
  <c r="F57" i="1" s="1"/>
  <c r="F60" i="1" s="1"/>
  <c r="F68" i="1" s="1"/>
  <c r="E44" i="31"/>
  <c r="E57" i="31" s="1"/>
  <c r="E60" i="31" s="1"/>
  <c r="E68" i="31" s="1"/>
  <c r="C652" i="14"/>
  <c r="D652" i="14" s="1"/>
  <c r="E653" i="14" s="1"/>
  <c r="F653" i="14" s="1"/>
  <c r="F130" i="14"/>
  <c r="H20" i="1" s="1"/>
  <c r="H19" i="1" s="1"/>
  <c r="D920" i="14"/>
  <c r="E920" i="14" s="1"/>
  <c r="E919" i="14"/>
  <c r="F809" i="14"/>
  <c r="H47" i="31" s="1"/>
  <c r="H36" i="31"/>
  <c r="E826" i="14"/>
  <c r="F826" i="14" s="1"/>
  <c r="G20" i="31" s="1"/>
  <c r="C826" i="14"/>
  <c r="G58" i="31"/>
  <c r="F44" i="31"/>
  <c r="F57" i="31" s="1"/>
  <c r="F60" i="31" s="1"/>
  <c r="F68" i="31" s="1"/>
  <c r="B873" i="14"/>
  <c r="E873" i="14" s="1"/>
  <c r="I47" i="30"/>
  <c r="H58" i="30"/>
  <c r="G21" i="1"/>
  <c r="G22" i="1" s="1"/>
  <c r="G39" i="1" s="1"/>
  <c r="G56" i="1" s="1"/>
  <c r="C855" i="14"/>
  <c r="D855" i="14" s="1"/>
  <c r="E856" i="14" s="1"/>
  <c r="D783" i="14"/>
  <c r="E782" i="14"/>
  <c r="F782" i="14" s="1"/>
  <c r="I20" i="32" s="1"/>
  <c r="J19" i="32" s="1"/>
  <c r="C809" i="14"/>
  <c r="I19" i="9"/>
  <c r="F509" i="14"/>
  <c r="F44" i="9"/>
  <c r="F57" i="9" s="1"/>
  <c r="F60" i="9" s="1"/>
  <c r="F68" i="9" s="1"/>
  <c r="F44" i="8"/>
  <c r="F57" i="8" s="1"/>
  <c r="F60" i="8" s="1"/>
  <c r="F68" i="8" s="1"/>
  <c r="E69" i="8"/>
  <c r="E18" i="6" s="1"/>
  <c r="E21" i="22"/>
  <c r="E22" i="22" s="1"/>
  <c r="F19" i="22"/>
  <c r="D39" i="21"/>
  <c r="D65" i="21"/>
  <c r="D67" i="21" s="1"/>
  <c r="F19" i="21"/>
  <c r="C69" i="21"/>
  <c r="AL21" i="6" s="1"/>
  <c r="F612" i="14"/>
  <c r="F20" i="22"/>
  <c r="D65" i="22"/>
  <c r="D67" i="22" s="1"/>
  <c r="D39" i="22"/>
  <c r="D56" i="22" s="1"/>
  <c r="E21" i="21"/>
  <c r="E22" i="21" s="1"/>
  <c r="C56" i="22"/>
  <c r="C44" i="22"/>
  <c r="C57" i="22" s="1"/>
  <c r="F670" i="14"/>
  <c r="F20" i="21"/>
  <c r="B674" i="14"/>
  <c r="E674" i="14" s="1"/>
  <c r="D196" i="14"/>
  <c r="K36" i="21"/>
  <c r="K47" i="21"/>
  <c r="K58" i="21" s="1"/>
  <c r="J58" i="21"/>
  <c r="C325" i="14"/>
  <c r="F594" i="14"/>
  <c r="B616" i="14" s="1"/>
  <c r="C616" i="14" s="1"/>
  <c r="C594" i="14"/>
  <c r="D594" i="14" s="1"/>
  <c r="E595" i="14" s="1"/>
  <c r="F595" i="14" s="1"/>
  <c r="B617" i="14" s="1"/>
  <c r="B326" i="14"/>
  <c r="E326" i="14" s="1"/>
  <c r="L47" i="8"/>
  <c r="C246" i="14"/>
  <c r="D246" i="14" s="1"/>
  <c r="E247" i="14" s="1"/>
  <c r="M36" i="8"/>
  <c r="F246" i="14"/>
  <c r="K58" i="8"/>
  <c r="K36" i="22"/>
  <c r="E615" i="14"/>
  <c r="J58" i="22"/>
  <c r="G65" i="8"/>
  <c r="G67" i="8" s="1"/>
  <c r="G39" i="8"/>
  <c r="G56" i="8" s="1"/>
  <c r="I20" i="8"/>
  <c r="F324" i="14"/>
  <c r="D438" i="14"/>
  <c r="D439" i="14" s="1"/>
  <c r="E441" i="14" s="1"/>
  <c r="C439" i="14"/>
  <c r="G60" i="9"/>
  <c r="G68" i="9" s="1"/>
  <c r="H44" i="9"/>
  <c r="H57" i="9" s="1"/>
  <c r="H60" i="9" s="1"/>
  <c r="H68" i="9" s="1"/>
  <c r="N36" i="1"/>
  <c r="F53" i="14"/>
  <c r="B262" i="14"/>
  <c r="E134" i="14"/>
  <c r="C134" i="14"/>
  <c r="D53" i="14"/>
  <c r="E56" i="14" s="1"/>
  <c r="G6" i="18"/>
  <c r="B510" i="14"/>
  <c r="L58" i="1"/>
  <c r="B135" i="14"/>
  <c r="E135" i="14" s="1"/>
  <c r="M47" i="1"/>
  <c r="B827" i="14" l="1"/>
  <c r="E827" i="14" s="1"/>
  <c r="F827" i="14" s="1"/>
  <c r="H20" i="31" s="1"/>
  <c r="F69" i="9"/>
  <c r="F19" i="6" s="1"/>
  <c r="F69" i="1"/>
  <c r="F17" i="6" s="1"/>
  <c r="E69" i="1"/>
  <c r="E17" i="6" s="1"/>
  <c r="E27" i="6" s="1"/>
  <c r="D12" i="10" s="1"/>
  <c r="D16" i="10" s="1"/>
  <c r="D18" i="10" s="1"/>
  <c r="D20" i="10" s="1"/>
  <c r="D22" i="10" s="1"/>
  <c r="D23" i="10" s="1"/>
  <c r="E10" i="10" s="1"/>
  <c r="E69" i="31"/>
  <c r="AR24" i="6" s="1"/>
  <c r="F131" i="14"/>
  <c r="I20" i="1" s="1"/>
  <c r="F69" i="31"/>
  <c r="AS24" i="6" s="1"/>
  <c r="H19" i="31"/>
  <c r="G21" i="31"/>
  <c r="G22" i="31" s="1"/>
  <c r="H58" i="31"/>
  <c r="F856" i="14"/>
  <c r="J36" i="30"/>
  <c r="I58" i="30"/>
  <c r="G65" i="1"/>
  <c r="G67" i="1" s="1"/>
  <c r="G44" i="1"/>
  <c r="G57" i="1" s="1"/>
  <c r="G60" i="1" s="1"/>
  <c r="G68" i="1" s="1"/>
  <c r="C856" i="14"/>
  <c r="D784" i="14"/>
  <c r="E784" i="14" s="1"/>
  <c r="E783" i="14"/>
  <c r="F783" i="14" s="1"/>
  <c r="J20" i="32" s="1"/>
  <c r="K19" i="32" s="1"/>
  <c r="D809" i="14"/>
  <c r="I21" i="9"/>
  <c r="I22" i="9" s="1"/>
  <c r="K47" i="22"/>
  <c r="H21" i="1"/>
  <c r="H22" i="1" s="1"/>
  <c r="G19" i="21"/>
  <c r="C60" i="22"/>
  <c r="C68" i="22" s="1"/>
  <c r="D44" i="22"/>
  <c r="D57" i="22" s="1"/>
  <c r="D60" i="22" s="1"/>
  <c r="D68" i="22" s="1"/>
  <c r="F613" i="14"/>
  <c r="G20" i="22"/>
  <c r="F21" i="21"/>
  <c r="F22" i="21" s="1"/>
  <c r="E39" i="22"/>
  <c r="E56" i="22" s="1"/>
  <c r="E65" i="22"/>
  <c r="E67" i="22" s="1"/>
  <c r="F671" i="14"/>
  <c r="G20" i="21"/>
  <c r="E65" i="21"/>
  <c r="E67" i="21" s="1"/>
  <c r="E39" i="21"/>
  <c r="G19" i="22"/>
  <c r="D56" i="21"/>
  <c r="D44" i="21"/>
  <c r="D57" i="21" s="1"/>
  <c r="F21" i="22"/>
  <c r="F22" i="22" s="1"/>
  <c r="K58" i="32"/>
  <c r="B675" i="14"/>
  <c r="E675" i="14" s="1"/>
  <c r="E616" i="14"/>
  <c r="D197" i="14"/>
  <c r="C56" i="14"/>
  <c r="D56" i="14" s="1"/>
  <c r="E57" i="14" s="1"/>
  <c r="C57" i="14" s="1"/>
  <c r="F56" i="14"/>
  <c r="L36" i="22"/>
  <c r="C326" i="14"/>
  <c r="C595" i="14"/>
  <c r="D595" i="14" s="1"/>
  <c r="E596" i="14" s="1"/>
  <c r="F596" i="14" s="1"/>
  <c r="B618" i="14" s="1"/>
  <c r="C617" i="14"/>
  <c r="B327" i="14"/>
  <c r="E327" i="14" s="1"/>
  <c r="M47" i="8"/>
  <c r="C247" i="14"/>
  <c r="D247" i="14" s="1"/>
  <c r="E250" i="14" s="1"/>
  <c r="F247" i="14"/>
  <c r="N36" i="8"/>
  <c r="L58" i="8"/>
  <c r="F325" i="14"/>
  <c r="J20" i="8"/>
  <c r="F69" i="8"/>
  <c r="F18" i="6" s="1"/>
  <c r="G44" i="8"/>
  <c r="G57" i="8" s="1"/>
  <c r="G60" i="8" s="1"/>
  <c r="G68" i="8" s="1"/>
  <c r="I19" i="8"/>
  <c r="D55" i="10"/>
  <c r="D57" i="10" s="1"/>
  <c r="D58" i="10" s="1"/>
  <c r="D59" i="10"/>
  <c r="H21" i="8"/>
  <c r="H22" i="8" s="1"/>
  <c r="F35" i="6"/>
  <c r="H69" i="9"/>
  <c r="H19" i="6" s="1"/>
  <c r="C674" i="14"/>
  <c r="G69" i="9"/>
  <c r="G19" i="6" s="1"/>
  <c r="C441" i="14"/>
  <c r="D441" i="14" s="1"/>
  <c r="E442" i="14" s="1"/>
  <c r="G36" i="6"/>
  <c r="F441" i="14"/>
  <c r="K36" i="9"/>
  <c r="H36" i="6"/>
  <c r="M58" i="1"/>
  <c r="C510" i="14"/>
  <c r="C511" i="14" s="1"/>
  <c r="E510" i="14"/>
  <c r="B511" i="14"/>
  <c r="O36" i="1"/>
  <c r="B264" i="14"/>
  <c r="B136" i="14"/>
  <c r="B137" i="14" s="1"/>
  <c r="N47" i="1"/>
  <c r="C135" i="14"/>
  <c r="C827" i="14" l="1"/>
  <c r="F132" i="14"/>
  <c r="F133" i="14" s="1"/>
  <c r="K20" i="1" s="1"/>
  <c r="I19" i="1"/>
  <c r="I21" i="1" s="1"/>
  <c r="I22" i="1" s="1"/>
  <c r="E39" i="6"/>
  <c r="E41" i="6" s="1"/>
  <c r="F27" i="6"/>
  <c r="E12" i="10" s="1"/>
  <c r="E16" i="10" s="1"/>
  <c r="E18" i="10" s="1"/>
  <c r="E24" i="10" s="1"/>
  <c r="E25" i="10" s="1"/>
  <c r="F34" i="6"/>
  <c r="E44" i="22"/>
  <c r="E57" i="22" s="1"/>
  <c r="E60" i="22" s="1"/>
  <c r="E68" i="22" s="1"/>
  <c r="G34" i="6"/>
  <c r="D24" i="10"/>
  <c r="K58" i="22"/>
  <c r="I19" i="31"/>
  <c r="G39" i="31"/>
  <c r="G56" i="31" s="1"/>
  <c r="G65" i="31"/>
  <c r="G67" i="31" s="1"/>
  <c r="H21" i="31"/>
  <c r="H22" i="31" s="1"/>
  <c r="B874" i="14"/>
  <c r="E874" i="14" s="1"/>
  <c r="J47" i="30"/>
  <c r="G69" i="1"/>
  <c r="G17" i="6" s="1"/>
  <c r="D856" i="14"/>
  <c r="E857" i="14" s="1"/>
  <c r="F784" i="14"/>
  <c r="K20" i="32" s="1"/>
  <c r="E810" i="14"/>
  <c r="I36" i="31" s="1"/>
  <c r="I39" i="9"/>
  <c r="I65" i="9"/>
  <c r="I67" i="9" s="1"/>
  <c r="D60" i="21"/>
  <c r="D68" i="21" s="1"/>
  <c r="F36" i="6"/>
  <c r="F37" i="6" s="1"/>
  <c r="E47" i="10" s="1"/>
  <c r="E51" i="10" s="1"/>
  <c r="H65" i="1"/>
  <c r="H67" i="1" s="1"/>
  <c r="H39" i="1"/>
  <c r="H56" i="1" s="1"/>
  <c r="G21" i="22"/>
  <c r="G22" i="22" s="1"/>
  <c r="E56" i="21"/>
  <c r="E44" i="21"/>
  <c r="E57" i="21" s="1"/>
  <c r="F672" i="14"/>
  <c r="H20" i="21"/>
  <c r="F614" i="14"/>
  <c r="H20" i="22"/>
  <c r="F65" i="22"/>
  <c r="F67" i="22" s="1"/>
  <c r="F39" i="22"/>
  <c r="F56" i="22" s="1"/>
  <c r="H19" i="21"/>
  <c r="F39" i="21"/>
  <c r="F56" i="21" s="1"/>
  <c r="F65" i="21"/>
  <c r="F67" i="21" s="1"/>
  <c r="H19" i="22"/>
  <c r="D69" i="22"/>
  <c r="AM20" i="6" s="1"/>
  <c r="C69" i="22"/>
  <c r="AL20" i="6" s="1"/>
  <c r="G21" i="21"/>
  <c r="G22" i="21" s="1"/>
  <c r="E136" i="14"/>
  <c r="C596" i="14"/>
  <c r="D596" i="14" s="1"/>
  <c r="C327" i="14"/>
  <c r="C653" i="14"/>
  <c r="D653" i="14" s="1"/>
  <c r="E654" i="14" s="1"/>
  <c r="F654" i="14" s="1"/>
  <c r="L36" i="21"/>
  <c r="C618" i="14"/>
  <c r="C250" i="14"/>
  <c r="D250" i="14" s="1"/>
  <c r="E251" i="14" s="1"/>
  <c r="O36" i="8"/>
  <c r="F250" i="14"/>
  <c r="B328" i="14"/>
  <c r="N47" i="8"/>
  <c r="M58" i="8"/>
  <c r="E617" i="14"/>
  <c r="L47" i="22"/>
  <c r="M36" i="22"/>
  <c r="G35" i="6"/>
  <c r="G69" i="8"/>
  <c r="G18" i="6" s="1"/>
  <c r="F326" i="14"/>
  <c r="K20" i="8"/>
  <c r="H65" i="8"/>
  <c r="H67" i="8" s="1"/>
  <c r="H39" i="8"/>
  <c r="H56" i="8" s="1"/>
  <c r="E45" i="10"/>
  <c r="D60" i="10"/>
  <c r="I21" i="8"/>
  <c r="I22" i="8" s="1"/>
  <c r="J19" i="8"/>
  <c r="C136" i="14"/>
  <c r="K47" i="9"/>
  <c r="B513" i="14"/>
  <c r="E513" i="14" s="1"/>
  <c r="C442" i="14"/>
  <c r="D442" i="14" s="1"/>
  <c r="E443" i="14" s="1"/>
  <c r="L36" i="9"/>
  <c r="F442" i="14"/>
  <c r="D57" i="14"/>
  <c r="E58" i="14" s="1"/>
  <c r="C58" i="14" s="1"/>
  <c r="B266" i="14"/>
  <c r="B268" i="14" s="1"/>
  <c r="O47" i="1"/>
  <c r="B139" i="14"/>
  <c r="E139" i="14" s="1"/>
  <c r="F510" i="14"/>
  <c r="E511" i="14"/>
  <c r="N58" i="1"/>
  <c r="P36" i="1"/>
  <c r="F57" i="14"/>
  <c r="F134" i="14" l="1"/>
  <c r="L20" i="1" s="1"/>
  <c r="J20" i="1"/>
  <c r="K19" i="1" s="1"/>
  <c r="K21" i="1" s="1"/>
  <c r="K22" i="1" s="1"/>
  <c r="C328" i="14"/>
  <c r="D25" i="10"/>
  <c r="E69" i="22"/>
  <c r="AN20" i="6" s="1"/>
  <c r="G37" i="6"/>
  <c r="F47" i="10" s="1"/>
  <c r="F51" i="10" s="1"/>
  <c r="G44" i="31"/>
  <c r="G57" i="31" s="1"/>
  <c r="G60" i="31" s="1"/>
  <c r="G68" i="31" s="1"/>
  <c r="G27" i="6"/>
  <c r="H65" i="31"/>
  <c r="H67" i="31" s="1"/>
  <c r="H39" i="31"/>
  <c r="H56" i="31" s="1"/>
  <c r="F857" i="14"/>
  <c r="K36" i="30"/>
  <c r="J58" i="30"/>
  <c r="D69" i="21"/>
  <c r="AM21" i="6" s="1"/>
  <c r="C857" i="14"/>
  <c r="F810" i="14"/>
  <c r="C810" i="14"/>
  <c r="D810" i="14" s="1"/>
  <c r="J19" i="1"/>
  <c r="F785" i="14"/>
  <c r="I56" i="9"/>
  <c r="I44" i="9"/>
  <c r="I57" i="9" s="1"/>
  <c r="F44" i="21"/>
  <c r="F57" i="21" s="1"/>
  <c r="F60" i="21" s="1"/>
  <c r="F68" i="21" s="1"/>
  <c r="F44" i="22"/>
  <c r="F57" i="22" s="1"/>
  <c r="F60" i="22" s="1"/>
  <c r="F68" i="22" s="1"/>
  <c r="H44" i="1"/>
  <c r="H57" i="1" s="1"/>
  <c r="H60" i="1" s="1"/>
  <c r="H68" i="1" s="1"/>
  <c r="F39" i="6"/>
  <c r="F41" i="6" s="1"/>
  <c r="E60" i="21"/>
  <c r="E68" i="21" s="1"/>
  <c r="I39" i="1"/>
  <c r="I56" i="1" s="1"/>
  <c r="I65" i="1"/>
  <c r="I67" i="1" s="1"/>
  <c r="G39" i="21"/>
  <c r="G65" i="21"/>
  <c r="G67" i="21" s="1"/>
  <c r="I20" i="22"/>
  <c r="F615" i="14"/>
  <c r="F673" i="14"/>
  <c r="I20" i="21"/>
  <c r="G39" i="22"/>
  <c r="G65" i="22"/>
  <c r="G67" i="22" s="1"/>
  <c r="H21" i="22"/>
  <c r="H22" i="22" s="1"/>
  <c r="H21" i="21"/>
  <c r="H22" i="21" s="1"/>
  <c r="I19" i="21"/>
  <c r="B676" i="14"/>
  <c r="E676" i="14" s="1"/>
  <c r="F511" i="14"/>
  <c r="J20" i="9" s="1"/>
  <c r="E328" i="14"/>
  <c r="B329" i="14"/>
  <c r="L47" i="21"/>
  <c r="M36" i="21"/>
  <c r="N58" i="8"/>
  <c r="B331" i="14"/>
  <c r="O47" i="8"/>
  <c r="C251" i="14"/>
  <c r="D251" i="14" s="1"/>
  <c r="E252" i="14" s="1"/>
  <c r="P36" i="8"/>
  <c r="F251" i="14"/>
  <c r="E597" i="14"/>
  <c r="F597" i="14" s="1"/>
  <c r="B619" i="14" s="1"/>
  <c r="C619" i="14" s="1"/>
  <c r="C675" i="14"/>
  <c r="F10" i="10"/>
  <c r="E20" i="10"/>
  <c r="E22" i="10" s="1"/>
  <c r="E618" i="14"/>
  <c r="M47" i="22"/>
  <c r="L58" i="22"/>
  <c r="J21" i="8"/>
  <c r="J22" i="8" s="1"/>
  <c r="I65" i="8"/>
  <c r="I67" i="8" s="1"/>
  <c r="I39" i="8"/>
  <c r="I56" i="8" s="1"/>
  <c r="K19" i="8"/>
  <c r="H44" i="8"/>
  <c r="H57" i="8" s="1"/>
  <c r="H60" i="8" s="1"/>
  <c r="H68" i="8" s="1"/>
  <c r="E53" i="10"/>
  <c r="E55" i="10" s="1"/>
  <c r="E57" i="10" s="1"/>
  <c r="F327" i="14"/>
  <c r="L20" i="8"/>
  <c r="C513" i="14"/>
  <c r="C654" i="14"/>
  <c r="D654" i="14" s="1"/>
  <c r="E655" i="14" s="1"/>
  <c r="F655" i="14" s="1"/>
  <c r="C139" i="14"/>
  <c r="L47" i="9"/>
  <c r="B514" i="14"/>
  <c r="E514" i="14" s="1"/>
  <c r="C443" i="14"/>
  <c r="D443" i="14" s="1"/>
  <c r="E444" i="14" s="1"/>
  <c r="M36" i="9"/>
  <c r="F443" i="14"/>
  <c r="K58" i="9"/>
  <c r="B270" i="14"/>
  <c r="B272" i="14" s="1"/>
  <c r="Q36" i="1"/>
  <c r="F58" i="14"/>
  <c r="B140" i="14"/>
  <c r="E140" i="14" s="1"/>
  <c r="P47" i="1"/>
  <c r="O58" i="1"/>
  <c r="D58" i="14"/>
  <c r="E59" i="14" s="1"/>
  <c r="C59" i="14" s="1"/>
  <c r="F135" i="14" l="1"/>
  <c r="F136" i="14" s="1"/>
  <c r="F137" i="14" s="1"/>
  <c r="C331" i="14"/>
  <c r="G39" i="6"/>
  <c r="G41" i="6" s="1"/>
  <c r="G69" i="31"/>
  <c r="AT24" i="6" s="1"/>
  <c r="F513" i="14"/>
  <c r="K20" i="9" s="1"/>
  <c r="F12" i="10"/>
  <c r="F16" i="10" s="1"/>
  <c r="F18" i="10" s="1"/>
  <c r="F20" i="10" s="1"/>
  <c r="F22" i="10" s="1"/>
  <c r="N36" i="22"/>
  <c r="I44" i="1"/>
  <c r="I57" i="1" s="1"/>
  <c r="I60" i="1" s="1"/>
  <c r="I68" i="1" s="1"/>
  <c r="J21" i="1"/>
  <c r="J22" i="1" s="1"/>
  <c r="J39" i="1" s="1"/>
  <c r="J56" i="1" s="1"/>
  <c r="B828" i="14"/>
  <c r="I47" i="31"/>
  <c r="H44" i="31"/>
  <c r="H57" i="31" s="1"/>
  <c r="H60" i="31" s="1"/>
  <c r="H68" i="31" s="1"/>
  <c r="B875" i="14"/>
  <c r="E875" i="14" s="1"/>
  <c r="K47" i="30"/>
  <c r="D857" i="14"/>
  <c r="E811" i="14"/>
  <c r="J36" i="31" s="1"/>
  <c r="I60" i="9"/>
  <c r="I68" i="9" s="1"/>
  <c r="E69" i="21"/>
  <c r="AN21" i="6" s="1"/>
  <c r="H69" i="1"/>
  <c r="H17" i="6" s="1"/>
  <c r="M20" i="1"/>
  <c r="L19" i="1"/>
  <c r="K39" i="1"/>
  <c r="K65" i="1"/>
  <c r="K67" i="1" s="1"/>
  <c r="I21" i="21"/>
  <c r="I22" i="21" s="1"/>
  <c r="G56" i="22"/>
  <c r="G44" i="22"/>
  <c r="G57" i="22" s="1"/>
  <c r="J20" i="21"/>
  <c r="F674" i="14"/>
  <c r="K20" i="21" s="1"/>
  <c r="I19" i="22"/>
  <c r="F69" i="21"/>
  <c r="AO21" i="6" s="1"/>
  <c r="G56" i="21"/>
  <c r="G44" i="21"/>
  <c r="G57" i="21" s="1"/>
  <c r="H65" i="21"/>
  <c r="H67" i="21" s="1"/>
  <c r="H39" i="21"/>
  <c r="H39" i="22"/>
  <c r="H56" i="22" s="1"/>
  <c r="H65" i="22"/>
  <c r="H67" i="22" s="1"/>
  <c r="J19" i="21"/>
  <c r="J20" i="22"/>
  <c r="F616" i="14"/>
  <c r="F69" i="22"/>
  <c r="AO20" i="6" s="1"/>
  <c r="B677" i="14"/>
  <c r="E677" i="14" s="1"/>
  <c r="E331" i="14"/>
  <c r="L58" i="21"/>
  <c r="N36" i="21"/>
  <c r="M47" i="21"/>
  <c r="C676" i="14"/>
  <c r="B332" i="14"/>
  <c r="E332" i="14" s="1"/>
  <c r="P47" i="8"/>
  <c r="C252" i="14"/>
  <c r="D252" i="14" s="1"/>
  <c r="E253" i="14" s="1"/>
  <c r="Q36" i="8"/>
  <c r="F252" i="14"/>
  <c r="O58" i="8"/>
  <c r="C597" i="14"/>
  <c r="D597" i="14" s="1"/>
  <c r="E598" i="14" s="1"/>
  <c r="F598" i="14" s="1"/>
  <c r="B620" i="14" s="1"/>
  <c r="E619" i="14"/>
  <c r="N47" i="22"/>
  <c r="M58" i="22"/>
  <c r="I44" i="8"/>
  <c r="I57" i="8" s="1"/>
  <c r="I60" i="8" s="1"/>
  <c r="I68" i="8" s="1"/>
  <c r="L19" i="8"/>
  <c r="H35" i="6"/>
  <c r="J39" i="8"/>
  <c r="J56" i="8" s="1"/>
  <c r="J65" i="8"/>
  <c r="J67" i="8" s="1"/>
  <c r="H69" i="8"/>
  <c r="H18" i="6" s="1"/>
  <c r="M20" i="8"/>
  <c r="F328" i="14"/>
  <c r="F329" i="14" s="1"/>
  <c r="F45" i="10"/>
  <c r="E59" i="10"/>
  <c r="E60" i="10" s="1"/>
  <c r="K21" i="8"/>
  <c r="K22" i="8" s="1"/>
  <c r="C655" i="14"/>
  <c r="C514" i="14"/>
  <c r="B515" i="14"/>
  <c r="E515" i="14" s="1"/>
  <c r="M47" i="9"/>
  <c r="C444" i="14"/>
  <c r="D444" i="14" s="1"/>
  <c r="E447" i="14" s="1"/>
  <c r="F444" i="14"/>
  <c r="N36" i="9"/>
  <c r="L58" i="9"/>
  <c r="C140" i="14"/>
  <c r="R36" i="1"/>
  <c r="F59" i="14"/>
  <c r="J19" i="9"/>
  <c r="D59" i="14"/>
  <c r="E60" i="14" s="1"/>
  <c r="C60" i="14" s="1"/>
  <c r="P58" i="1"/>
  <c r="B141" i="14"/>
  <c r="Q47" i="1"/>
  <c r="B274" i="14"/>
  <c r="B278" i="14" s="1"/>
  <c r="F514" i="14" l="1"/>
  <c r="L20" i="9" s="1"/>
  <c r="H34" i="6"/>
  <c r="H37" i="6" s="1"/>
  <c r="G47" i="10" s="1"/>
  <c r="G51" i="10" s="1"/>
  <c r="I34" i="6"/>
  <c r="I69" i="1"/>
  <c r="I17" i="6" s="1"/>
  <c r="J65" i="1"/>
  <c r="J67" i="1" s="1"/>
  <c r="H27" i="6"/>
  <c r="G12" i="10" s="1"/>
  <c r="G16" i="10" s="1"/>
  <c r="H69" i="31"/>
  <c r="AU24" i="6" s="1"/>
  <c r="E828" i="14"/>
  <c r="F828" i="14" s="1"/>
  <c r="I20" i="31" s="1"/>
  <c r="C828" i="14"/>
  <c r="I58" i="31"/>
  <c r="K58" i="30"/>
  <c r="F811" i="14"/>
  <c r="C811" i="14"/>
  <c r="E141" i="14"/>
  <c r="I36" i="6"/>
  <c r="I69" i="9"/>
  <c r="I19" i="6" s="1"/>
  <c r="J44" i="8"/>
  <c r="J57" i="8" s="1"/>
  <c r="J60" i="8" s="1"/>
  <c r="J68" i="8" s="1"/>
  <c r="G60" i="21"/>
  <c r="G68" i="21" s="1"/>
  <c r="G60" i="22"/>
  <c r="G68" i="22" s="1"/>
  <c r="H44" i="22"/>
  <c r="H57" i="22" s="1"/>
  <c r="H60" i="22" s="1"/>
  <c r="H68" i="22" s="1"/>
  <c r="L21" i="1"/>
  <c r="L22" i="1" s="1"/>
  <c r="F139" i="14"/>
  <c r="N20" i="1"/>
  <c r="M19" i="1"/>
  <c r="F675" i="14"/>
  <c r="F676" i="14" s="1"/>
  <c r="J44" i="1"/>
  <c r="J57" i="1" s="1"/>
  <c r="J60" i="1" s="1"/>
  <c r="J68" i="1" s="1"/>
  <c r="K56" i="1"/>
  <c r="K44" i="1"/>
  <c r="K57" i="1" s="1"/>
  <c r="F24" i="10"/>
  <c r="G10" i="10"/>
  <c r="J19" i="22"/>
  <c r="I21" i="22"/>
  <c r="I22" i="22" s="1"/>
  <c r="K19" i="21"/>
  <c r="K20" i="22"/>
  <c r="F617" i="14"/>
  <c r="J21" i="21"/>
  <c r="J22" i="21" s="1"/>
  <c r="H56" i="21"/>
  <c r="H44" i="21"/>
  <c r="H57" i="21" s="1"/>
  <c r="L19" i="21"/>
  <c r="I39" i="21"/>
  <c r="I56" i="21" s="1"/>
  <c r="I65" i="21"/>
  <c r="I67" i="21" s="1"/>
  <c r="C620" i="14"/>
  <c r="B621" i="14"/>
  <c r="O36" i="22"/>
  <c r="N47" i="21"/>
  <c r="M58" i="21"/>
  <c r="C332" i="14"/>
  <c r="B333" i="14"/>
  <c r="E333" i="14" s="1"/>
  <c r="Q47" i="8"/>
  <c r="C253" i="14"/>
  <c r="D253" i="14" s="1"/>
  <c r="E255" i="14" s="1"/>
  <c r="R36" i="8"/>
  <c r="F253" i="14"/>
  <c r="P58" i="8"/>
  <c r="C598" i="14"/>
  <c r="O47" i="22"/>
  <c r="N58" i="22"/>
  <c r="I35" i="6"/>
  <c r="F331" i="14"/>
  <c r="N20" i="8"/>
  <c r="I69" i="8"/>
  <c r="I18" i="6" s="1"/>
  <c r="K39" i="8"/>
  <c r="K56" i="8" s="1"/>
  <c r="K65" i="8"/>
  <c r="K67" i="8" s="1"/>
  <c r="F53" i="10"/>
  <c r="F55" i="10" s="1"/>
  <c r="F57" i="10" s="1"/>
  <c r="M19" i="8"/>
  <c r="L21" i="8"/>
  <c r="L22" i="8" s="1"/>
  <c r="D655" i="14"/>
  <c r="E656" i="14" s="1"/>
  <c r="F656" i="14" s="1"/>
  <c r="C515" i="14"/>
  <c r="B516" i="14"/>
  <c r="B517" i="14" s="1"/>
  <c r="N47" i="9"/>
  <c r="M58" i="9"/>
  <c r="C447" i="14"/>
  <c r="D447" i="14" s="1"/>
  <c r="E448" i="14" s="1"/>
  <c r="O36" i="9"/>
  <c r="F447" i="14"/>
  <c r="K19" i="9"/>
  <c r="S36" i="1"/>
  <c r="F60" i="14"/>
  <c r="J21" i="9"/>
  <c r="J22" i="9" s="1"/>
  <c r="C141" i="14"/>
  <c r="B279" i="14"/>
  <c r="Q58" i="1"/>
  <c r="D60" i="14"/>
  <c r="E62" i="14" s="1"/>
  <c r="R47" i="1"/>
  <c r="B142" i="14"/>
  <c r="F515" i="14" l="1"/>
  <c r="M20" i="9" s="1"/>
  <c r="F25" i="10"/>
  <c r="I37" i="6"/>
  <c r="H47" i="10" s="1"/>
  <c r="H51" i="10" s="1"/>
  <c r="K44" i="8"/>
  <c r="K57" i="8" s="1"/>
  <c r="K60" i="8" s="1"/>
  <c r="K68" i="8" s="1"/>
  <c r="H39" i="6"/>
  <c r="H41" i="6" s="1"/>
  <c r="I27" i="6"/>
  <c r="J34" i="6"/>
  <c r="B829" i="14"/>
  <c r="C829" i="14" s="1"/>
  <c r="J47" i="31"/>
  <c r="J19" i="31"/>
  <c r="I21" i="31"/>
  <c r="I22" i="31" s="1"/>
  <c r="G69" i="22"/>
  <c r="AP20" i="6" s="1"/>
  <c r="J69" i="1"/>
  <c r="J17" i="6" s="1"/>
  <c r="D811" i="14"/>
  <c r="E812" i="14" s="1"/>
  <c r="E142" i="14"/>
  <c r="G18" i="10"/>
  <c r="G20" i="10" s="1"/>
  <c r="G22" i="10" s="1"/>
  <c r="G23" i="10" s="1"/>
  <c r="H10" i="10" s="1"/>
  <c r="H69" i="22"/>
  <c r="AQ20" i="6" s="1"/>
  <c r="G69" i="21"/>
  <c r="AP21" i="6" s="1"/>
  <c r="L20" i="21"/>
  <c r="M19" i="21" s="1"/>
  <c r="K34" i="6"/>
  <c r="M21" i="1"/>
  <c r="M22" i="1" s="1"/>
  <c r="N19" i="1"/>
  <c r="F140" i="14"/>
  <c r="O20" i="1"/>
  <c r="L39" i="1"/>
  <c r="L65" i="1"/>
  <c r="L67" i="1" s="1"/>
  <c r="H60" i="21"/>
  <c r="H68" i="21" s="1"/>
  <c r="K60" i="1"/>
  <c r="K68" i="1" s="1"/>
  <c r="I44" i="21"/>
  <c r="I57" i="21" s="1"/>
  <c r="I60" i="21" s="1"/>
  <c r="I68" i="21" s="1"/>
  <c r="J65" i="21"/>
  <c r="J67" i="21" s="1"/>
  <c r="J39" i="21"/>
  <c r="K19" i="22"/>
  <c r="K21" i="21"/>
  <c r="K22" i="21" s="1"/>
  <c r="I39" i="22"/>
  <c r="I56" i="22" s="1"/>
  <c r="I65" i="22"/>
  <c r="I67" i="22" s="1"/>
  <c r="L20" i="22"/>
  <c r="F618" i="14"/>
  <c r="J21" i="22"/>
  <c r="J22" i="22" s="1"/>
  <c r="B678" i="14"/>
  <c r="E678" i="14" s="1"/>
  <c r="O36" i="21"/>
  <c r="C677" i="14"/>
  <c r="N58" i="21"/>
  <c r="F677" i="14"/>
  <c r="N20" i="21" s="1"/>
  <c r="M20" i="21"/>
  <c r="C333" i="14"/>
  <c r="R47" i="8"/>
  <c r="B334" i="14"/>
  <c r="E334" i="14" s="1"/>
  <c r="C255" i="14"/>
  <c r="F255" i="14"/>
  <c r="S36" i="8"/>
  <c r="E257" i="14"/>
  <c r="D598" i="14"/>
  <c r="Q58" i="8"/>
  <c r="E620" i="14"/>
  <c r="O58" i="22"/>
  <c r="L65" i="8"/>
  <c r="L67" i="8" s="1"/>
  <c r="L39" i="8"/>
  <c r="L56" i="8" s="1"/>
  <c r="M21" i="8"/>
  <c r="M22" i="8" s="1"/>
  <c r="N19" i="8"/>
  <c r="J35" i="6"/>
  <c r="F59" i="10"/>
  <c r="F60" i="10" s="1"/>
  <c r="G45" i="10"/>
  <c r="G53" i="10" s="1"/>
  <c r="J69" i="8"/>
  <c r="J18" i="6" s="1"/>
  <c r="O20" i="8"/>
  <c r="F332" i="14"/>
  <c r="C656" i="14"/>
  <c r="B519" i="14"/>
  <c r="E519" i="14" s="1"/>
  <c r="O47" i="9"/>
  <c r="C448" i="14"/>
  <c r="D448" i="14" s="1"/>
  <c r="E449" i="14" s="1"/>
  <c r="F448" i="14"/>
  <c r="P36" i="9"/>
  <c r="E516" i="14"/>
  <c r="C516" i="14"/>
  <c r="N58" i="9"/>
  <c r="F62" i="14"/>
  <c r="T36" i="1"/>
  <c r="E64" i="14"/>
  <c r="L19" i="9"/>
  <c r="B280" i="14"/>
  <c r="J65" i="9"/>
  <c r="J67" i="9" s="1"/>
  <c r="J39" i="9"/>
  <c r="J56" i="9" s="1"/>
  <c r="B143" i="14"/>
  <c r="S47" i="1"/>
  <c r="R58" i="1"/>
  <c r="K21" i="9"/>
  <c r="K22" i="9" s="1"/>
  <c r="C62" i="14"/>
  <c r="C142" i="14"/>
  <c r="E829" i="14" l="1"/>
  <c r="F829" i="14" s="1"/>
  <c r="J20" i="31" s="1"/>
  <c r="C519" i="14"/>
  <c r="B679" i="14"/>
  <c r="F516" i="14"/>
  <c r="F517" i="14" s="1"/>
  <c r="I39" i="6"/>
  <c r="I41" i="6" s="1"/>
  <c r="H12" i="10"/>
  <c r="H16" i="10" s="1"/>
  <c r="H18" i="10" s="1"/>
  <c r="H20" i="10" s="1"/>
  <c r="H22" i="10" s="1"/>
  <c r="H69" i="21"/>
  <c r="AQ21" i="6" s="1"/>
  <c r="I44" i="22"/>
  <c r="I57" i="22" s="1"/>
  <c r="I60" i="22" s="1"/>
  <c r="I68" i="22" s="1"/>
  <c r="F812" i="14"/>
  <c r="K36" i="31"/>
  <c r="I65" i="31"/>
  <c r="I67" i="31" s="1"/>
  <c r="I39" i="31"/>
  <c r="I56" i="31" s="1"/>
  <c r="J21" i="31"/>
  <c r="J22" i="31" s="1"/>
  <c r="J58" i="31"/>
  <c r="K19" i="31"/>
  <c r="C812" i="14"/>
  <c r="D812" i="14" s="1"/>
  <c r="G24" i="10"/>
  <c r="E143" i="14"/>
  <c r="L21" i="21"/>
  <c r="L22" i="21" s="1"/>
  <c r="L65" i="21" s="1"/>
  <c r="L67" i="21" s="1"/>
  <c r="L56" i="1"/>
  <c r="L44" i="1"/>
  <c r="L57" i="1" s="1"/>
  <c r="P20" i="1"/>
  <c r="F141" i="14"/>
  <c r="M65" i="1"/>
  <c r="M67" i="1" s="1"/>
  <c r="M39" i="1"/>
  <c r="O19" i="1"/>
  <c r="N21" i="1"/>
  <c r="N22" i="1" s="1"/>
  <c r="K69" i="1"/>
  <c r="K17" i="6" s="1"/>
  <c r="I69" i="21"/>
  <c r="AR21" i="6" s="1"/>
  <c r="L19" i="22"/>
  <c r="K21" i="22"/>
  <c r="K22" i="22" s="1"/>
  <c r="J56" i="21"/>
  <c r="J44" i="21"/>
  <c r="J57" i="21" s="1"/>
  <c r="J39" i="22"/>
  <c r="J56" i="22" s="1"/>
  <c r="J65" i="22"/>
  <c r="J67" i="22" s="1"/>
  <c r="M20" i="22"/>
  <c r="F619" i="14"/>
  <c r="N20" i="22" s="1"/>
  <c r="K65" i="21"/>
  <c r="K67" i="21" s="1"/>
  <c r="K39" i="21"/>
  <c r="K56" i="21" s="1"/>
  <c r="C334" i="14"/>
  <c r="O47" i="21"/>
  <c r="N19" i="21"/>
  <c r="M21" i="21"/>
  <c r="M22" i="21" s="1"/>
  <c r="O19" i="21"/>
  <c r="D255" i="14"/>
  <c r="I6" i="19"/>
  <c r="J6" i="19" s="1"/>
  <c r="K20" i="19" s="1"/>
  <c r="R58" i="8"/>
  <c r="B336" i="14"/>
  <c r="E336" i="14" s="1"/>
  <c r="F257" i="14"/>
  <c r="S47" i="8"/>
  <c r="K35" i="6"/>
  <c r="O19" i="8"/>
  <c r="G55" i="10"/>
  <c r="G57" i="10" s="1"/>
  <c r="G58" i="10" s="1"/>
  <c r="H45" i="10" s="1"/>
  <c r="G59" i="10"/>
  <c r="N21" i="8"/>
  <c r="N22" i="8" s="1"/>
  <c r="M39" i="8"/>
  <c r="M56" i="8" s="1"/>
  <c r="M65" i="8"/>
  <c r="M67" i="8" s="1"/>
  <c r="L44" i="8"/>
  <c r="L57" i="8" s="1"/>
  <c r="L60" i="8" s="1"/>
  <c r="L68" i="8" s="1"/>
  <c r="F333" i="14"/>
  <c r="P20" i="8"/>
  <c r="K69" i="8"/>
  <c r="K18" i="6" s="1"/>
  <c r="C143" i="14"/>
  <c r="D656" i="14"/>
  <c r="C449" i="14"/>
  <c r="Q36" i="9"/>
  <c r="F449" i="14"/>
  <c r="B520" i="14"/>
  <c r="E520" i="14" s="1"/>
  <c r="P47" i="9"/>
  <c r="O58" i="9"/>
  <c r="D62" i="14"/>
  <c r="I6" i="17"/>
  <c r="K65" i="9"/>
  <c r="K67" i="9" s="1"/>
  <c r="K39" i="9"/>
  <c r="K56" i="9" s="1"/>
  <c r="M19" i="9"/>
  <c r="S58" i="1"/>
  <c r="B281" i="14"/>
  <c r="L21" i="9"/>
  <c r="L22" i="9" s="1"/>
  <c r="J44" i="9"/>
  <c r="J57" i="9" s="1"/>
  <c r="J60" i="9" s="1"/>
  <c r="J68" i="9" s="1"/>
  <c r="F64" i="14"/>
  <c r="B145" i="14"/>
  <c r="T47" i="1"/>
  <c r="N20" i="9" l="1"/>
  <c r="F519" i="14"/>
  <c r="F520" i="14" s="1"/>
  <c r="J26" i="19"/>
  <c r="I26" i="19"/>
  <c r="G25" i="10"/>
  <c r="I69" i="22"/>
  <c r="AR20" i="6" s="1"/>
  <c r="I44" i="31"/>
  <c r="I57" i="31" s="1"/>
  <c r="I60" i="31" s="1"/>
  <c r="I68" i="31" s="1"/>
  <c r="J44" i="22"/>
  <c r="J57" i="22" s="1"/>
  <c r="J60" i="22" s="1"/>
  <c r="J68" i="22" s="1"/>
  <c r="L39" i="21"/>
  <c r="L56" i="21" s="1"/>
  <c r="J65" i="31"/>
  <c r="J67" i="31" s="1"/>
  <c r="J39" i="31"/>
  <c r="J56" i="31" s="1"/>
  <c r="B830" i="14"/>
  <c r="K47" i="31"/>
  <c r="M44" i="8"/>
  <c r="M57" i="8" s="1"/>
  <c r="M60" i="8" s="1"/>
  <c r="M68" i="8" s="1"/>
  <c r="K44" i="21"/>
  <c r="K57" i="21" s="1"/>
  <c r="K60" i="21" s="1"/>
  <c r="K68" i="21" s="1"/>
  <c r="F620" i="14"/>
  <c r="F621" i="14" s="1"/>
  <c r="N19" i="22"/>
  <c r="J60" i="21"/>
  <c r="J68" i="21" s="1"/>
  <c r="M56" i="1"/>
  <c r="M44" i="1"/>
  <c r="M57" i="1" s="1"/>
  <c r="Q20" i="1"/>
  <c r="F142" i="14"/>
  <c r="L60" i="1"/>
  <c r="L68" i="1" s="1"/>
  <c r="N65" i="1"/>
  <c r="N67" i="1" s="1"/>
  <c r="N39" i="1"/>
  <c r="O21" i="1"/>
  <c r="O22" i="1" s="1"/>
  <c r="P19" i="1"/>
  <c r="L21" i="22"/>
  <c r="L22" i="22" s="1"/>
  <c r="M19" i="22"/>
  <c r="K65" i="22"/>
  <c r="K67" i="22" s="1"/>
  <c r="K39" i="22"/>
  <c r="K56" i="22" s="1"/>
  <c r="H24" i="10"/>
  <c r="H25" i="10" s="1"/>
  <c r="I10" i="10"/>
  <c r="F678" i="14"/>
  <c r="C678" i="14"/>
  <c r="O58" i="21"/>
  <c r="L44" i="21"/>
  <c r="L57" i="21" s="1"/>
  <c r="L60" i="21" s="1"/>
  <c r="L68" i="21" s="1"/>
  <c r="M65" i="21"/>
  <c r="M67" i="21" s="1"/>
  <c r="M39" i="21"/>
  <c r="M56" i="21" s="1"/>
  <c r="N21" i="21"/>
  <c r="N22" i="21" s="1"/>
  <c r="C336" i="14"/>
  <c r="E6" i="19" s="1"/>
  <c r="F6" i="19" s="1"/>
  <c r="G6" i="19" s="1"/>
  <c r="S58" i="8"/>
  <c r="C256" i="14"/>
  <c r="K6" i="19"/>
  <c r="L69" i="8"/>
  <c r="L18" i="6" s="1"/>
  <c r="P19" i="8"/>
  <c r="N65" i="8"/>
  <c r="N67" i="8" s="1"/>
  <c r="N39" i="8"/>
  <c r="N56" i="8" s="1"/>
  <c r="G60" i="10"/>
  <c r="Q20" i="8"/>
  <c r="F334" i="14"/>
  <c r="L35" i="6"/>
  <c r="H53" i="10"/>
  <c r="H55" i="10" s="1"/>
  <c r="H57" i="10" s="1"/>
  <c r="O21" i="8"/>
  <c r="O22" i="8" s="1"/>
  <c r="J36" i="6"/>
  <c r="J37" i="6" s="1"/>
  <c r="I47" i="10" s="1"/>
  <c r="I51" i="10" s="1"/>
  <c r="B521" i="14"/>
  <c r="E521" i="14" s="1"/>
  <c r="Q47" i="9"/>
  <c r="D449" i="14"/>
  <c r="E450" i="14" s="1"/>
  <c r="P58" i="9"/>
  <c r="C520" i="14"/>
  <c r="K44" i="9"/>
  <c r="K57" i="9" s="1"/>
  <c r="K60" i="9" s="1"/>
  <c r="K68" i="9" s="1"/>
  <c r="E145" i="14"/>
  <c r="B282" i="14"/>
  <c r="M21" i="9"/>
  <c r="M22" i="9" s="1"/>
  <c r="C145" i="14"/>
  <c r="J69" i="9"/>
  <c r="J19" i="6" s="1"/>
  <c r="J27" i="6" s="1"/>
  <c r="T58" i="1"/>
  <c r="N19" i="9"/>
  <c r="L65" i="9"/>
  <c r="L67" i="9" s="1"/>
  <c r="L39" i="9"/>
  <c r="L56" i="9" s="1"/>
  <c r="J6" i="17"/>
  <c r="K19" i="17" s="1"/>
  <c r="O20" i="9" l="1"/>
  <c r="I25" i="17"/>
  <c r="J25" i="17"/>
  <c r="K26" i="19"/>
  <c r="I69" i="31"/>
  <c r="AV24" i="6" s="1"/>
  <c r="M69" i="8"/>
  <c r="M18" i="6" s="1"/>
  <c r="J69" i="22"/>
  <c r="AS20" i="6" s="1"/>
  <c r="C830" i="14"/>
  <c r="B831" i="14"/>
  <c r="E830" i="14"/>
  <c r="F830" i="14" s="1"/>
  <c r="K58" i="31"/>
  <c r="J44" i="31"/>
  <c r="J57" i="31" s="1"/>
  <c r="J60" i="31" s="1"/>
  <c r="J68" i="31" s="1"/>
  <c r="O20" i="22"/>
  <c r="N21" i="22"/>
  <c r="N22" i="22" s="1"/>
  <c r="N65" i="22" s="1"/>
  <c r="N67" i="22" s="1"/>
  <c r="J69" i="21"/>
  <c r="AS21" i="6" s="1"/>
  <c r="K69" i="21"/>
  <c r="AT21" i="6" s="1"/>
  <c r="M60" i="1"/>
  <c r="M68" i="1" s="1"/>
  <c r="P21" i="1"/>
  <c r="P22" i="1" s="1"/>
  <c r="O39" i="1"/>
  <c r="O65" i="1"/>
  <c r="O67" i="1" s="1"/>
  <c r="L69" i="1"/>
  <c r="L17" i="6" s="1"/>
  <c r="Q19" i="1"/>
  <c r="L34" i="6"/>
  <c r="N56" i="1"/>
  <c r="N44" i="1"/>
  <c r="N57" i="1" s="1"/>
  <c r="R20" i="1"/>
  <c r="F143" i="14"/>
  <c r="M35" i="6"/>
  <c r="K44" i="22"/>
  <c r="K57" i="22" s="1"/>
  <c r="K60" i="22" s="1"/>
  <c r="K68" i="22" s="1"/>
  <c r="M21" i="22"/>
  <c r="M22" i="22" s="1"/>
  <c r="L65" i="22"/>
  <c r="L67" i="22" s="1"/>
  <c r="L39" i="22"/>
  <c r="L56" i="22" s="1"/>
  <c r="O20" i="21"/>
  <c r="F679" i="14"/>
  <c r="L69" i="21"/>
  <c r="AU21" i="6" s="1"/>
  <c r="N39" i="21"/>
  <c r="N56" i="21" s="1"/>
  <c r="N65" i="21"/>
  <c r="N67" i="21" s="1"/>
  <c r="B337" i="14"/>
  <c r="B338" i="14" s="1"/>
  <c r="M44" i="21"/>
  <c r="M57" i="21" s="1"/>
  <c r="M60" i="21" s="1"/>
  <c r="M68" i="21" s="1"/>
  <c r="D256" i="14"/>
  <c r="D257" i="14" s="1"/>
  <c r="E259" i="14" s="1"/>
  <c r="C257" i="14"/>
  <c r="O39" i="8"/>
  <c r="O56" i="8" s="1"/>
  <c r="O65" i="8"/>
  <c r="O67" i="8" s="1"/>
  <c r="Q19" i="8"/>
  <c r="P21" i="8"/>
  <c r="P22" i="8" s="1"/>
  <c r="N44" i="8"/>
  <c r="N57" i="8" s="1"/>
  <c r="N60" i="8" s="1"/>
  <c r="N68" i="8" s="1"/>
  <c r="H59" i="10"/>
  <c r="H60" i="10" s="1"/>
  <c r="I45" i="10"/>
  <c r="R20" i="8"/>
  <c r="F336" i="14"/>
  <c r="K69" i="9"/>
  <c r="K19" i="6" s="1"/>
  <c r="K27" i="6" s="1"/>
  <c r="J12" i="10" s="1"/>
  <c r="J16" i="10" s="1"/>
  <c r="C521" i="14"/>
  <c r="F450" i="14"/>
  <c r="R36" i="9"/>
  <c r="Q58" i="9"/>
  <c r="C450" i="14"/>
  <c r="D450" i="14" s="1"/>
  <c r="E452" i="14" s="1"/>
  <c r="L44" i="9"/>
  <c r="L57" i="9" s="1"/>
  <c r="L60" i="9" s="1"/>
  <c r="L68" i="9" s="1"/>
  <c r="C63" i="14"/>
  <c r="K6" i="17"/>
  <c r="E6" i="17"/>
  <c r="M65" i="9"/>
  <c r="M67" i="9" s="1"/>
  <c r="M39" i="9"/>
  <c r="M56" i="9" s="1"/>
  <c r="B283" i="14"/>
  <c r="B284" i="14" s="1"/>
  <c r="P20" i="9"/>
  <c r="F521" i="14"/>
  <c r="K36" i="6"/>
  <c r="K37" i="6" s="1"/>
  <c r="J47" i="10" s="1"/>
  <c r="J51" i="10" s="1"/>
  <c r="N21" i="9"/>
  <c r="N22" i="9" s="1"/>
  <c r="J39" i="6"/>
  <c r="J41" i="6" s="1"/>
  <c r="I12" i="10"/>
  <c r="I16" i="10" s="1"/>
  <c r="I18" i="10" s="1"/>
  <c r="O19" i="9"/>
  <c r="K69" i="22" l="1"/>
  <c r="AT20" i="6" s="1"/>
  <c r="K25" i="17"/>
  <c r="C337" i="14"/>
  <c r="C338" i="14" s="1"/>
  <c r="O44" i="8"/>
  <c r="O57" i="8" s="1"/>
  <c r="O60" i="8" s="1"/>
  <c r="O68" i="8" s="1"/>
  <c r="N39" i="22"/>
  <c r="N44" i="22" s="1"/>
  <c r="N57" i="22" s="1"/>
  <c r="O19" i="22"/>
  <c r="N44" i="21"/>
  <c r="N57" i="21" s="1"/>
  <c r="N60" i="21" s="1"/>
  <c r="N68" i="21" s="1"/>
  <c r="J69" i="31"/>
  <c r="AW24" i="6" s="1"/>
  <c r="K20" i="31"/>
  <c r="F831" i="14"/>
  <c r="S20" i="1"/>
  <c r="M69" i="1"/>
  <c r="M17" i="6" s="1"/>
  <c r="N60" i="1"/>
  <c r="N68" i="1" s="1"/>
  <c r="M34" i="6"/>
  <c r="F145" i="14"/>
  <c r="Q21" i="1"/>
  <c r="Q22" i="1" s="1"/>
  <c r="O56" i="1"/>
  <c r="O44" i="1"/>
  <c r="O57" i="1" s="1"/>
  <c r="R19" i="1"/>
  <c r="P39" i="1"/>
  <c r="P65" i="1"/>
  <c r="P67" i="1" s="1"/>
  <c r="L44" i="22"/>
  <c r="L57" i="22" s="1"/>
  <c r="L60" i="22" s="1"/>
  <c r="L68" i="22" s="1"/>
  <c r="M39" i="22"/>
  <c r="M56" i="22" s="1"/>
  <c r="M65" i="22"/>
  <c r="M67" i="22" s="1"/>
  <c r="O21" i="21"/>
  <c r="O22" i="21" s="1"/>
  <c r="M69" i="21"/>
  <c r="AV21" i="6" s="1"/>
  <c r="L36" i="6"/>
  <c r="L37" i="6" s="1"/>
  <c r="K47" i="10" s="1"/>
  <c r="K51" i="10" s="1"/>
  <c r="E337" i="14"/>
  <c r="E338" i="14" s="1"/>
  <c r="C259" i="14"/>
  <c r="D259" i="14" s="1"/>
  <c r="E260" i="14" s="1"/>
  <c r="F260" i="14" s="1"/>
  <c r="F259" i="14"/>
  <c r="T36" i="8"/>
  <c r="N69" i="8"/>
  <c r="N18" i="6" s="1"/>
  <c r="P65" i="8"/>
  <c r="P67" i="8" s="1"/>
  <c r="P39" i="8"/>
  <c r="P56" i="8" s="1"/>
  <c r="N35" i="6"/>
  <c r="R19" i="8"/>
  <c r="Q21" i="8"/>
  <c r="Q22" i="8" s="1"/>
  <c r="I53" i="10"/>
  <c r="L69" i="9"/>
  <c r="L19" i="6" s="1"/>
  <c r="L27" i="6" s="1"/>
  <c r="K12" i="10" s="1"/>
  <c r="K16" i="10" s="1"/>
  <c r="C452" i="14"/>
  <c r="I7" i="18" s="1"/>
  <c r="S36" i="9"/>
  <c r="E454" i="14"/>
  <c r="F452" i="14"/>
  <c r="B522" i="14"/>
  <c r="R47" i="9"/>
  <c r="M44" i="9"/>
  <c r="M57" i="9" s="1"/>
  <c r="M60" i="9" s="1"/>
  <c r="M68" i="9" s="1"/>
  <c r="I24" i="10"/>
  <c r="J10" i="10"/>
  <c r="I20" i="10"/>
  <c r="I22" i="10" s="1"/>
  <c r="Q20" i="9"/>
  <c r="F6" i="17"/>
  <c r="K39" i="6"/>
  <c r="K41" i="6" s="1"/>
  <c r="O21" i="9"/>
  <c r="O22" i="9" s="1"/>
  <c r="N65" i="9"/>
  <c r="N67" i="9" s="1"/>
  <c r="N39" i="9"/>
  <c r="N56" i="9" s="1"/>
  <c r="P19" i="9"/>
  <c r="D63" i="14"/>
  <c r="D64" i="14" s="1"/>
  <c r="E66" i="14" s="1"/>
  <c r="C64" i="14"/>
  <c r="L69" i="22" l="1"/>
  <c r="AU20" i="6" s="1"/>
  <c r="N69" i="21"/>
  <c r="AW21" i="6" s="1"/>
  <c r="I25" i="10"/>
  <c r="N56" i="22"/>
  <c r="N60" i="22" s="1"/>
  <c r="N68" i="22" s="1"/>
  <c r="N69" i="1"/>
  <c r="N17" i="6" s="1"/>
  <c r="O69" i="8"/>
  <c r="O18" i="6" s="1"/>
  <c r="M44" i="22"/>
  <c r="M57" i="22" s="1"/>
  <c r="M60" i="22" s="1"/>
  <c r="M68" i="22" s="1"/>
  <c r="O21" i="22"/>
  <c r="O22" i="22" s="1"/>
  <c r="K21" i="31"/>
  <c r="K22" i="31" s="1"/>
  <c r="N34" i="6"/>
  <c r="S19" i="1"/>
  <c r="O60" i="1"/>
  <c r="O68" i="1" s="1"/>
  <c r="Q65" i="1"/>
  <c r="Q67" i="1" s="1"/>
  <c r="Q39" i="1"/>
  <c r="P56" i="1"/>
  <c r="P44" i="1"/>
  <c r="P57" i="1" s="1"/>
  <c r="R21" i="1"/>
  <c r="R22" i="1" s="1"/>
  <c r="O65" i="21"/>
  <c r="O67" i="21" s="1"/>
  <c r="O39" i="21"/>
  <c r="L39" i="6"/>
  <c r="L41" i="6" s="1"/>
  <c r="C260" i="14"/>
  <c r="D260" i="14" s="1"/>
  <c r="E261" i="14" s="1"/>
  <c r="V36" i="8" s="1"/>
  <c r="F337" i="14"/>
  <c r="F338" i="14" s="1"/>
  <c r="U36" i="8"/>
  <c r="B340" i="14"/>
  <c r="T47" i="8"/>
  <c r="U47" i="8"/>
  <c r="B341" i="14"/>
  <c r="E341" i="14" s="1"/>
  <c r="O35" i="6"/>
  <c r="Q65" i="8"/>
  <c r="Q67" i="8" s="1"/>
  <c r="Q39" i="8"/>
  <c r="Q56" i="8" s="1"/>
  <c r="P44" i="8"/>
  <c r="P57" i="8" s="1"/>
  <c r="P60" i="8" s="1"/>
  <c r="P68" i="8" s="1"/>
  <c r="I59" i="10"/>
  <c r="I60" i="10" s="1"/>
  <c r="J45" i="10"/>
  <c r="R21" i="8"/>
  <c r="R22" i="8" s="1"/>
  <c r="I55" i="10"/>
  <c r="I57" i="10" s="1"/>
  <c r="M69" i="9"/>
  <c r="M19" i="6" s="1"/>
  <c r="M27" i="6" s="1"/>
  <c r="L12" i="10" s="1"/>
  <c r="L16" i="10" s="1"/>
  <c r="E522" i="14"/>
  <c r="F522" i="14" s="1"/>
  <c r="R20" i="9" s="1"/>
  <c r="C522" i="14"/>
  <c r="D452" i="14"/>
  <c r="C453" i="14"/>
  <c r="D453" i="14" s="1"/>
  <c r="R58" i="9"/>
  <c r="F454" i="14"/>
  <c r="B524" i="14"/>
  <c r="S47" i="9"/>
  <c r="N44" i="9"/>
  <c r="N57" i="9" s="1"/>
  <c r="N60" i="9" s="1"/>
  <c r="N68" i="9" s="1"/>
  <c r="B285" i="14"/>
  <c r="J18" i="10"/>
  <c r="J20" i="10" s="1"/>
  <c r="J22" i="10" s="1"/>
  <c r="J23" i="10" s="1"/>
  <c r="C66" i="14"/>
  <c r="M36" i="6"/>
  <c r="M37" i="6" s="1"/>
  <c r="L47" i="10" s="1"/>
  <c r="L51" i="10" s="1"/>
  <c r="U36" i="1"/>
  <c r="F66" i="14"/>
  <c r="P21" i="9"/>
  <c r="P22" i="9" s="1"/>
  <c r="O65" i="9"/>
  <c r="O67" i="9" s="1"/>
  <c r="O39" i="9"/>
  <c r="O56" i="9" s="1"/>
  <c r="G6" i="17"/>
  <c r="B146" i="14"/>
  <c r="Q19" i="9"/>
  <c r="M69" i="22" l="1"/>
  <c r="AV20" i="6" s="1"/>
  <c r="O39" i="22"/>
  <c r="O56" i="22" s="1"/>
  <c r="O65" i="22"/>
  <c r="O67" i="22" s="1"/>
  <c r="K65" i="31"/>
  <c r="K67" i="31" s="1"/>
  <c r="K39" i="31"/>
  <c r="K56" i="31" s="1"/>
  <c r="S21" i="1"/>
  <c r="S22" i="1" s="1"/>
  <c r="P34" i="6"/>
  <c r="P60" i="1"/>
  <c r="P68" i="1" s="1"/>
  <c r="R65" i="1"/>
  <c r="R67" i="1" s="1"/>
  <c r="R39" i="1"/>
  <c r="Q56" i="1"/>
  <c r="Q44" i="1"/>
  <c r="Q57" i="1" s="1"/>
  <c r="O69" i="1"/>
  <c r="O17" i="6" s="1"/>
  <c r="O34" i="6"/>
  <c r="E524" i="14"/>
  <c r="F524" i="14" s="1"/>
  <c r="E525" i="14" s="1"/>
  <c r="O56" i="21"/>
  <c r="O44" i="21"/>
  <c r="O57" i="21" s="1"/>
  <c r="F261" i="14"/>
  <c r="V47" i="8" s="1"/>
  <c r="S20" i="8"/>
  <c r="C261" i="14"/>
  <c r="D261" i="14" s="1"/>
  <c r="E262" i="14" s="1"/>
  <c r="C262" i="14" s="1"/>
  <c r="D262" i="14" s="1"/>
  <c r="E264" i="14" s="1"/>
  <c r="N69" i="22"/>
  <c r="AW20" i="6" s="1"/>
  <c r="T58" i="8"/>
  <c r="U58" i="8"/>
  <c r="E340" i="14"/>
  <c r="F340" i="14" s="1"/>
  <c r="C340" i="14"/>
  <c r="C341" i="14" s="1"/>
  <c r="P35" i="6"/>
  <c r="R39" i="8"/>
  <c r="R56" i="8" s="1"/>
  <c r="R65" i="8"/>
  <c r="R67" i="8" s="1"/>
  <c r="J53" i="10"/>
  <c r="Q44" i="8"/>
  <c r="Q57" i="8" s="1"/>
  <c r="Q60" i="8" s="1"/>
  <c r="Q68" i="8" s="1"/>
  <c r="P69" i="8"/>
  <c r="P18" i="6" s="1"/>
  <c r="N69" i="9"/>
  <c r="N19" i="6" s="1"/>
  <c r="N27" i="6" s="1"/>
  <c r="M12" i="10" s="1"/>
  <c r="M16" i="10" s="1"/>
  <c r="C454" i="14"/>
  <c r="D454" i="14"/>
  <c r="E456" i="14" s="1"/>
  <c r="S58" i="9"/>
  <c r="C524" i="14"/>
  <c r="Q21" i="9"/>
  <c r="Q22" i="9" s="1"/>
  <c r="C146" i="14"/>
  <c r="C147" i="14" s="1"/>
  <c r="E146" i="14"/>
  <c r="B147" i="14"/>
  <c r="P65" i="9"/>
  <c r="P67" i="9" s="1"/>
  <c r="P39" i="9"/>
  <c r="P56" i="9" s="1"/>
  <c r="J24" i="10"/>
  <c r="J25" i="10" s="1"/>
  <c r="K10" i="10"/>
  <c r="R19" i="9"/>
  <c r="B286" i="14"/>
  <c r="O44" i="9"/>
  <c r="O57" i="9" s="1"/>
  <c r="O60" i="9" s="1"/>
  <c r="O68" i="9" s="1"/>
  <c r="N36" i="6"/>
  <c r="N37" i="6" s="1"/>
  <c r="M47" i="10" s="1"/>
  <c r="M51" i="10" s="1"/>
  <c r="M39" i="6"/>
  <c r="M41" i="6" s="1"/>
  <c r="B149" i="14"/>
  <c r="E149" i="14" s="1"/>
  <c r="U47" i="1"/>
  <c r="D66" i="14"/>
  <c r="E67" i="14" s="1"/>
  <c r="C67" i="14" s="1"/>
  <c r="P69" i="1" l="1"/>
  <c r="P17" i="6" s="1"/>
  <c r="O44" i="22"/>
  <c r="O57" i="22" s="1"/>
  <c r="O60" i="22" s="1"/>
  <c r="O68" i="22" s="1"/>
  <c r="K44" i="31"/>
  <c r="K57" i="31" s="1"/>
  <c r="K60" i="31" s="1"/>
  <c r="K68" i="31" s="1"/>
  <c r="S65" i="1"/>
  <c r="S67" i="1" s="1"/>
  <c r="S39" i="1"/>
  <c r="Q60" i="1"/>
  <c r="Q68" i="1" s="1"/>
  <c r="R44" i="8"/>
  <c r="R57" i="8" s="1"/>
  <c r="R60" i="8" s="1"/>
  <c r="R68" i="8" s="1"/>
  <c r="B342" i="14"/>
  <c r="E342" i="14" s="1"/>
  <c r="O60" i="21"/>
  <c r="O68" i="21" s="1"/>
  <c r="R56" i="1"/>
  <c r="R44" i="1"/>
  <c r="R57" i="1" s="1"/>
  <c r="F262" i="14"/>
  <c r="W47" i="8" s="1"/>
  <c r="W36" i="8"/>
  <c r="S19" i="8"/>
  <c r="N39" i="6"/>
  <c r="N41" i="6" s="1"/>
  <c r="C264" i="14"/>
  <c r="X36" i="8"/>
  <c r="F264" i="14"/>
  <c r="E266" i="14"/>
  <c r="V58" i="8"/>
  <c r="F341" i="14"/>
  <c r="T20" i="8"/>
  <c r="Q69" i="8"/>
  <c r="Q18" i="6" s="1"/>
  <c r="J59" i="10"/>
  <c r="Q35" i="6"/>
  <c r="J55" i="10"/>
  <c r="J57" i="10" s="1"/>
  <c r="J58" i="10" s="1"/>
  <c r="O36" i="6"/>
  <c r="O37" i="6" s="1"/>
  <c r="N47" i="10" s="1"/>
  <c r="N51" i="10" s="1"/>
  <c r="C456" i="14"/>
  <c r="D456" i="14" s="1"/>
  <c r="E457" i="14" s="1"/>
  <c r="U36" i="9" s="1"/>
  <c r="E7" i="18"/>
  <c r="T36" i="9"/>
  <c r="F456" i="14"/>
  <c r="O69" i="9"/>
  <c r="O19" i="6" s="1"/>
  <c r="O27" i="6" s="1"/>
  <c r="N12" i="10" s="1"/>
  <c r="N16" i="10" s="1"/>
  <c r="F525" i="14"/>
  <c r="F526" i="14" s="1"/>
  <c r="E526" i="14"/>
  <c r="D67" i="14"/>
  <c r="E68" i="14" s="1"/>
  <c r="U58" i="1"/>
  <c r="B287" i="14"/>
  <c r="C149" i="14"/>
  <c r="V36" i="1"/>
  <c r="F67" i="14"/>
  <c r="R21" i="9"/>
  <c r="R22" i="9" s="1"/>
  <c r="K18" i="10"/>
  <c r="K20" i="10" s="1"/>
  <c r="K22" i="10" s="1"/>
  <c r="F146" i="14"/>
  <c r="E147" i="14"/>
  <c r="Q65" i="9"/>
  <c r="Q67" i="9" s="1"/>
  <c r="Q39" i="9"/>
  <c r="Q56" i="9" s="1"/>
  <c r="P44" i="9"/>
  <c r="P57" i="9" s="1"/>
  <c r="P60" i="9" s="1"/>
  <c r="P68" i="9" s="1"/>
  <c r="O69" i="22" l="1"/>
  <c r="AX20" i="6" s="1"/>
  <c r="O69" i="21"/>
  <c r="AX21" i="6" s="1"/>
  <c r="K69" i="31"/>
  <c r="AX24" i="6" s="1"/>
  <c r="J60" i="10"/>
  <c r="S56" i="1"/>
  <c r="S44" i="1"/>
  <c r="S57" i="1" s="1"/>
  <c r="F147" i="14"/>
  <c r="T20" i="1" s="1"/>
  <c r="Q69" i="1"/>
  <c r="Q17" i="6" s="1"/>
  <c r="C342" i="14"/>
  <c r="R60" i="1"/>
  <c r="R68" i="1" s="1"/>
  <c r="Q34" i="6"/>
  <c r="B343" i="14"/>
  <c r="E343" i="14" s="1"/>
  <c r="S21" i="8"/>
  <c r="S22" i="8" s="1"/>
  <c r="T19" i="8"/>
  <c r="B345" i="14"/>
  <c r="F266" i="14"/>
  <c r="X47" i="8"/>
  <c r="D264" i="14"/>
  <c r="I7" i="19"/>
  <c r="J7" i="19" s="1"/>
  <c r="K21" i="19" s="1"/>
  <c r="W58" i="8"/>
  <c r="U20" i="8"/>
  <c r="F342" i="14"/>
  <c r="R69" i="8"/>
  <c r="R18" i="6" s="1"/>
  <c r="K45" i="10"/>
  <c r="K53" i="10" s="1"/>
  <c r="R35" i="6"/>
  <c r="O39" i="6"/>
  <c r="O41" i="6" s="1"/>
  <c r="P36" i="6"/>
  <c r="P37" i="6" s="1"/>
  <c r="O47" i="10" s="1"/>
  <c r="O51" i="10" s="1"/>
  <c r="F457" i="14"/>
  <c r="U47" i="9" s="1"/>
  <c r="C457" i="14"/>
  <c r="D457" i="14" s="1"/>
  <c r="E458" i="14" s="1"/>
  <c r="V36" i="9" s="1"/>
  <c r="T47" i="9"/>
  <c r="B528" i="14"/>
  <c r="F7" i="18"/>
  <c r="E13" i="18"/>
  <c r="J7" i="18"/>
  <c r="K20" i="18" s="1"/>
  <c r="I13" i="18"/>
  <c r="B529" i="14"/>
  <c r="K24" i="10"/>
  <c r="K25" i="10" s="1"/>
  <c r="L10" i="10"/>
  <c r="R65" i="9"/>
  <c r="R67" i="9" s="1"/>
  <c r="R39" i="9"/>
  <c r="R56" i="9" s="1"/>
  <c r="B150" i="14"/>
  <c r="E150" i="14" s="1"/>
  <c r="V47" i="1"/>
  <c r="B288" i="14"/>
  <c r="W36" i="1"/>
  <c r="F68" i="14"/>
  <c r="S20" i="9"/>
  <c r="Q44" i="9"/>
  <c r="Q57" i="9" s="1"/>
  <c r="Q60" i="9" s="1"/>
  <c r="Q68" i="9" s="1"/>
  <c r="P69" i="9"/>
  <c r="P19" i="6" s="1"/>
  <c r="P27" i="6" s="1"/>
  <c r="C68" i="14"/>
  <c r="I27" i="19" l="1"/>
  <c r="J27" i="19"/>
  <c r="J23" i="18"/>
  <c r="J25" i="18" s="1"/>
  <c r="I23" i="18"/>
  <c r="R69" i="1"/>
  <c r="R17" i="6" s="1"/>
  <c r="F149" i="14"/>
  <c r="U20" i="1" s="1"/>
  <c r="S60" i="1"/>
  <c r="S68" i="1" s="1"/>
  <c r="R34" i="6"/>
  <c r="C343" i="14"/>
  <c r="C345" i="14" s="1"/>
  <c r="E7" i="19" s="1"/>
  <c r="F7" i="19" s="1"/>
  <c r="E528" i="14"/>
  <c r="F528" i="14" s="1"/>
  <c r="T20" i="9" s="1"/>
  <c r="B911" i="14"/>
  <c r="E529" i="14"/>
  <c r="S39" i="8"/>
  <c r="S56" i="8" s="1"/>
  <c r="S65" i="8"/>
  <c r="S67" i="8" s="1"/>
  <c r="C150" i="14"/>
  <c r="V20" i="8"/>
  <c r="F343" i="14"/>
  <c r="K7" i="19"/>
  <c r="C265" i="14"/>
  <c r="X58" i="8"/>
  <c r="E345" i="14"/>
  <c r="T21" i="8"/>
  <c r="T22" i="8" s="1"/>
  <c r="U19" i="8"/>
  <c r="K55" i="10"/>
  <c r="K57" i="10" s="1"/>
  <c r="L45" i="10"/>
  <c r="L53" i="10" s="1"/>
  <c r="K59" i="10"/>
  <c r="K60" i="10" s="1"/>
  <c r="F458" i="14"/>
  <c r="V47" i="9" s="1"/>
  <c r="C458" i="14"/>
  <c r="D458" i="14" s="1"/>
  <c r="E459" i="14" s="1"/>
  <c r="U58" i="9"/>
  <c r="G7" i="18"/>
  <c r="G13" i="18" s="1"/>
  <c r="F13" i="18"/>
  <c r="B525" i="14"/>
  <c r="T58" i="9"/>
  <c r="K7" i="18"/>
  <c r="K13" i="18" s="1"/>
  <c r="J13" i="18"/>
  <c r="O12" i="10"/>
  <c r="O16" i="10" s="1"/>
  <c r="P39" i="6"/>
  <c r="P41" i="6" s="1"/>
  <c r="B151" i="14"/>
  <c r="E151" i="14" s="1"/>
  <c r="W47" i="1"/>
  <c r="L18" i="10"/>
  <c r="L20" i="10" s="1"/>
  <c r="L22" i="10" s="1"/>
  <c r="D68" i="14"/>
  <c r="E70" i="14" s="1"/>
  <c r="C70" i="14" s="1"/>
  <c r="S19" i="9"/>
  <c r="B289" i="14"/>
  <c r="B292" i="14" s="1"/>
  <c r="B293" i="14" s="1"/>
  <c r="B294" i="14" s="1"/>
  <c r="B295" i="14" s="1"/>
  <c r="B296" i="14" s="1"/>
  <c r="B297" i="14" s="1"/>
  <c r="B298" i="14" s="1"/>
  <c r="B299" i="14" s="1"/>
  <c r="B300" i="14" s="1"/>
  <c r="B301" i="14" s="1"/>
  <c r="B303" i="14" s="1"/>
  <c r="V58" i="1"/>
  <c r="T19" i="1"/>
  <c r="Q36" i="6"/>
  <c r="Q37" i="6" s="1"/>
  <c r="P47" i="10" s="1"/>
  <c r="P51" i="10" s="1"/>
  <c r="R44" i="9"/>
  <c r="R57" i="9" s="1"/>
  <c r="R60" i="9" s="1"/>
  <c r="R68" i="9" s="1"/>
  <c r="Q69" i="9"/>
  <c r="Q19" i="6" s="1"/>
  <c r="Q27" i="6" s="1"/>
  <c r="K27" i="19" l="1"/>
  <c r="K23" i="18"/>
  <c r="K25" i="18" s="1"/>
  <c r="I25" i="18"/>
  <c r="B305" i="14"/>
  <c r="B307" i="14" s="1"/>
  <c r="F150" i="14"/>
  <c r="F151" i="14" s="1"/>
  <c r="S44" i="8"/>
  <c r="S57" i="8" s="1"/>
  <c r="S60" i="8" s="1"/>
  <c r="S68" i="8" s="1"/>
  <c r="E911" i="14"/>
  <c r="C911" i="14"/>
  <c r="B921" i="14"/>
  <c r="S34" i="6"/>
  <c r="S69" i="1"/>
  <c r="S17" i="6" s="1"/>
  <c r="F529" i="14"/>
  <c r="U20" i="9" s="1"/>
  <c r="C151" i="14"/>
  <c r="U21" i="8"/>
  <c r="U22" i="8" s="1"/>
  <c r="V19" i="8"/>
  <c r="T39" i="8"/>
  <c r="T56" i="8" s="1"/>
  <c r="T65" i="8"/>
  <c r="T67" i="8" s="1"/>
  <c r="D265" i="14"/>
  <c r="D266" i="14" s="1"/>
  <c r="E268" i="14" s="1"/>
  <c r="C266" i="14"/>
  <c r="W20" i="8"/>
  <c r="F345" i="14"/>
  <c r="L55" i="10"/>
  <c r="L57" i="10" s="1"/>
  <c r="M45" i="10"/>
  <c r="M53" i="10" s="1"/>
  <c r="M55" i="10" s="1"/>
  <c r="M57" i="10" s="1"/>
  <c r="L59" i="10"/>
  <c r="L60" i="10" s="1"/>
  <c r="B530" i="14"/>
  <c r="C525" i="14"/>
  <c r="C526" i="14" s="1"/>
  <c r="C528" i="14" s="1"/>
  <c r="C529" i="14" s="1"/>
  <c r="B526" i="14"/>
  <c r="F459" i="14"/>
  <c r="W36" i="9"/>
  <c r="V58" i="9"/>
  <c r="C459" i="14"/>
  <c r="D459" i="14" s="1"/>
  <c r="E460" i="14" s="1"/>
  <c r="R36" i="6"/>
  <c r="R37" i="6" s="1"/>
  <c r="Q47" i="10" s="1"/>
  <c r="Q51" i="10" s="1"/>
  <c r="T21" i="1"/>
  <c r="T22" i="1" s="1"/>
  <c r="S21" i="9"/>
  <c r="S22" i="9" s="1"/>
  <c r="F70" i="14"/>
  <c r="X36" i="1"/>
  <c r="E72" i="14"/>
  <c r="L24" i="10"/>
  <c r="L25" i="10" s="1"/>
  <c r="M10" i="10"/>
  <c r="W58" i="1"/>
  <c r="T19" i="9"/>
  <c r="P12" i="10"/>
  <c r="P16" i="10" s="1"/>
  <c r="Q39" i="6"/>
  <c r="Q41" i="6" s="1"/>
  <c r="D70" i="14"/>
  <c r="I7" i="17"/>
  <c r="U19" i="1"/>
  <c r="G7" i="19"/>
  <c r="B346" i="14"/>
  <c r="R69" i="9"/>
  <c r="R19" i="6" s="1"/>
  <c r="R27" i="6" s="1"/>
  <c r="S35" i="6" l="1"/>
  <c r="V20" i="1"/>
  <c r="V19" i="1" s="1"/>
  <c r="S69" i="8"/>
  <c r="S18" i="6" s="1"/>
  <c r="C912" i="14"/>
  <c r="C913" i="14" s="1"/>
  <c r="C914" i="14" s="1"/>
  <c r="C915" i="14" s="1"/>
  <c r="C916" i="14" s="1"/>
  <c r="C917" i="14" s="1"/>
  <c r="C918" i="14" s="1"/>
  <c r="C919" i="14" s="1"/>
  <c r="C920" i="14" s="1"/>
  <c r="F911" i="14"/>
  <c r="T44" i="8"/>
  <c r="T57" i="8" s="1"/>
  <c r="T60" i="8" s="1"/>
  <c r="T68" i="8" s="1"/>
  <c r="E530" i="14"/>
  <c r="F530" i="14" s="1"/>
  <c r="V20" i="9" s="1"/>
  <c r="M59" i="10"/>
  <c r="C530" i="14"/>
  <c r="W19" i="8"/>
  <c r="F268" i="14"/>
  <c r="Y36" i="8"/>
  <c r="E270" i="14"/>
  <c r="V21" i="8"/>
  <c r="V22" i="8" s="1"/>
  <c r="U39" i="8"/>
  <c r="U56" i="8" s="1"/>
  <c r="U65" i="8"/>
  <c r="U67" i="8" s="1"/>
  <c r="C268" i="14"/>
  <c r="N45" i="10"/>
  <c r="N53" i="10" s="1"/>
  <c r="N55" i="10" s="1"/>
  <c r="N57" i="10" s="1"/>
  <c r="M58" i="10"/>
  <c r="C460" i="14"/>
  <c r="D460" i="14" s="1"/>
  <c r="E461" i="14" s="1"/>
  <c r="X36" i="9"/>
  <c r="F460" i="14"/>
  <c r="W47" i="9"/>
  <c r="B531" i="14"/>
  <c r="Q12" i="10"/>
  <c r="Q16" i="10" s="1"/>
  <c r="R39" i="6"/>
  <c r="R41" i="6" s="1"/>
  <c r="U19" i="9"/>
  <c r="J7" i="17"/>
  <c r="K20" i="17" s="1"/>
  <c r="T21" i="9"/>
  <c r="T22" i="9" s="1"/>
  <c r="W20" i="1"/>
  <c r="S65" i="9"/>
  <c r="S67" i="9" s="1"/>
  <c r="S39" i="9"/>
  <c r="S56" i="9" s="1"/>
  <c r="T65" i="1"/>
  <c r="T67" i="1" s="1"/>
  <c r="T39" i="1"/>
  <c r="T56" i="1" s="1"/>
  <c r="C346" i="14"/>
  <c r="C347" i="14" s="1"/>
  <c r="E346" i="14"/>
  <c r="B347" i="14"/>
  <c r="U21" i="1"/>
  <c r="U22" i="1" s="1"/>
  <c r="M18" i="10"/>
  <c r="M20" i="10" s="1"/>
  <c r="M22" i="10" s="1"/>
  <c r="M23" i="10" s="1"/>
  <c r="B153" i="14"/>
  <c r="X47" i="1"/>
  <c r="F72" i="14"/>
  <c r="I26" i="17" l="1"/>
  <c r="J26" i="17"/>
  <c r="F912" i="14"/>
  <c r="C19" i="29"/>
  <c r="M60" i="10"/>
  <c r="U44" i="8"/>
  <c r="U57" i="8" s="1"/>
  <c r="U60" i="8" s="1"/>
  <c r="U68" i="8" s="1"/>
  <c r="T35" i="6"/>
  <c r="E531" i="14"/>
  <c r="F531" i="14" s="1"/>
  <c r="W20" i="9" s="1"/>
  <c r="V39" i="8"/>
  <c r="V56" i="8" s="1"/>
  <c r="V65" i="8"/>
  <c r="V67" i="8" s="1"/>
  <c r="B349" i="14"/>
  <c r="E349" i="14" s="1"/>
  <c r="Y47" i="8"/>
  <c r="F270" i="14"/>
  <c r="W21" i="8"/>
  <c r="W22" i="8" s="1"/>
  <c r="T69" i="8"/>
  <c r="T18" i="6" s="1"/>
  <c r="I8" i="19"/>
  <c r="J8" i="19" s="1"/>
  <c r="K22" i="19" s="1"/>
  <c r="D268" i="14"/>
  <c r="B532" i="14"/>
  <c r="X47" i="9"/>
  <c r="C461" i="14"/>
  <c r="D461" i="14" s="1"/>
  <c r="E462" i="14" s="1"/>
  <c r="Y36" i="9"/>
  <c r="F461" i="14"/>
  <c r="W58" i="9"/>
  <c r="C531" i="14"/>
  <c r="X58" i="1"/>
  <c r="V21" i="1"/>
  <c r="V22" i="1" s="1"/>
  <c r="O45" i="10"/>
  <c r="N59" i="10"/>
  <c r="N60" i="10" s="1"/>
  <c r="T65" i="9"/>
  <c r="T67" i="9" s="1"/>
  <c r="T39" i="9"/>
  <c r="T56" i="9" s="1"/>
  <c r="C71" i="14"/>
  <c r="K7" i="17"/>
  <c r="V19" i="9"/>
  <c r="U21" i="9"/>
  <c r="U22" i="9" s="1"/>
  <c r="T44" i="1"/>
  <c r="T57" i="1" s="1"/>
  <c r="T60" i="1" s="1"/>
  <c r="T68" i="1" s="1"/>
  <c r="S44" i="9"/>
  <c r="S57" i="9" s="1"/>
  <c r="S60" i="9" s="1"/>
  <c r="S68" i="9" s="1"/>
  <c r="E153" i="14"/>
  <c r="C153" i="14"/>
  <c r="N10" i="10"/>
  <c r="M24" i="10"/>
  <c r="M25" i="10" s="1"/>
  <c r="U65" i="1"/>
  <c r="U67" i="1" s="1"/>
  <c r="U39" i="1"/>
  <c r="U56" i="1" s="1"/>
  <c r="F346" i="14"/>
  <c r="E347" i="14"/>
  <c r="W19" i="1"/>
  <c r="K26" i="17" l="1"/>
  <c r="I28" i="19"/>
  <c r="J28" i="19"/>
  <c r="V44" i="8"/>
  <c r="V57" i="8" s="1"/>
  <c r="V60" i="8" s="1"/>
  <c r="V68" i="8" s="1"/>
  <c r="M62" i="10"/>
  <c r="C20" i="29"/>
  <c r="F913" i="14"/>
  <c r="U35" i="6"/>
  <c r="U69" i="8"/>
  <c r="U18" i="6" s="1"/>
  <c r="E532" i="14"/>
  <c r="F532" i="14" s="1"/>
  <c r="X20" i="9" s="1"/>
  <c r="F347" i="14"/>
  <c r="F349" i="14" s="1"/>
  <c r="C349" i="14"/>
  <c r="E8" i="19" s="1"/>
  <c r="F8" i="19" s="1"/>
  <c r="Y58" i="8"/>
  <c r="K8" i="19"/>
  <c r="C269" i="14"/>
  <c r="W39" i="8"/>
  <c r="W56" i="8" s="1"/>
  <c r="W65" i="8"/>
  <c r="W67" i="8" s="1"/>
  <c r="C532" i="14"/>
  <c r="B533" i="14"/>
  <c r="Y47" i="9"/>
  <c r="C462" i="14"/>
  <c r="D462" i="14" s="1"/>
  <c r="E466" i="14" s="1"/>
  <c r="F462" i="14"/>
  <c r="Z36" i="9"/>
  <c r="X58" i="9"/>
  <c r="U44" i="1"/>
  <c r="U57" i="1" s="1"/>
  <c r="U60" i="1" s="1"/>
  <c r="U68" i="1" s="1"/>
  <c r="W19" i="9"/>
  <c r="W21" i="1"/>
  <c r="W22" i="1" s="1"/>
  <c r="N18" i="10"/>
  <c r="N20" i="10" s="1"/>
  <c r="N22" i="10" s="1"/>
  <c r="F153" i="14"/>
  <c r="D71" i="14"/>
  <c r="D72" i="14" s="1"/>
  <c r="E74" i="14" s="1"/>
  <c r="C72" i="14"/>
  <c r="V65" i="1"/>
  <c r="V67" i="1" s="1"/>
  <c r="V39" i="1"/>
  <c r="V56" i="1" s="1"/>
  <c r="S69" i="9"/>
  <c r="S19" i="6" s="1"/>
  <c r="S27" i="6" s="1"/>
  <c r="T69" i="1"/>
  <c r="T17" i="6" s="1"/>
  <c r="E7" i="17"/>
  <c r="U65" i="9"/>
  <c r="U67" i="9" s="1"/>
  <c r="U39" i="9"/>
  <c r="U56" i="9" s="1"/>
  <c r="V21" i="9"/>
  <c r="V22" i="9" s="1"/>
  <c r="O53" i="10"/>
  <c r="O55" i="10" s="1"/>
  <c r="O57" i="10" s="1"/>
  <c r="T44" i="9"/>
  <c r="T57" i="9" s="1"/>
  <c r="T60" i="9" s="1"/>
  <c r="T68" i="9" s="1"/>
  <c r="S36" i="6"/>
  <c r="S37" i="6" s="1"/>
  <c r="R47" i="10" s="1"/>
  <c r="R51" i="10" s="1"/>
  <c r="T34" i="6"/>
  <c r="K28" i="19" l="1"/>
  <c r="W44" i="8"/>
  <c r="W57" i="8" s="1"/>
  <c r="W60" i="8" s="1"/>
  <c r="W68" i="8" s="1"/>
  <c r="V69" i="8"/>
  <c r="V18" i="6" s="1"/>
  <c r="D20" i="29"/>
  <c r="F914" i="14"/>
  <c r="D19" i="29"/>
  <c r="C21" i="29"/>
  <c r="C22" i="29" s="1"/>
  <c r="X20" i="8"/>
  <c r="X19" i="8" s="1"/>
  <c r="D269" i="14"/>
  <c r="D270" i="14" s="1"/>
  <c r="E272" i="14" s="1"/>
  <c r="C270" i="14"/>
  <c r="V35" i="6"/>
  <c r="C466" i="14"/>
  <c r="F466" i="14"/>
  <c r="AA36" i="9"/>
  <c r="E533" i="14"/>
  <c r="F533" i="14" s="1"/>
  <c r="C533" i="14"/>
  <c r="B534" i="14"/>
  <c r="B535" i="14" s="1"/>
  <c r="Z47" i="9"/>
  <c r="Y58" i="9"/>
  <c r="U44" i="9"/>
  <c r="U57" i="9" s="1"/>
  <c r="U60" i="9" s="1"/>
  <c r="U68" i="9" s="1"/>
  <c r="T69" i="9"/>
  <c r="T19" i="6" s="1"/>
  <c r="T27" i="6" s="1"/>
  <c r="P45" i="10"/>
  <c r="O59" i="10"/>
  <c r="O60" i="10" s="1"/>
  <c r="V65" i="9"/>
  <c r="V67" i="9" s="1"/>
  <c r="V39" i="9"/>
  <c r="V56" i="9" s="1"/>
  <c r="X19" i="9"/>
  <c r="N24" i="10"/>
  <c r="N25" i="10" s="1"/>
  <c r="O10" i="10"/>
  <c r="W65" i="1"/>
  <c r="W67" i="1" s="1"/>
  <c r="W39" i="1"/>
  <c r="W56" i="1" s="1"/>
  <c r="V44" i="1"/>
  <c r="V57" i="1" s="1"/>
  <c r="V60" i="1" s="1"/>
  <c r="V68" i="1" s="1"/>
  <c r="C74" i="14"/>
  <c r="U69" i="1"/>
  <c r="U17" i="6" s="1"/>
  <c r="B350" i="14"/>
  <c r="G8" i="19"/>
  <c r="F7" i="17"/>
  <c r="R12" i="10"/>
  <c r="R16" i="10" s="1"/>
  <c r="S39" i="6"/>
  <c r="S41" i="6" s="1"/>
  <c r="Y36" i="1"/>
  <c r="E76" i="14"/>
  <c r="F74" i="14"/>
  <c r="W21" i="9"/>
  <c r="W22" i="9" s="1"/>
  <c r="U34" i="6"/>
  <c r="T36" i="6"/>
  <c r="T37" i="6" s="1"/>
  <c r="S47" i="10" s="1"/>
  <c r="S51" i="10" s="1"/>
  <c r="W69" i="8" l="1"/>
  <c r="W18" i="6" s="1"/>
  <c r="E20" i="29"/>
  <c r="F915" i="14"/>
  <c r="C39" i="29"/>
  <c r="C56" i="29" s="1"/>
  <c r="C65" i="29"/>
  <c r="C67" i="29" s="1"/>
  <c r="D21" i="29"/>
  <c r="D22" i="29" s="1"/>
  <c r="E19" i="29"/>
  <c r="E534" i="14"/>
  <c r="F534" i="14" s="1"/>
  <c r="F535" i="14" s="1"/>
  <c r="Y20" i="9"/>
  <c r="Y19" i="9" s="1"/>
  <c r="C272" i="14"/>
  <c r="I9" i="19" s="1"/>
  <c r="Z36" i="8"/>
  <c r="E274" i="14"/>
  <c r="F272" i="14"/>
  <c r="W35" i="6"/>
  <c r="V34" i="6"/>
  <c r="U69" i="9"/>
  <c r="U19" i="6" s="1"/>
  <c r="U27" i="6" s="1"/>
  <c r="Z58" i="9"/>
  <c r="D466" i="14"/>
  <c r="E467" i="14" s="1"/>
  <c r="C467" i="14" s="1"/>
  <c r="D467" i="14" s="1"/>
  <c r="E468" i="14" s="1"/>
  <c r="C534" i="14"/>
  <c r="AA47" i="9"/>
  <c r="B537" i="14"/>
  <c r="V44" i="9"/>
  <c r="V57" i="9" s="1"/>
  <c r="V60" i="9" s="1"/>
  <c r="V68" i="9" s="1"/>
  <c r="X21" i="8"/>
  <c r="X22" i="8" s="1"/>
  <c r="I8" i="17"/>
  <c r="D74" i="14"/>
  <c r="S12" i="10"/>
  <c r="S16" i="10" s="1"/>
  <c r="T39" i="6"/>
  <c r="T41" i="6" s="1"/>
  <c r="W44" i="1"/>
  <c r="W57" i="1" s="1"/>
  <c r="W60" i="1" s="1"/>
  <c r="W68" i="1" s="1"/>
  <c r="V69" i="1"/>
  <c r="V17" i="6" s="1"/>
  <c r="W65" i="9"/>
  <c r="W67" i="9" s="1"/>
  <c r="W39" i="9"/>
  <c r="W56" i="9" s="1"/>
  <c r="B157" i="14"/>
  <c r="Y47" i="1"/>
  <c r="F76" i="14"/>
  <c r="G7" i="17"/>
  <c r="B154" i="14"/>
  <c r="C350" i="14"/>
  <c r="C351" i="14" s="1"/>
  <c r="E350" i="14"/>
  <c r="B351" i="14"/>
  <c r="O18" i="10"/>
  <c r="O20" i="10" s="1"/>
  <c r="O22" i="10" s="1"/>
  <c r="X21" i="9"/>
  <c r="X22" i="9" s="1"/>
  <c r="P53" i="10"/>
  <c r="P55" i="10" s="1"/>
  <c r="P57" i="10" s="1"/>
  <c r="P58" i="10" s="1"/>
  <c r="U36" i="6"/>
  <c r="U37" i="6" s="1"/>
  <c r="T47" i="10" s="1"/>
  <c r="T51" i="10" s="1"/>
  <c r="D272" i="14" l="1"/>
  <c r="C44" i="29"/>
  <c r="C57" i="29" s="1"/>
  <c r="C60" i="29" s="1"/>
  <c r="C68" i="29" s="1"/>
  <c r="E21" i="29"/>
  <c r="E22" i="29" s="1"/>
  <c r="D65" i="29"/>
  <c r="D67" i="29" s="1"/>
  <c r="D39" i="29"/>
  <c r="D56" i="29" s="1"/>
  <c r="F19" i="29"/>
  <c r="F916" i="14"/>
  <c r="F20" i="29"/>
  <c r="E537" i="14"/>
  <c r="F537" i="14" s="1"/>
  <c r="Z20" i="9"/>
  <c r="J9" i="19"/>
  <c r="K23" i="19" s="1"/>
  <c r="B353" i="14"/>
  <c r="E353" i="14" s="1"/>
  <c r="F274" i="14"/>
  <c r="Z47" i="8"/>
  <c r="V69" i="9"/>
  <c r="V19" i="6" s="1"/>
  <c r="V27" i="6" s="1"/>
  <c r="C468" i="14"/>
  <c r="D468" i="14" s="1"/>
  <c r="E469" i="14" s="1"/>
  <c r="C469" i="14" s="1"/>
  <c r="D469" i="14" s="1"/>
  <c r="E470" i="14" s="1"/>
  <c r="F468" i="14"/>
  <c r="AC47" i="9" s="1"/>
  <c r="AC36" i="9"/>
  <c r="F467" i="14"/>
  <c r="AB36" i="9"/>
  <c r="C537" i="14"/>
  <c r="AA58" i="9"/>
  <c r="Q45" i="10"/>
  <c r="P59" i="10"/>
  <c r="P60" i="10" s="1"/>
  <c r="X65" i="9"/>
  <c r="X67" i="9" s="1"/>
  <c r="X39" i="9"/>
  <c r="X56" i="9" s="1"/>
  <c r="F350" i="14"/>
  <c r="F351" i="14" s="1"/>
  <c r="E351" i="14"/>
  <c r="Y58" i="1"/>
  <c r="W44" i="9"/>
  <c r="W57" i="9" s="1"/>
  <c r="W60" i="9" s="1"/>
  <c r="W68" i="9" s="1"/>
  <c r="W69" i="1"/>
  <c r="W17" i="6" s="1"/>
  <c r="V36" i="6"/>
  <c r="V37" i="6" s="1"/>
  <c r="U47" i="10" s="1"/>
  <c r="U51" i="10" s="1"/>
  <c r="W34" i="6"/>
  <c r="O24" i="10"/>
  <c r="O25" i="10" s="1"/>
  <c r="P10" i="10"/>
  <c r="E154" i="14"/>
  <c r="C154" i="14"/>
  <c r="C155" i="14" s="1"/>
  <c r="C157" i="14" s="1"/>
  <c r="B155" i="14"/>
  <c r="E157" i="14"/>
  <c r="T12" i="10"/>
  <c r="T16" i="10" s="1"/>
  <c r="U39" i="6"/>
  <c r="U41" i="6" s="1"/>
  <c r="J8" i="17"/>
  <c r="K21" i="17" s="1"/>
  <c r="X65" i="8"/>
  <c r="X67" i="8" s="1"/>
  <c r="X39" i="8"/>
  <c r="X56" i="8" s="1"/>
  <c r="Y21" i="9"/>
  <c r="Y22" i="9" s="1"/>
  <c r="B539" i="14" l="1"/>
  <c r="E539" i="14" s="1"/>
  <c r="I27" i="17"/>
  <c r="J27" i="17"/>
  <c r="J29" i="19"/>
  <c r="I29" i="19"/>
  <c r="D44" i="29"/>
  <c r="D57" i="29" s="1"/>
  <c r="D60" i="29" s="1"/>
  <c r="D68" i="29" s="1"/>
  <c r="G19" i="29"/>
  <c r="C69" i="29"/>
  <c r="AP26" i="6" s="1"/>
  <c r="E65" i="29"/>
  <c r="E67" i="29" s="1"/>
  <c r="E39" i="29"/>
  <c r="E56" i="29" s="1"/>
  <c r="G20" i="29"/>
  <c r="F917" i="14"/>
  <c r="F21" i="29"/>
  <c r="F22" i="29" s="1"/>
  <c r="Z19" i="9"/>
  <c r="AA20" i="9"/>
  <c r="AA19" i="9" s="1"/>
  <c r="C470" i="14"/>
  <c r="D470" i="14" s="1"/>
  <c r="E471" i="14" s="1"/>
  <c r="AE36" i="9"/>
  <c r="C353" i="14"/>
  <c r="E9" i="19" s="1"/>
  <c r="Z58" i="8"/>
  <c r="C273" i="14"/>
  <c r="K9" i="19"/>
  <c r="F469" i="14"/>
  <c r="AD47" i="9" s="1"/>
  <c r="C36" i="20"/>
  <c r="AD36" i="9"/>
  <c r="B538" i="14"/>
  <c r="C538" i="14" s="1"/>
  <c r="AB47" i="9"/>
  <c r="Y65" i="9"/>
  <c r="Y67" i="9" s="1"/>
  <c r="Y39" i="9"/>
  <c r="Y56" i="9" s="1"/>
  <c r="K8" i="17"/>
  <c r="C75" i="14"/>
  <c r="E8" i="17"/>
  <c r="AC58" i="9"/>
  <c r="P18" i="10"/>
  <c r="P20" i="10" s="1"/>
  <c r="P22" i="10" s="1"/>
  <c r="P23" i="10" s="1"/>
  <c r="U12" i="10"/>
  <c r="U16" i="10" s="1"/>
  <c r="V39" i="6"/>
  <c r="V41" i="6" s="1"/>
  <c r="Q53" i="10"/>
  <c r="Q55" i="10" s="1"/>
  <c r="Q57" i="10" s="1"/>
  <c r="X44" i="8"/>
  <c r="X57" i="8" s="1"/>
  <c r="X60" i="8" s="1"/>
  <c r="X68" i="8" s="1"/>
  <c r="W69" i="9"/>
  <c r="W19" i="6" s="1"/>
  <c r="W27" i="6" s="1"/>
  <c r="X44" i="9"/>
  <c r="X57" i="9" s="1"/>
  <c r="X60" i="9" s="1"/>
  <c r="X68" i="9" s="1"/>
  <c r="F470" i="14"/>
  <c r="F154" i="14"/>
  <c r="F155" i="14" s="1"/>
  <c r="E155" i="14"/>
  <c r="F353" i="14"/>
  <c r="Y20" i="8"/>
  <c r="W36" i="6"/>
  <c r="W37" i="6" s="1"/>
  <c r="V47" i="10" s="1"/>
  <c r="V51" i="10" s="1"/>
  <c r="C539" i="14" l="1"/>
  <c r="K27" i="17"/>
  <c r="K29" i="19"/>
  <c r="Z21" i="9"/>
  <c r="Z22" i="9" s="1"/>
  <c r="Z39" i="9" s="1"/>
  <c r="Z56" i="9" s="1"/>
  <c r="D69" i="29"/>
  <c r="AQ26" i="6" s="1"/>
  <c r="H20" i="29"/>
  <c r="F918" i="14"/>
  <c r="E44" i="29"/>
  <c r="E57" i="29" s="1"/>
  <c r="E60" i="29" s="1"/>
  <c r="E68" i="29" s="1"/>
  <c r="F65" i="29"/>
  <c r="F67" i="29" s="1"/>
  <c r="F39" i="29"/>
  <c r="F56" i="29" s="1"/>
  <c r="H19" i="29"/>
  <c r="G21" i="29"/>
  <c r="G22" i="29" s="1"/>
  <c r="B540" i="14"/>
  <c r="F9" i="19"/>
  <c r="B354" i="14" s="1"/>
  <c r="D273" i="14"/>
  <c r="D274" i="14" s="1"/>
  <c r="E278" i="14" s="1"/>
  <c r="C274" i="14"/>
  <c r="E538" i="14"/>
  <c r="F538" i="14" s="1"/>
  <c r="F699" i="14"/>
  <c r="F702" i="14" s="1"/>
  <c r="AB58" i="9"/>
  <c r="Y44" i="9"/>
  <c r="Y57" i="9" s="1"/>
  <c r="Y60" i="9" s="1"/>
  <c r="Y68" i="9" s="1"/>
  <c r="X35" i="6"/>
  <c r="Y19" i="8"/>
  <c r="Z20" i="8"/>
  <c r="F157" i="14"/>
  <c r="X20" i="1"/>
  <c r="AA21" i="9"/>
  <c r="AA22" i="9" s="1"/>
  <c r="R45" i="10"/>
  <c r="Q59" i="10"/>
  <c r="Q60" i="10" s="1"/>
  <c r="D75" i="14"/>
  <c r="D76" i="14" s="1"/>
  <c r="E78" i="14" s="1"/>
  <c r="C76" i="14"/>
  <c r="AF36" i="9"/>
  <c r="F471" i="14"/>
  <c r="X69" i="8"/>
  <c r="X18" i="6" s="1"/>
  <c r="V12" i="10"/>
  <c r="V16" i="10" s="1"/>
  <c r="W39" i="6"/>
  <c r="W41" i="6" s="1"/>
  <c r="AD58" i="9"/>
  <c r="AE47" i="9"/>
  <c r="B541" i="14"/>
  <c r="P24" i="10"/>
  <c r="P25" i="10" s="1"/>
  <c r="Q10" i="10"/>
  <c r="F8" i="17"/>
  <c r="X69" i="9"/>
  <c r="X19" i="6" s="1"/>
  <c r="X36" i="6"/>
  <c r="C471" i="14"/>
  <c r="C540" i="14" l="1"/>
  <c r="C541" i="14" s="1"/>
  <c r="E69" i="29"/>
  <c r="AR26" i="6" s="1"/>
  <c r="Z65" i="9"/>
  <c r="Z67" i="9" s="1"/>
  <c r="E540" i="14"/>
  <c r="H21" i="29"/>
  <c r="H22" i="29" s="1"/>
  <c r="F44" i="29"/>
  <c r="F57" i="29" s="1"/>
  <c r="F60" i="29" s="1"/>
  <c r="F68" i="29" s="1"/>
  <c r="I19" i="29"/>
  <c r="G39" i="29"/>
  <c r="G56" i="29" s="1"/>
  <c r="G65" i="29"/>
  <c r="G67" i="29" s="1"/>
  <c r="I20" i="29"/>
  <c r="F919" i="14"/>
  <c r="G9" i="19"/>
  <c r="B867" i="14"/>
  <c r="B726" i="14"/>
  <c r="E726" i="14" s="1"/>
  <c r="F703" i="14"/>
  <c r="D703" i="14"/>
  <c r="C278" i="14"/>
  <c r="D278" i="14" s="1"/>
  <c r="E279" i="14" s="1"/>
  <c r="AA36" i="8"/>
  <c r="F278" i="14"/>
  <c r="F539" i="14"/>
  <c r="AB20" i="9"/>
  <c r="E541" i="14"/>
  <c r="Y69" i="9"/>
  <c r="Y19" i="6" s="1"/>
  <c r="C78" i="14"/>
  <c r="D78" i="14" s="1"/>
  <c r="E81" i="14" s="1"/>
  <c r="D471" i="14"/>
  <c r="E472" i="14" s="1"/>
  <c r="Q18" i="10"/>
  <c r="Q20" i="10" s="1"/>
  <c r="Q22" i="10" s="1"/>
  <c r="AE58" i="9"/>
  <c r="Z36" i="1"/>
  <c r="F78" i="14"/>
  <c r="R53" i="10"/>
  <c r="R55" i="10" s="1"/>
  <c r="R57" i="10" s="1"/>
  <c r="AA65" i="9"/>
  <c r="AA67" i="9" s="1"/>
  <c r="AA39" i="9"/>
  <c r="AA56" i="9" s="1"/>
  <c r="Z44" i="9"/>
  <c r="Z57" i="9" s="1"/>
  <c r="Z60" i="9" s="1"/>
  <c r="Z68" i="9" s="1"/>
  <c r="G8" i="17"/>
  <c r="B158" i="14"/>
  <c r="B542" i="14"/>
  <c r="AF47" i="9"/>
  <c r="E354" i="14"/>
  <c r="C354" i="14"/>
  <c r="C355" i="14" s="1"/>
  <c r="B355" i="14"/>
  <c r="B357" i="14" s="1"/>
  <c r="X19" i="1"/>
  <c r="Z19" i="8"/>
  <c r="Y21" i="8"/>
  <c r="Y22" i="8" s="1"/>
  <c r="Y36" i="6"/>
  <c r="G44" i="29" l="1"/>
  <c r="G57" i="29" s="1"/>
  <c r="G60" i="29" s="1"/>
  <c r="G68" i="29" s="1"/>
  <c r="F69" i="29"/>
  <c r="AS26" i="6" s="1"/>
  <c r="B727" i="14"/>
  <c r="E727" i="14" s="1"/>
  <c r="C47" i="20"/>
  <c r="J19" i="29"/>
  <c r="H39" i="29"/>
  <c r="H56" i="29" s="1"/>
  <c r="H65" i="29"/>
  <c r="H67" i="29" s="1"/>
  <c r="J20" i="29"/>
  <c r="F920" i="14"/>
  <c r="I21" i="29"/>
  <c r="I22" i="29" s="1"/>
  <c r="E867" i="14"/>
  <c r="F867" i="14" s="1"/>
  <c r="C20" i="30" s="1"/>
  <c r="B876" i="14"/>
  <c r="C867" i="14"/>
  <c r="C868" i="14" s="1"/>
  <c r="C869" i="14" s="1"/>
  <c r="C870" i="14" s="1"/>
  <c r="C871" i="14" s="1"/>
  <c r="C872" i="14" s="1"/>
  <c r="C873" i="14" s="1"/>
  <c r="C874" i="14" s="1"/>
  <c r="C875" i="14" s="1"/>
  <c r="E706" i="14"/>
  <c r="C706" i="14" s="1"/>
  <c r="C726" i="14"/>
  <c r="C81" i="14"/>
  <c r="D81" i="14" s="1"/>
  <c r="C279" i="14"/>
  <c r="AB36" i="8"/>
  <c r="F279" i="14"/>
  <c r="B359" i="14"/>
  <c r="AA47" i="8"/>
  <c r="E542" i="14"/>
  <c r="F540" i="14"/>
  <c r="AC20" i="9"/>
  <c r="AB19" i="9"/>
  <c r="Z69" i="9"/>
  <c r="Z19" i="6" s="1"/>
  <c r="X21" i="1"/>
  <c r="X22" i="1" s="1"/>
  <c r="AF58" i="9"/>
  <c r="S45" i="10"/>
  <c r="S53" i="10" s="1"/>
  <c r="R59" i="10"/>
  <c r="R60" i="10" s="1"/>
  <c r="Q24" i="10"/>
  <c r="Q25" i="10" s="1"/>
  <c r="R10" i="10"/>
  <c r="AG36" i="9"/>
  <c r="F472" i="14"/>
  <c r="C542" i="14"/>
  <c r="AA44" i="9"/>
  <c r="AA57" i="9" s="1"/>
  <c r="AA60" i="9" s="1"/>
  <c r="AA68" i="9" s="1"/>
  <c r="Y39" i="8"/>
  <c r="Y56" i="8" s="1"/>
  <c r="Y65" i="8"/>
  <c r="Y67" i="8" s="1"/>
  <c r="Z21" i="8"/>
  <c r="Z22" i="8" s="1"/>
  <c r="F354" i="14"/>
  <c r="F355" i="14" s="1"/>
  <c r="F357" i="14" s="1"/>
  <c r="E355" i="14"/>
  <c r="AA36" i="1"/>
  <c r="F81" i="14"/>
  <c r="B164" i="14" s="1"/>
  <c r="E158" i="14"/>
  <c r="C158" i="14"/>
  <c r="C159" i="14" s="1"/>
  <c r="B159" i="14"/>
  <c r="B161" i="14"/>
  <c r="E161" i="14" s="1"/>
  <c r="Z47" i="1"/>
  <c r="Z36" i="6"/>
  <c r="C472" i="14"/>
  <c r="G69" i="29" l="1"/>
  <c r="AT26" i="6" s="1"/>
  <c r="C58" i="20"/>
  <c r="H44" i="29"/>
  <c r="H57" i="29" s="1"/>
  <c r="H60" i="29" s="1"/>
  <c r="H68" i="29" s="1"/>
  <c r="K19" i="29"/>
  <c r="I39" i="29"/>
  <c r="I56" i="29" s="1"/>
  <c r="I65" i="29"/>
  <c r="I67" i="29" s="1"/>
  <c r="K20" i="29"/>
  <c r="F921" i="14"/>
  <c r="J21" i="29"/>
  <c r="J22" i="29" s="1"/>
  <c r="D19" i="30"/>
  <c r="C21" i="30"/>
  <c r="C22" i="30" s="1"/>
  <c r="F868" i="14"/>
  <c r="D36" i="20"/>
  <c r="C727" i="14"/>
  <c r="F726" i="14"/>
  <c r="F727" i="14" s="1"/>
  <c r="B162" i="14"/>
  <c r="E359" i="14"/>
  <c r="F359" i="14" s="1"/>
  <c r="E82" i="14"/>
  <c r="C82" i="14" s="1"/>
  <c r="D82" i="14" s="1"/>
  <c r="E83" i="14" s="1"/>
  <c r="F83" i="14" s="1"/>
  <c r="D706" i="14"/>
  <c r="AB47" i="8"/>
  <c r="B360" i="14"/>
  <c r="E360" i="14" s="1"/>
  <c r="D279" i="14"/>
  <c r="E280" i="14" s="1"/>
  <c r="AA58" i="8"/>
  <c r="C359" i="14"/>
  <c r="AA36" i="6"/>
  <c r="Y44" i="8"/>
  <c r="Y57" i="8" s="1"/>
  <c r="Y60" i="8" s="1"/>
  <c r="Y68" i="8" s="1"/>
  <c r="AB21" i="9"/>
  <c r="AB22" i="9" s="1"/>
  <c r="F541" i="14"/>
  <c r="AD20" i="9"/>
  <c r="AC19" i="9"/>
  <c r="D472" i="14"/>
  <c r="E473" i="14" s="1"/>
  <c r="C473" i="14" s="1"/>
  <c r="Z58" i="1"/>
  <c r="F158" i="14"/>
  <c r="F159" i="14" s="1"/>
  <c r="E159" i="14"/>
  <c r="S55" i="10"/>
  <c r="S57" i="10" s="1"/>
  <c r="S58" i="10" s="1"/>
  <c r="T45" i="10"/>
  <c r="T53" i="10" s="1"/>
  <c r="S59" i="10"/>
  <c r="AA69" i="9"/>
  <c r="AA19" i="6" s="1"/>
  <c r="AA47" i="1"/>
  <c r="Z65" i="8"/>
  <c r="Z67" i="8" s="1"/>
  <c r="Z39" i="8"/>
  <c r="Z56" i="8" s="1"/>
  <c r="AG47" i="9"/>
  <c r="B543" i="14"/>
  <c r="R18" i="10"/>
  <c r="X65" i="1"/>
  <c r="X67" i="1" s="1"/>
  <c r="X39" i="1"/>
  <c r="X56" i="1" s="1"/>
  <c r="C161" i="14"/>
  <c r="H69" i="29" l="1"/>
  <c r="AU26" i="6" s="1"/>
  <c r="C360" i="14"/>
  <c r="J39" i="29"/>
  <c r="J56" i="29" s="1"/>
  <c r="J65" i="29"/>
  <c r="J67" i="29" s="1"/>
  <c r="I44" i="29"/>
  <c r="I57" i="29" s="1"/>
  <c r="I60" i="29" s="1"/>
  <c r="I68" i="29" s="1"/>
  <c r="K21" i="29"/>
  <c r="K22" i="29" s="1"/>
  <c r="F869" i="14"/>
  <c r="D20" i="30"/>
  <c r="D21" i="30" s="1"/>
  <c r="D22" i="30" s="1"/>
  <c r="C65" i="30"/>
  <c r="C67" i="30" s="1"/>
  <c r="C39" i="30"/>
  <c r="C56" i="30" s="1"/>
  <c r="AA20" i="8"/>
  <c r="F82" i="14"/>
  <c r="B165" i="14" s="1"/>
  <c r="E165" i="14" s="1"/>
  <c r="C19" i="20"/>
  <c r="E707" i="14"/>
  <c r="C707" i="14" s="1"/>
  <c r="F360" i="14"/>
  <c r="AB20" i="8" s="1"/>
  <c r="C164" i="14"/>
  <c r="AB36" i="1"/>
  <c r="F280" i="14"/>
  <c r="AC36" i="8"/>
  <c r="AB58" i="8"/>
  <c r="C280" i="14"/>
  <c r="D280" i="14" s="1"/>
  <c r="E281" i="14" s="1"/>
  <c r="Y69" i="8"/>
  <c r="Y18" i="6" s="1"/>
  <c r="E543" i="14"/>
  <c r="AC21" i="9"/>
  <c r="AC22" i="9" s="1"/>
  <c r="F542" i="14"/>
  <c r="AF20" i="9" s="1"/>
  <c r="AE20" i="9"/>
  <c r="AD19" i="9"/>
  <c r="AB65" i="9"/>
  <c r="AB67" i="9" s="1"/>
  <c r="AB39" i="9"/>
  <c r="AB56" i="9" s="1"/>
  <c r="S60" i="10"/>
  <c r="X44" i="1"/>
  <c r="X57" i="1" s="1"/>
  <c r="X60" i="1" s="1"/>
  <c r="X68" i="1" s="1"/>
  <c r="R24" i="10"/>
  <c r="R25" i="10" s="1"/>
  <c r="S10" i="10"/>
  <c r="AG58" i="9"/>
  <c r="E164" i="14"/>
  <c r="AH36" i="9"/>
  <c r="F473" i="14"/>
  <c r="AC36" i="1"/>
  <c r="AA58" i="1"/>
  <c r="T55" i="10"/>
  <c r="T57" i="10" s="1"/>
  <c r="U45" i="10"/>
  <c r="U53" i="10" s="1"/>
  <c r="U55" i="10" s="1"/>
  <c r="U57" i="10" s="1"/>
  <c r="T59" i="10"/>
  <c r="T60" i="10" s="1"/>
  <c r="Y20" i="1"/>
  <c r="F161" i="14"/>
  <c r="F162" i="14" s="1"/>
  <c r="D473" i="14"/>
  <c r="E474" i="14" s="1"/>
  <c r="C474" i="14" s="1"/>
  <c r="R20" i="10"/>
  <c r="R22" i="10" s="1"/>
  <c r="Z44" i="8"/>
  <c r="Z57" i="8" s="1"/>
  <c r="Z60" i="8" s="1"/>
  <c r="Z68" i="8" s="1"/>
  <c r="C543" i="14"/>
  <c r="Y35" i="6"/>
  <c r="C83" i="14"/>
  <c r="AA19" i="8" l="1"/>
  <c r="AA21" i="8" s="1"/>
  <c r="AA22" i="8" s="1"/>
  <c r="J44" i="29"/>
  <c r="J57" i="29" s="1"/>
  <c r="J60" i="29" s="1"/>
  <c r="J68" i="29" s="1"/>
  <c r="C44" i="30"/>
  <c r="C57" i="30" s="1"/>
  <c r="C60" i="30" s="1"/>
  <c r="C68" i="30" s="1"/>
  <c r="I69" i="29"/>
  <c r="AV26" i="6" s="1"/>
  <c r="K65" i="29"/>
  <c r="K67" i="29" s="1"/>
  <c r="K39" i="29"/>
  <c r="K56" i="29" s="1"/>
  <c r="E19" i="30"/>
  <c r="D65" i="30"/>
  <c r="D67" i="30" s="1"/>
  <c r="D39" i="30"/>
  <c r="D56" i="30" s="1"/>
  <c r="F870" i="14"/>
  <c r="E20" i="30"/>
  <c r="C20" i="20"/>
  <c r="D19" i="20" s="1"/>
  <c r="AB47" i="1"/>
  <c r="AB58" i="1" s="1"/>
  <c r="C22" i="32"/>
  <c r="C65" i="32" s="1"/>
  <c r="E36" i="20"/>
  <c r="D707" i="14"/>
  <c r="AF19" i="9"/>
  <c r="AF21" i="9" s="1"/>
  <c r="AF22" i="9" s="1"/>
  <c r="C281" i="14"/>
  <c r="D281" i="14" s="1"/>
  <c r="E282" i="14" s="1"/>
  <c r="AD36" i="8"/>
  <c r="F281" i="14"/>
  <c r="AC47" i="8"/>
  <c r="B361" i="14"/>
  <c r="AB44" i="9"/>
  <c r="AB57" i="9" s="1"/>
  <c r="AB60" i="9" s="1"/>
  <c r="AB68" i="9" s="1"/>
  <c r="AC39" i="9"/>
  <c r="AC56" i="9" s="1"/>
  <c r="AC65" i="9"/>
  <c r="AC67" i="9" s="1"/>
  <c r="F543" i="14"/>
  <c r="AG20" i="9" s="1"/>
  <c r="AG19" i="9" s="1"/>
  <c r="AD21" i="9"/>
  <c r="AD22" i="9" s="1"/>
  <c r="AE19" i="9"/>
  <c r="V45" i="10"/>
  <c r="V53" i="10" s="1"/>
  <c r="Z35" i="6"/>
  <c r="C165" i="14"/>
  <c r="U59" i="10"/>
  <c r="U60" i="10" s="1"/>
  <c r="Z69" i="8"/>
  <c r="Z18" i="6" s="1"/>
  <c r="X34" i="6"/>
  <c r="X37" i="6" s="1"/>
  <c r="W47" i="10" s="1"/>
  <c r="W51" i="10" s="1"/>
  <c r="D474" i="14"/>
  <c r="E475" i="14" s="1"/>
  <c r="C475" i="14" s="1"/>
  <c r="D83" i="14"/>
  <c r="E84" i="14" s="1"/>
  <c r="C84" i="14" s="1"/>
  <c r="Z20" i="1"/>
  <c r="F164" i="14"/>
  <c r="AB19" i="8"/>
  <c r="B166" i="14"/>
  <c r="AC47" i="1"/>
  <c r="AH47" i="9"/>
  <c r="B544" i="14"/>
  <c r="C544" i="14" s="1"/>
  <c r="X69" i="1"/>
  <c r="X17" i="6" s="1"/>
  <c r="X27" i="6" s="1"/>
  <c r="AI36" i="9"/>
  <c r="F474" i="14"/>
  <c r="Y19" i="1"/>
  <c r="S18" i="10"/>
  <c r="S20" i="10" s="1"/>
  <c r="S22" i="10" s="1"/>
  <c r="S23" i="10" s="1"/>
  <c r="C69" i="30" l="1"/>
  <c r="AP25" i="6" s="1"/>
  <c r="D44" i="30"/>
  <c r="D57" i="30" s="1"/>
  <c r="D60" i="30" s="1"/>
  <c r="D68" i="30" s="1"/>
  <c r="J69" i="29"/>
  <c r="AW26" i="6" s="1"/>
  <c r="K44" i="29"/>
  <c r="K57" i="29" s="1"/>
  <c r="K60" i="29" s="1"/>
  <c r="K68" i="29" s="1"/>
  <c r="F871" i="14"/>
  <c r="F20" i="30"/>
  <c r="E21" i="30"/>
  <c r="E22" i="30" s="1"/>
  <c r="F19" i="30"/>
  <c r="C21" i="20"/>
  <c r="C22" i="20" s="1"/>
  <c r="C65" i="20" s="1"/>
  <c r="C67" i="20" s="1"/>
  <c r="C39" i="32"/>
  <c r="C56" i="32" s="1"/>
  <c r="C67" i="32"/>
  <c r="E708" i="14"/>
  <c r="C166" i="14"/>
  <c r="E361" i="14"/>
  <c r="F361" i="14" s="1"/>
  <c r="C361" i="14"/>
  <c r="AD47" i="8"/>
  <c r="B362" i="14"/>
  <c r="E362" i="14" s="1"/>
  <c r="C282" i="14"/>
  <c r="D282" i="14" s="1"/>
  <c r="E283" i="14" s="1"/>
  <c r="F282" i="14"/>
  <c r="AE36" i="8"/>
  <c r="AC58" i="8"/>
  <c r="AC44" i="9"/>
  <c r="AC57" i="9" s="1"/>
  <c r="AC60" i="9" s="1"/>
  <c r="AC68" i="9" s="1"/>
  <c r="AE21" i="9"/>
  <c r="AE22" i="9" s="1"/>
  <c r="AD65" i="9"/>
  <c r="AD67" i="9" s="1"/>
  <c r="AD39" i="9"/>
  <c r="AD56" i="9" s="1"/>
  <c r="E544" i="14"/>
  <c r="F544" i="14" s="1"/>
  <c r="AH20" i="9" s="1"/>
  <c r="AB69" i="9"/>
  <c r="AB19" i="6" s="1"/>
  <c r="Y21" i="1"/>
  <c r="Y22" i="1" s="1"/>
  <c r="AG21" i="9"/>
  <c r="AG22" i="9" s="1"/>
  <c r="AH58" i="9"/>
  <c r="E166" i="14"/>
  <c r="AB21" i="8"/>
  <c r="AB22" i="8" s="1"/>
  <c r="Z19" i="1"/>
  <c r="AF39" i="9"/>
  <c r="AF56" i="9" s="1"/>
  <c r="AF65" i="9"/>
  <c r="AF67" i="9" s="1"/>
  <c r="AD36" i="1"/>
  <c r="F84" i="14"/>
  <c r="AJ36" i="9"/>
  <c r="F475" i="14"/>
  <c r="S24" i="10"/>
  <c r="S25" i="10" s="1"/>
  <c r="T10" i="10"/>
  <c r="B545" i="14"/>
  <c r="AI47" i="9"/>
  <c r="W12" i="10"/>
  <c r="W16" i="10" s="1"/>
  <c r="X39" i="6"/>
  <c r="X41" i="6" s="1"/>
  <c r="AA65" i="8"/>
  <c r="AA67" i="8" s="1"/>
  <c r="AA39" i="8"/>
  <c r="AA56" i="8" s="1"/>
  <c r="AC58" i="1"/>
  <c r="F165" i="14"/>
  <c r="AA20" i="1"/>
  <c r="D84" i="14"/>
  <c r="E85" i="14" s="1"/>
  <c r="C85" i="14" s="1"/>
  <c r="D475" i="14"/>
  <c r="E476" i="14" s="1"/>
  <c r="C476" i="14" s="1"/>
  <c r="V59" i="10"/>
  <c r="W45" i="10"/>
  <c r="V55" i="10"/>
  <c r="V57" i="10" s="1"/>
  <c r="V58" i="10" s="1"/>
  <c r="V60" i="10" l="1"/>
  <c r="D69" i="30"/>
  <c r="AQ25" i="6" s="1"/>
  <c r="C44" i="32"/>
  <c r="C57" i="32" s="1"/>
  <c r="C60" i="32" s="1"/>
  <c r="C68" i="32" s="1"/>
  <c r="K69" i="29"/>
  <c r="AX26" i="6" s="1"/>
  <c r="G20" i="30"/>
  <c r="F872" i="14"/>
  <c r="F21" i="30"/>
  <c r="F22" i="30" s="1"/>
  <c r="E39" i="30"/>
  <c r="E56" i="30" s="1"/>
  <c r="E65" i="30"/>
  <c r="E67" i="30" s="1"/>
  <c r="G19" i="30"/>
  <c r="F36" i="20"/>
  <c r="C39" i="20"/>
  <c r="C56" i="20" s="1"/>
  <c r="AC20" i="8"/>
  <c r="AF44" i="9"/>
  <c r="AF57" i="9" s="1"/>
  <c r="AF60" i="9" s="1"/>
  <c r="AF68" i="9" s="1"/>
  <c r="C708" i="14"/>
  <c r="D708" i="14" s="1"/>
  <c r="AB36" i="6"/>
  <c r="C283" i="14"/>
  <c r="D283" i="14" s="1"/>
  <c r="E284" i="14" s="1"/>
  <c r="AF36" i="8"/>
  <c r="F283" i="14"/>
  <c r="AD58" i="8"/>
  <c r="B363" i="14"/>
  <c r="E363" i="14" s="1"/>
  <c r="AE47" i="8"/>
  <c r="F362" i="14"/>
  <c r="C362" i="14"/>
  <c r="AD44" i="9"/>
  <c r="AD57" i="9" s="1"/>
  <c r="AD60" i="9" s="1"/>
  <c r="AD68" i="9" s="1"/>
  <c r="E545" i="14"/>
  <c r="F545" i="14" s="1"/>
  <c r="AI20" i="9" s="1"/>
  <c r="F700" i="14"/>
  <c r="AC69" i="9"/>
  <c r="AC19" i="6" s="1"/>
  <c r="AE65" i="9"/>
  <c r="AE67" i="9" s="1"/>
  <c r="AE39" i="9"/>
  <c r="AC36" i="6"/>
  <c r="C545" i="14"/>
  <c r="AA44" i="8"/>
  <c r="AA57" i="8" s="1"/>
  <c r="AA60" i="8" s="1"/>
  <c r="AA68" i="8" s="1"/>
  <c r="D85" i="14"/>
  <c r="E87" i="14" s="1"/>
  <c r="E89" i="14" s="1"/>
  <c r="AK36" i="9"/>
  <c r="F476" i="14"/>
  <c r="AA19" i="1"/>
  <c r="AB20" i="1"/>
  <c r="F166" i="14"/>
  <c r="AH19" i="9"/>
  <c r="AI58" i="9"/>
  <c r="T18" i="10"/>
  <c r="T20" i="10" s="1"/>
  <c r="T22" i="10" s="1"/>
  <c r="B546" i="14"/>
  <c r="AJ47" i="9"/>
  <c r="AD47" i="1"/>
  <c r="B167" i="14"/>
  <c r="AB39" i="8"/>
  <c r="AB56" i="8" s="1"/>
  <c r="AB65" i="8"/>
  <c r="AB67" i="8" s="1"/>
  <c r="D476" i="14"/>
  <c r="AE36" i="1"/>
  <c r="F85" i="14"/>
  <c r="Z21" i="1"/>
  <c r="Z22" i="1" s="1"/>
  <c r="AG39" i="9"/>
  <c r="AG56" i="9" s="1"/>
  <c r="AG65" i="9"/>
  <c r="AG67" i="9" s="1"/>
  <c r="Y65" i="1"/>
  <c r="Y67" i="1" s="1"/>
  <c r="Y39" i="1"/>
  <c r="Y56" i="1" s="1"/>
  <c r="W53" i="10"/>
  <c r="W55" i="10" s="1"/>
  <c r="W57" i="10" s="1"/>
  <c r="C546" i="14" l="1"/>
  <c r="C44" i="20"/>
  <c r="C57" i="20" s="1"/>
  <c r="C60" i="20" s="1"/>
  <c r="C68" i="20" s="1"/>
  <c r="C69" i="32"/>
  <c r="AP23" i="6" s="1"/>
  <c r="E44" i="30"/>
  <c r="E57" i="30" s="1"/>
  <c r="E60" i="30" s="1"/>
  <c r="E68" i="30" s="1"/>
  <c r="H19" i="30"/>
  <c r="G21" i="30"/>
  <c r="G22" i="30" s="1"/>
  <c r="F39" i="30"/>
  <c r="F56" i="30" s="1"/>
  <c r="F65" i="30"/>
  <c r="F67" i="30" s="1"/>
  <c r="H20" i="30"/>
  <c r="F873" i="14"/>
  <c r="E709" i="14"/>
  <c r="AC19" i="8"/>
  <c r="E477" i="14"/>
  <c r="AL36" i="9" s="1"/>
  <c r="F706" i="14"/>
  <c r="F707" i="14"/>
  <c r="F708" i="14"/>
  <c r="C363" i="14"/>
  <c r="AE58" i="8"/>
  <c r="AF47" i="8"/>
  <c r="B364" i="14"/>
  <c r="C284" i="14"/>
  <c r="D284" i="14" s="1"/>
  <c r="E285" i="14" s="1"/>
  <c r="AG36" i="8"/>
  <c r="F284" i="14"/>
  <c r="AD20" i="8"/>
  <c r="F363" i="14"/>
  <c r="AD36" i="6"/>
  <c r="AG44" i="9"/>
  <c r="AG57" i="9" s="1"/>
  <c r="AG60" i="9" s="1"/>
  <c r="AG68" i="9" s="1"/>
  <c r="AD69" i="9"/>
  <c r="AD19" i="6" s="1"/>
  <c r="E546" i="14"/>
  <c r="F546" i="14" s="1"/>
  <c r="AJ20" i="9" s="1"/>
  <c r="AE56" i="9"/>
  <c r="AE44" i="9"/>
  <c r="AE57" i="9" s="1"/>
  <c r="AF36" i="6"/>
  <c r="AA69" i="8"/>
  <c r="AA18" i="6" s="1"/>
  <c r="Z65" i="1"/>
  <c r="Z67" i="1" s="1"/>
  <c r="Z39" i="1"/>
  <c r="Z56" i="1" s="1"/>
  <c r="AD58" i="1"/>
  <c r="T24" i="10"/>
  <c r="T25" i="10" s="1"/>
  <c r="U10" i="10"/>
  <c r="AB19" i="1"/>
  <c r="AF36" i="1"/>
  <c r="F87" i="14"/>
  <c r="F89" i="14" s="1"/>
  <c r="AF47" i="1" s="1"/>
  <c r="Y44" i="1"/>
  <c r="Y57" i="1" s="1"/>
  <c r="Y60" i="1" s="1"/>
  <c r="Y68" i="1" s="1"/>
  <c r="AF69" i="9"/>
  <c r="AF19" i="6" s="1"/>
  <c r="AB44" i="8"/>
  <c r="AB57" i="8" s="1"/>
  <c r="AB60" i="8" s="1"/>
  <c r="AB68" i="8" s="1"/>
  <c r="AI19" i="9"/>
  <c r="B168" i="14"/>
  <c r="E168" i="14" s="1"/>
  <c r="AE47" i="1"/>
  <c r="E167" i="14"/>
  <c r="F167" i="14" s="1"/>
  <c r="C167" i="14"/>
  <c r="AJ58" i="9"/>
  <c r="AH21" i="9"/>
  <c r="AH22" i="9" s="1"/>
  <c r="AC20" i="1"/>
  <c r="AA21" i="1"/>
  <c r="AA22" i="1" s="1"/>
  <c r="AK47" i="9"/>
  <c r="B547" i="14"/>
  <c r="C87" i="14"/>
  <c r="W59" i="10"/>
  <c r="W60" i="10" s="1"/>
  <c r="X45" i="10"/>
  <c r="C168" i="14" l="1"/>
  <c r="AA35" i="6"/>
  <c r="E69" i="30"/>
  <c r="AR25" i="6" s="1"/>
  <c r="C69" i="20"/>
  <c r="AL22" i="6" s="1"/>
  <c r="C709" i="14"/>
  <c r="D709" i="14" s="1"/>
  <c r="E710" i="14" s="1"/>
  <c r="B728" i="14"/>
  <c r="E728" i="14" s="1"/>
  <c r="F728" i="14" s="1"/>
  <c r="D47" i="20"/>
  <c r="F44" i="30"/>
  <c r="F57" i="30" s="1"/>
  <c r="F60" i="30" s="1"/>
  <c r="F68" i="30" s="1"/>
  <c r="B729" i="14"/>
  <c r="E729" i="14" s="1"/>
  <c r="E47" i="20"/>
  <c r="I20" i="30"/>
  <c r="F874" i="14"/>
  <c r="I19" i="30"/>
  <c r="G39" i="30"/>
  <c r="G56" i="30" s="1"/>
  <c r="G65" i="30"/>
  <c r="G67" i="30" s="1"/>
  <c r="H21" i="30"/>
  <c r="H22" i="30" s="1"/>
  <c r="B730" i="14"/>
  <c r="E730" i="14" s="1"/>
  <c r="F47" i="20"/>
  <c r="G36" i="20"/>
  <c r="F709" i="14"/>
  <c r="F477" i="14"/>
  <c r="B548" i="14" s="1"/>
  <c r="B549" i="14" s="1"/>
  <c r="AC21" i="8"/>
  <c r="AC22" i="8" s="1"/>
  <c r="C477" i="14"/>
  <c r="D477" i="14" s="1"/>
  <c r="E480" i="14" s="1"/>
  <c r="AE20" i="8"/>
  <c r="B365" i="14"/>
  <c r="AG47" i="8"/>
  <c r="C285" i="14"/>
  <c r="D285" i="14" s="1"/>
  <c r="E286" i="14" s="1"/>
  <c r="AH36" i="8"/>
  <c r="F285" i="14"/>
  <c r="AF58" i="8"/>
  <c r="AD19" i="8"/>
  <c r="E364" i="14"/>
  <c r="F364" i="14" s="1"/>
  <c r="C364" i="14"/>
  <c r="AE60" i="9"/>
  <c r="AE68" i="9" s="1"/>
  <c r="AE36" i="6"/>
  <c r="E547" i="14"/>
  <c r="F547" i="14" s="1"/>
  <c r="AK20" i="9" s="1"/>
  <c r="I9" i="17"/>
  <c r="J9" i="17" s="1"/>
  <c r="K22" i="17" s="1"/>
  <c r="AG36" i="6"/>
  <c r="AB35" i="6"/>
  <c r="AD20" i="1"/>
  <c r="F168" i="14"/>
  <c r="D87" i="14"/>
  <c r="AK58" i="9"/>
  <c r="AA65" i="1"/>
  <c r="AA67" i="1" s="1"/>
  <c r="AA39" i="1"/>
  <c r="AA56" i="1" s="1"/>
  <c r="AE58" i="1"/>
  <c r="U18" i="10"/>
  <c r="U20" i="10" s="1"/>
  <c r="U22" i="10" s="1"/>
  <c r="C547" i="14"/>
  <c r="AB69" i="8"/>
  <c r="AB18" i="6" s="1"/>
  <c r="Y34" i="6"/>
  <c r="Y37" i="6" s="1"/>
  <c r="X47" i="10" s="1"/>
  <c r="X51" i="10" s="1"/>
  <c r="X53" i="10" s="1"/>
  <c r="X55" i="10" s="1"/>
  <c r="X57" i="10" s="1"/>
  <c r="Z44" i="1"/>
  <c r="Z57" i="1" s="1"/>
  <c r="Z60" i="1" s="1"/>
  <c r="Z68" i="1" s="1"/>
  <c r="Y69" i="1"/>
  <c r="Y17" i="6" s="1"/>
  <c r="Y27" i="6" s="1"/>
  <c r="AC19" i="1"/>
  <c r="AH39" i="9"/>
  <c r="AH56" i="9" s="1"/>
  <c r="AH65" i="9"/>
  <c r="AH67" i="9" s="1"/>
  <c r="AI21" i="9"/>
  <c r="AI22" i="9" s="1"/>
  <c r="B170" i="14"/>
  <c r="AB21" i="1"/>
  <c r="AB22" i="1" s="1"/>
  <c r="AJ19" i="9"/>
  <c r="AG69" i="9"/>
  <c r="AG19" i="6" s="1"/>
  <c r="C365" i="14" l="1"/>
  <c r="I28" i="17"/>
  <c r="J28" i="17"/>
  <c r="AL47" i="9"/>
  <c r="C728" i="14"/>
  <c r="C729" i="14" s="1"/>
  <c r="C730" i="14" s="1"/>
  <c r="D58" i="20"/>
  <c r="F69" i="30"/>
  <c r="AS25" i="6" s="1"/>
  <c r="E58" i="20"/>
  <c r="H65" i="30"/>
  <c r="H67" i="30" s="1"/>
  <c r="H39" i="30"/>
  <c r="G44" i="30"/>
  <c r="G57" i="30" s="1"/>
  <c r="G60" i="30" s="1"/>
  <c r="G68" i="30" s="1"/>
  <c r="J20" i="30"/>
  <c r="F875" i="14"/>
  <c r="I21" i="30"/>
  <c r="I22" i="30" s="1"/>
  <c r="J19" i="30"/>
  <c r="F58" i="20"/>
  <c r="B731" i="14"/>
  <c r="E731" i="14" s="1"/>
  <c r="G47" i="20"/>
  <c r="F710" i="14"/>
  <c r="D21" i="32"/>
  <c r="D22" i="32" s="1"/>
  <c r="AC65" i="8"/>
  <c r="AC67" i="8" s="1"/>
  <c r="AC39" i="8"/>
  <c r="E365" i="14"/>
  <c r="F365" i="14" s="1"/>
  <c r="F480" i="14"/>
  <c r="AM36" i="9"/>
  <c r="C480" i="14"/>
  <c r="D480" i="14" s="1"/>
  <c r="E481" i="14" s="1"/>
  <c r="D20" i="20"/>
  <c r="F729" i="14"/>
  <c r="H36" i="20"/>
  <c r="AE69" i="9"/>
  <c r="AE19" i="6" s="1"/>
  <c r="C710" i="14"/>
  <c r="AF20" i="8"/>
  <c r="AH47" i="8"/>
  <c r="B366" i="14"/>
  <c r="C286" i="14"/>
  <c r="D286" i="14" s="1"/>
  <c r="E287" i="14" s="1"/>
  <c r="AI36" i="8"/>
  <c r="F286" i="14"/>
  <c r="AE19" i="8"/>
  <c r="AD21" i="8"/>
  <c r="AD22" i="8" s="1"/>
  <c r="AG58" i="8"/>
  <c r="AH44" i="9"/>
  <c r="AH57" i="9" s="1"/>
  <c r="AH60" i="9" s="1"/>
  <c r="AH68" i="9" s="1"/>
  <c r="E548" i="14"/>
  <c r="F548" i="14" s="1"/>
  <c r="F549" i="14" s="1"/>
  <c r="E170" i="14"/>
  <c r="F170" i="14" s="1"/>
  <c r="K9" i="17"/>
  <c r="C88" i="14"/>
  <c r="AA44" i="1"/>
  <c r="AA57" i="1" s="1"/>
  <c r="AA60" i="1" s="1"/>
  <c r="AA68" i="1" s="1"/>
  <c r="C170" i="14"/>
  <c r="C548" i="14"/>
  <c r="AB65" i="1"/>
  <c r="AB67" i="1" s="1"/>
  <c r="AB39" i="1"/>
  <c r="AB56" i="1" s="1"/>
  <c r="AJ21" i="9"/>
  <c r="AJ22" i="9" s="1"/>
  <c r="AF58" i="1"/>
  <c r="AI39" i="9"/>
  <c r="AI56" i="9" s="1"/>
  <c r="AI65" i="9"/>
  <c r="AI67" i="9" s="1"/>
  <c r="AD19" i="1"/>
  <c r="AK19" i="9"/>
  <c r="Z34" i="6"/>
  <c r="Z37" i="6" s="1"/>
  <c r="Y47" i="10" s="1"/>
  <c r="Y51" i="10" s="1"/>
  <c r="AC21" i="1"/>
  <c r="AC22" i="1" s="1"/>
  <c r="X12" i="10"/>
  <c r="X16" i="10" s="1"/>
  <c r="Y39" i="6"/>
  <c r="Y41" i="6" s="1"/>
  <c r="U24" i="10"/>
  <c r="U25" i="10" s="1"/>
  <c r="V10" i="10"/>
  <c r="AE20" i="1"/>
  <c r="Z69" i="1"/>
  <c r="Z17" i="6" s="1"/>
  <c r="Z27" i="6" s="1"/>
  <c r="X59" i="10"/>
  <c r="X60" i="10" s="1"/>
  <c r="Y45" i="10"/>
  <c r="AL58" i="9" l="1"/>
  <c r="G69" i="30"/>
  <c r="AT25" i="6" s="1"/>
  <c r="K28" i="17"/>
  <c r="C731" i="14"/>
  <c r="K19" i="30"/>
  <c r="J21" i="30"/>
  <c r="J22" i="30" s="1"/>
  <c r="I65" i="30"/>
  <c r="I67" i="30" s="1"/>
  <c r="I39" i="30"/>
  <c r="I56" i="30" s="1"/>
  <c r="F876" i="14"/>
  <c r="K20" i="30"/>
  <c r="H56" i="30"/>
  <c r="H44" i="30"/>
  <c r="H57" i="30" s="1"/>
  <c r="G58" i="20"/>
  <c r="B732" i="14"/>
  <c r="E732" i="14" s="1"/>
  <c r="H47" i="20"/>
  <c r="E21" i="32"/>
  <c r="E22" i="32" s="1"/>
  <c r="D39" i="32"/>
  <c r="D56" i="32" s="1"/>
  <c r="D65" i="32"/>
  <c r="D67" i="32" s="1"/>
  <c r="AI44" i="9"/>
  <c r="AI57" i="9" s="1"/>
  <c r="AI60" i="9" s="1"/>
  <c r="AI68" i="9" s="1"/>
  <c r="AC56" i="8"/>
  <c r="AC44" i="8"/>
  <c r="AC57" i="8" s="1"/>
  <c r="AG20" i="8"/>
  <c r="AL20" i="9"/>
  <c r="AL19" i="9" s="1"/>
  <c r="F481" i="14"/>
  <c r="AN36" i="9"/>
  <c r="AM47" i="9"/>
  <c r="B551" i="14"/>
  <c r="E20" i="20"/>
  <c r="F730" i="14"/>
  <c r="D21" i="20"/>
  <c r="D22" i="20" s="1"/>
  <c r="E19" i="20"/>
  <c r="D710" i="14"/>
  <c r="E711" i="14" s="1"/>
  <c r="AE21" i="8"/>
  <c r="AE22" i="8" s="1"/>
  <c r="AI47" i="8"/>
  <c r="B367" i="14"/>
  <c r="E367" i="14" s="1"/>
  <c r="C287" i="14"/>
  <c r="AJ36" i="8"/>
  <c r="F287" i="14"/>
  <c r="AH58" i="8"/>
  <c r="AF19" i="8"/>
  <c r="AD39" i="8"/>
  <c r="AD65" i="8"/>
  <c r="AD67" i="8" s="1"/>
  <c r="C366" i="14"/>
  <c r="E366" i="14"/>
  <c r="F366" i="14" s="1"/>
  <c r="AH20" i="8" s="1"/>
  <c r="E9" i="17"/>
  <c r="F9" i="17" s="1"/>
  <c r="B171" i="14" s="1"/>
  <c r="D88" i="14"/>
  <c r="D89" i="14" s="1"/>
  <c r="E91" i="14" s="1"/>
  <c r="C89" i="14"/>
  <c r="AA69" i="1"/>
  <c r="AA17" i="6" s="1"/>
  <c r="AB44" i="1"/>
  <c r="AB57" i="1" s="1"/>
  <c r="AB60" i="1" s="1"/>
  <c r="AB68" i="1" s="1"/>
  <c r="Y12" i="10"/>
  <c r="Y16" i="10" s="1"/>
  <c r="Z39" i="6"/>
  <c r="Z41" i="6" s="1"/>
  <c r="AE19" i="1"/>
  <c r="AC65" i="1"/>
  <c r="AC67" i="1" s="1"/>
  <c r="AC39" i="1"/>
  <c r="AC56" i="1" s="1"/>
  <c r="AK21" i="9"/>
  <c r="AK22" i="9" s="1"/>
  <c r="AD21" i="1"/>
  <c r="AD22" i="1" s="1"/>
  <c r="AJ65" i="9"/>
  <c r="AJ67" i="9" s="1"/>
  <c r="AJ39" i="9"/>
  <c r="AJ56" i="9" s="1"/>
  <c r="AH36" i="6"/>
  <c r="AA34" i="6"/>
  <c r="AA37" i="6" s="1"/>
  <c r="Z47" i="10" s="1"/>
  <c r="Z51" i="10" s="1"/>
  <c r="AH69" i="9"/>
  <c r="AH19" i="6" s="1"/>
  <c r="AF20" i="1"/>
  <c r="V18" i="10"/>
  <c r="Y53" i="10"/>
  <c r="Y55" i="10" s="1"/>
  <c r="Y57" i="10" s="1"/>
  <c r="Y58" i="10" s="1"/>
  <c r="C367" i="14" l="1"/>
  <c r="C91" i="14"/>
  <c r="D91" i="14" s="1"/>
  <c r="E92" i="14" s="1"/>
  <c r="F91" i="14"/>
  <c r="B174" i="14" s="1"/>
  <c r="C174" i="14" s="1"/>
  <c r="AG36" i="1"/>
  <c r="C732" i="14"/>
  <c r="H60" i="30"/>
  <c r="H68" i="30" s="1"/>
  <c r="I44" i="30"/>
  <c r="I57" i="30" s="1"/>
  <c r="I60" i="30" s="1"/>
  <c r="I68" i="30" s="1"/>
  <c r="J39" i="30"/>
  <c r="J65" i="30"/>
  <c r="J67" i="30" s="1"/>
  <c r="K21" i="30"/>
  <c r="K22" i="30" s="1"/>
  <c r="H58" i="20"/>
  <c r="AH19" i="8"/>
  <c r="AH21" i="8" s="1"/>
  <c r="AH22" i="8" s="1"/>
  <c r="D44" i="32"/>
  <c r="D57" i="32" s="1"/>
  <c r="D60" i="32" s="1"/>
  <c r="D68" i="32" s="1"/>
  <c r="AC60" i="8"/>
  <c r="AC68" i="8" s="1"/>
  <c r="AC35" i="6"/>
  <c r="F711" i="14"/>
  <c r="E39" i="32"/>
  <c r="E56" i="32" s="1"/>
  <c r="E65" i="32"/>
  <c r="E67" i="32" s="1"/>
  <c r="F21" i="32"/>
  <c r="F22" i="32" s="1"/>
  <c r="E551" i="14"/>
  <c r="F551" i="14" s="1"/>
  <c r="AM20" i="9" s="1"/>
  <c r="AL21" i="9"/>
  <c r="AL22" i="9" s="1"/>
  <c r="AL65" i="9" s="1"/>
  <c r="AL67" i="9" s="1"/>
  <c r="AG19" i="8"/>
  <c r="AM58" i="9"/>
  <c r="B552" i="14"/>
  <c r="E552" i="14" s="1"/>
  <c r="AN47" i="9"/>
  <c r="C551" i="14"/>
  <c r="D287" i="14"/>
  <c r="D65" i="20"/>
  <c r="D67" i="20" s="1"/>
  <c r="D39" i="20"/>
  <c r="D56" i="20" s="1"/>
  <c r="F20" i="20"/>
  <c r="F731" i="14"/>
  <c r="E21" i="20"/>
  <c r="E22" i="20" s="1"/>
  <c r="F19" i="20"/>
  <c r="I36" i="20"/>
  <c r="AA27" i="6"/>
  <c r="Z12" i="10" s="1"/>
  <c r="Z16" i="10" s="1"/>
  <c r="C711" i="14"/>
  <c r="AF21" i="8"/>
  <c r="AF22" i="8" s="1"/>
  <c r="B368" i="14"/>
  <c r="AJ47" i="8"/>
  <c r="AI58" i="8"/>
  <c r="AD56" i="8"/>
  <c r="AD44" i="8"/>
  <c r="AD57" i="8" s="1"/>
  <c r="AE65" i="8"/>
  <c r="AE67" i="8" s="1"/>
  <c r="AE39" i="8"/>
  <c r="F367" i="14"/>
  <c r="AI20" i="8" s="1"/>
  <c r="AI19" i="8" s="1"/>
  <c r="E171" i="14"/>
  <c r="C171" i="14"/>
  <c r="C172" i="14" s="1"/>
  <c r="B172" i="14"/>
  <c r="G9" i="17"/>
  <c r="AI69" i="9"/>
  <c r="AI19" i="6" s="1"/>
  <c r="AI36" i="6"/>
  <c r="AB69" i="1"/>
  <c r="AB17" i="6" s="1"/>
  <c r="AB34" i="6"/>
  <c r="AB37" i="6" s="1"/>
  <c r="AA47" i="10" s="1"/>
  <c r="AA51" i="10" s="1"/>
  <c r="AJ44" i="9"/>
  <c r="AJ57" i="9" s="1"/>
  <c r="AJ60" i="9" s="1"/>
  <c r="AJ68" i="9" s="1"/>
  <c r="V24" i="10"/>
  <c r="AF19" i="1"/>
  <c r="AK39" i="9"/>
  <c r="AK56" i="9" s="1"/>
  <c r="AK65" i="9"/>
  <c r="AK67" i="9" s="1"/>
  <c r="AE21" i="1"/>
  <c r="AE22" i="1" s="1"/>
  <c r="AD65" i="1"/>
  <c r="AD67" i="1" s="1"/>
  <c r="AD39" i="1"/>
  <c r="AD56" i="1" s="1"/>
  <c r="V20" i="10"/>
  <c r="V22" i="10" s="1"/>
  <c r="V23" i="10" s="1"/>
  <c r="AC44" i="1"/>
  <c r="AC57" i="1" s="1"/>
  <c r="AC60" i="1" s="1"/>
  <c r="AC68" i="1" s="1"/>
  <c r="Z45" i="10"/>
  <c r="Y59" i="10"/>
  <c r="Y60" i="10" s="1"/>
  <c r="AG47" i="1" l="1"/>
  <c r="AG58" i="1" s="1"/>
  <c r="E174" i="14"/>
  <c r="F174" i="14" s="1"/>
  <c r="AG20" i="1" s="1"/>
  <c r="C552" i="14"/>
  <c r="I69" i="30"/>
  <c r="AV25" i="6" s="1"/>
  <c r="C92" i="14"/>
  <c r="AH36" i="1"/>
  <c r="F92" i="14"/>
  <c r="E44" i="32"/>
  <c r="E57" i="32" s="1"/>
  <c r="E60" i="32" s="1"/>
  <c r="E68" i="32" s="1"/>
  <c r="D69" i="32"/>
  <c r="AQ23" i="6" s="1"/>
  <c r="J56" i="30"/>
  <c r="J44" i="30"/>
  <c r="J57" i="30" s="1"/>
  <c r="K39" i="30"/>
  <c r="K56" i="30" s="1"/>
  <c r="K65" i="30"/>
  <c r="K67" i="30" s="1"/>
  <c r="H69" i="30"/>
  <c r="AU25" i="6" s="1"/>
  <c r="B733" i="14"/>
  <c r="I47" i="20"/>
  <c r="AC69" i="8"/>
  <c r="AC18" i="6" s="1"/>
  <c r="AK44" i="9"/>
  <c r="AK57" i="9" s="1"/>
  <c r="AK60" i="9" s="1"/>
  <c r="AK68" i="9" s="1"/>
  <c r="AL39" i="9"/>
  <c r="AL56" i="9" s="1"/>
  <c r="F552" i="14"/>
  <c r="AN20" i="9" s="1"/>
  <c r="G21" i="32"/>
  <c r="G22" i="32" s="1"/>
  <c r="F65" i="32"/>
  <c r="F67" i="32" s="1"/>
  <c r="F39" i="32"/>
  <c r="F56" i="32" s="1"/>
  <c r="AG21" i="8"/>
  <c r="AG22" i="8" s="1"/>
  <c r="AA39" i="6"/>
  <c r="AA41" i="6" s="1"/>
  <c r="AN58" i="9"/>
  <c r="AM19" i="9"/>
  <c r="E288" i="14"/>
  <c r="D44" i="20"/>
  <c r="D57" i="20" s="1"/>
  <c r="D60" i="20" s="1"/>
  <c r="D68" i="20" s="1"/>
  <c r="E65" i="20"/>
  <c r="E67" i="20" s="1"/>
  <c r="E39" i="20"/>
  <c r="E56" i="20" s="1"/>
  <c r="G19" i="20"/>
  <c r="F21" i="20"/>
  <c r="F22" i="20" s="1"/>
  <c r="G20" i="20"/>
  <c r="F732" i="14"/>
  <c r="AD35" i="6"/>
  <c r="AD60" i="8"/>
  <c r="AD68" i="8" s="1"/>
  <c r="AB27" i="6"/>
  <c r="AA12" i="10" s="1"/>
  <c r="AA16" i="10" s="1"/>
  <c r="D711" i="14"/>
  <c r="E712" i="14" s="1"/>
  <c r="AE56" i="8"/>
  <c r="AE44" i="8"/>
  <c r="AE57" i="8" s="1"/>
  <c r="E368" i="14"/>
  <c r="F368" i="14" s="1"/>
  <c r="C368" i="14"/>
  <c r="AF65" i="8"/>
  <c r="AF67" i="8" s="1"/>
  <c r="AF39" i="8"/>
  <c r="AF56" i="8" s="1"/>
  <c r="AJ58" i="8"/>
  <c r="V25" i="10"/>
  <c r="F171" i="14"/>
  <c r="F172" i="14" s="1"/>
  <c r="E172" i="14"/>
  <c r="AC69" i="1"/>
  <c r="AC17" i="6" s="1"/>
  <c r="AC34" i="6"/>
  <c r="AC37" i="6" s="1"/>
  <c r="AB47" i="10" s="1"/>
  <c r="AB51" i="10" s="1"/>
  <c r="AJ36" i="6"/>
  <c r="AH39" i="8"/>
  <c r="AH56" i="8" s="1"/>
  <c r="AH65" i="8"/>
  <c r="AH67" i="8" s="1"/>
  <c r="AE65" i="1"/>
  <c r="AE67" i="1" s="1"/>
  <c r="AE39" i="1"/>
  <c r="AE56" i="1" s="1"/>
  <c r="AD44" i="1"/>
  <c r="AD57" i="1" s="1"/>
  <c r="AD60" i="1" s="1"/>
  <c r="AD68" i="1" s="1"/>
  <c r="AF21" i="1"/>
  <c r="AF22" i="1" s="1"/>
  <c r="AI21" i="8"/>
  <c r="AI22" i="8" s="1"/>
  <c r="AJ69" i="9"/>
  <c r="AJ19" i="6" s="1"/>
  <c r="W10" i="10"/>
  <c r="Z53" i="10"/>
  <c r="AH47" i="1" l="1"/>
  <c r="B175" i="14"/>
  <c r="D92" i="14"/>
  <c r="E93" i="14" s="1"/>
  <c r="C93" i="14" s="1"/>
  <c r="D93" i="14" s="1"/>
  <c r="E94" i="14" s="1"/>
  <c r="AL44" i="9"/>
  <c r="AL57" i="9" s="1"/>
  <c r="AL60" i="9" s="1"/>
  <c r="AL68" i="9" s="1"/>
  <c r="AC27" i="6"/>
  <c r="AB12" i="10" s="1"/>
  <c r="AB16" i="10" s="1"/>
  <c r="AD69" i="8"/>
  <c r="AD18" i="6" s="1"/>
  <c r="E69" i="32"/>
  <c r="AR23" i="6" s="1"/>
  <c r="K44" i="30"/>
  <c r="K57" i="30" s="1"/>
  <c r="K60" i="30" s="1"/>
  <c r="K68" i="30" s="1"/>
  <c r="AB39" i="6"/>
  <c r="AB41" i="6" s="1"/>
  <c r="J60" i="30"/>
  <c r="J68" i="30" s="1"/>
  <c r="I58" i="20"/>
  <c r="C733" i="14"/>
  <c r="E733" i="14"/>
  <c r="F733" i="14" s="1"/>
  <c r="F44" i="32"/>
  <c r="F57" i="32" s="1"/>
  <c r="F60" i="32" s="1"/>
  <c r="F68" i="32" s="1"/>
  <c r="F712" i="14"/>
  <c r="H21" i="32"/>
  <c r="H22" i="32" s="1"/>
  <c r="G39" i="32"/>
  <c r="G56" i="32" s="1"/>
  <c r="G65" i="32"/>
  <c r="G67" i="32" s="1"/>
  <c r="AG65" i="8"/>
  <c r="AG67" i="8" s="1"/>
  <c r="AG39" i="8"/>
  <c r="AM21" i="9"/>
  <c r="AM22" i="9" s="1"/>
  <c r="AN19" i="9"/>
  <c r="AK36" i="8"/>
  <c r="C288" i="14"/>
  <c r="F288" i="14"/>
  <c r="D69" i="20"/>
  <c r="AM22" i="6" s="1"/>
  <c r="H20" i="20"/>
  <c r="E44" i="20"/>
  <c r="E57" i="20" s="1"/>
  <c r="E60" i="20" s="1"/>
  <c r="E68" i="20" s="1"/>
  <c r="G21" i="20"/>
  <c r="G22" i="20" s="1"/>
  <c r="H19" i="20"/>
  <c r="F39" i="20"/>
  <c r="F56" i="20" s="1"/>
  <c r="F65" i="20"/>
  <c r="F67" i="20" s="1"/>
  <c r="J36" i="20"/>
  <c r="C712" i="14"/>
  <c r="AF44" i="8"/>
  <c r="AF57" i="8" s="1"/>
  <c r="AF60" i="8" s="1"/>
  <c r="AF68" i="8" s="1"/>
  <c r="AE60" i="8"/>
  <c r="AE68" i="8" s="1"/>
  <c r="AJ20" i="8"/>
  <c r="AH44" i="8"/>
  <c r="AH57" i="8" s="1"/>
  <c r="AH60" i="8" s="1"/>
  <c r="AH68" i="8" s="1"/>
  <c r="AK36" i="6"/>
  <c r="AE44" i="1"/>
  <c r="AE57" i="1" s="1"/>
  <c r="AE60" i="1" s="1"/>
  <c r="AE68" i="1" s="1"/>
  <c r="AI39" i="8"/>
  <c r="AI56" i="8" s="1"/>
  <c r="AI65" i="8"/>
  <c r="AI67" i="8" s="1"/>
  <c r="AF65" i="1"/>
  <c r="AF67" i="1" s="1"/>
  <c r="AF39" i="1"/>
  <c r="AF56" i="1" s="1"/>
  <c r="AK69" i="9"/>
  <c r="AK19" i="6" s="1"/>
  <c r="W18" i="10"/>
  <c r="W20" i="10" s="1"/>
  <c r="W22" i="10" s="1"/>
  <c r="AG19" i="1"/>
  <c r="AD34" i="6"/>
  <c r="AD37" i="6" s="1"/>
  <c r="AC47" i="10" s="1"/>
  <c r="AC51" i="10" s="1"/>
  <c r="AD69" i="1"/>
  <c r="AD17" i="6" s="1"/>
  <c r="Z59" i="10"/>
  <c r="Z60" i="10" s="1"/>
  <c r="AA45" i="10"/>
  <c r="Z55" i="10"/>
  <c r="Z57" i="10" s="1"/>
  <c r="C94" i="14" l="1"/>
  <c r="D94" i="14" s="1"/>
  <c r="E95" i="14" s="1"/>
  <c r="C95" i="14" s="1"/>
  <c r="D95" i="14" s="1"/>
  <c r="E96" i="14" s="1"/>
  <c r="C96" i="14" s="1"/>
  <c r="F94" i="14"/>
  <c r="B177" i="14" s="1"/>
  <c r="AJ36" i="1"/>
  <c r="E175" i="14"/>
  <c r="F175" i="14" s="1"/>
  <c r="AH20" i="1" s="1"/>
  <c r="AH19" i="1" s="1"/>
  <c r="C175" i="14"/>
  <c r="F93" i="14"/>
  <c r="AI36" i="1"/>
  <c r="AH58" i="1"/>
  <c r="AL36" i="6"/>
  <c r="AL69" i="9"/>
  <c r="AL19" i="6" s="1"/>
  <c r="AD27" i="6"/>
  <c r="AD39" i="6" s="1"/>
  <c r="AC39" i="6"/>
  <c r="AC41" i="6" s="1"/>
  <c r="K69" i="30"/>
  <c r="AX25" i="6" s="1"/>
  <c r="G44" i="32"/>
  <c r="G57" i="32" s="1"/>
  <c r="G60" i="32" s="1"/>
  <c r="G68" i="32" s="1"/>
  <c r="J69" i="30"/>
  <c r="AW25" i="6" s="1"/>
  <c r="B734" i="14"/>
  <c r="E734" i="14" s="1"/>
  <c r="F734" i="14" s="1"/>
  <c r="J47" i="20"/>
  <c r="F69" i="32"/>
  <c r="AS23" i="6" s="1"/>
  <c r="I20" i="20"/>
  <c r="I21" i="32"/>
  <c r="I22" i="32" s="1"/>
  <c r="H39" i="32"/>
  <c r="H56" i="32" s="1"/>
  <c r="H65" i="32"/>
  <c r="H67" i="32" s="1"/>
  <c r="AG56" i="8"/>
  <c r="AG44" i="8"/>
  <c r="AG57" i="8" s="1"/>
  <c r="AN21" i="9"/>
  <c r="AN22" i="9" s="1"/>
  <c r="AM65" i="9"/>
  <c r="AM67" i="9" s="1"/>
  <c r="AM39" i="9"/>
  <c r="AM56" i="9" s="1"/>
  <c r="AI44" i="8"/>
  <c r="AI57" i="8" s="1"/>
  <c r="AI60" i="8" s="1"/>
  <c r="AI68" i="8" s="1"/>
  <c r="B369" i="14"/>
  <c r="AK47" i="8"/>
  <c r="D288" i="14"/>
  <c r="E289" i="14" s="1"/>
  <c r="C289" i="14" s="1"/>
  <c r="E69" i="20"/>
  <c r="AN22" i="6" s="1"/>
  <c r="F44" i="20"/>
  <c r="F57" i="20" s="1"/>
  <c r="F60" i="20" s="1"/>
  <c r="F68" i="20" s="1"/>
  <c r="G65" i="20"/>
  <c r="G67" i="20" s="1"/>
  <c r="G39" i="20"/>
  <c r="G56" i="20" s="1"/>
  <c r="AE35" i="6"/>
  <c r="H21" i="20"/>
  <c r="H22" i="20" s="1"/>
  <c r="I19" i="20"/>
  <c r="D712" i="14"/>
  <c r="E713" i="14" s="1"/>
  <c r="AF69" i="8"/>
  <c r="AF18" i="6" s="1"/>
  <c r="AJ19" i="8"/>
  <c r="AE69" i="8"/>
  <c r="AE18" i="6" s="1"/>
  <c r="AH69" i="8"/>
  <c r="AH18" i="6" s="1"/>
  <c r="AE34" i="6"/>
  <c r="AE69" i="1"/>
  <c r="AE17" i="6" s="1"/>
  <c r="AG21" i="1"/>
  <c r="AG22" i="1" s="1"/>
  <c r="AH35" i="6"/>
  <c r="AF44" i="1"/>
  <c r="AF57" i="1" s="1"/>
  <c r="AF60" i="1" s="1"/>
  <c r="AF68" i="1" s="1"/>
  <c r="W24" i="10"/>
  <c r="W25" i="10" s="1"/>
  <c r="X10" i="10"/>
  <c r="AA53" i="10"/>
  <c r="AA55" i="10" s="1"/>
  <c r="AA57" i="10" s="1"/>
  <c r="AJ47" i="1" l="1"/>
  <c r="AC12" i="10"/>
  <c r="AC16" i="10" s="1"/>
  <c r="F95" i="14"/>
  <c r="AK47" i="1" s="1"/>
  <c r="AK36" i="1"/>
  <c r="B176" i="14"/>
  <c r="E176" i="14" s="1"/>
  <c r="F176" i="14" s="1"/>
  <c r="AI20" i="1" s="1"/>
  <c r="AI19" i="1" s="1"/>
  <c r="AI47" i="1"/>
  <c r="AI35" i="6"/>
  <c r="H44" i="32"/>
  <c r="H57" i="32" s="1"/>
  <c r="H60" i="32" s="1"/>
  <c r="H68" i="32" s="1"/>
  <c r="AD41" i="6"/>
  <c r="C734" i="14"/>
  <c r="J19" i="20"/>
  <c r="J58" i="20"/>
  <c r="G69" i="32"/>
  <c r="AT23" i="6" s="1"/>
  <c r="F713" i="14"/>
  <c r="J20" i="20"/>
  <c r="AG35" i="6"/>
  <c r="AG60" i="8"/>
  <c r="AG68" i="8" s="1"/>
  <c r="I65" i="32"/>
  <c r="I67" i="32" s="1"/>
  <c r="I39" i="32"/>
  <c r="I56" i="32" s="1"/>
  <c r="AM44" i="9"/>
  <c r="AM57" i="9" s="1"/>
  <c r="AM60" i="9" s="1"/>
  <c r="AM68" i="9" s="1"/>
  <c r="AE37" i="6"/>
  <c r="AD47" i="10" s="1"/>
  <c r="AD51" i="10" s="1"/>
  <c r="AN39" i="9"/>
  <c r="AN56" i="9" s="1"/>
  <c r="AN65" i="9"/>
  <c r="AN67" i="9" s="1"/>
  <c r="D289" i="14"/>
  <c r="E292" i="14" s="1"/>
  <c r="AF35" i="6"/>
  <c r="AK58" i="8"/>
  <c r="AL36" i="8"/>
  <c r="F289" i="14"/>
  <c r="E369" i="14"/>
  <c r="F369" i="14" s="1"/>
  <c r="C369" i="14"/>
  <c r="D96" i="14"/>
  <c r="E100" i="14" s="1"/>
  <c r="G44" i="20"/>
  <c r="G57" i="20" s="1"/>
  <c r="G60" i="20" s="1"/>
  <c r="G68" i="20" s="1"/>
  <c r="F69" i="20"/>
  <c r="AO22" i="6" s="1"/>
  <c r="I21" i="20"/>
  <c r="I22" i="20" s="1"/>
  <c r="H65" i="20"/>
  <c r="H67" i="20" s="1"/>
  <c r="H39" i="20"/>
  <c r="H56" i="20" s="1"/>
  <c r="K36" i="20"/>
  <c r="AE27" i="6"/>
  <c r="C713" i="14"/>
  <c r="AJ21" i="8"/>
  <c r="AJ22" i="8" s="1"/>
  <c r="AJ58" i="1"/>
  <c r="X18" i="10"/>
  <c r="X20" i="10" s="1"/>
  <c r="X22" i="10" s="1"/>
  <c r="AG39" i="1"/>
  <c r="AG56" i="1" s="1"/>
  <c r="AG65" i="1"/>
  <c r="AG67" i="1" s="1"/>
  <c r="F96" i="14"/>
  <c r="AL36" i="1"/>
  <c r="AH21" i="1"/>
  <c r="AH22" i="1" s="1"/>
  <c r="E177" i="14"/>
  <c r="AI69" i="8"/>
  <c r="AI18" i="6" s="1"/>
  <c r="AF69" i="1"/>
  <c r="AF17" i="6" s="1"/>
  <c r="AF27" i="6" s="1"/>
  <c r="AF34" i="6"/>
  <c r="AB45" i="10"/>
  <c r="AA59" i="10"/>
  <c r="AA60" i="10" s="1"/>
  <c r="B178" i="14" l="1"/>
  <c r="E178" i="14" s="1"/>
  <c r="C176" i="14"/>
  <c r="C177" i="14" s="1"/>
  <c r="F177" i="14"/>
  <c r="AI58" i="1"/>
  <c r="AM69" i="9"/>
  <c r="AM19" i="6" s="1"/>
  <c r="AG69" i="8"/>
  <c r="AG18" i="6" s="1"/>
  <c r="B735" i="14"/>
  <c r="K47" i="20"/>
  <c r="H69" i="32"/>
  <c r="AU23" i="6" s="1"/>
  <c r="J21" i="20"/>
  <c r="J22" i="20" s="1"/>
  <c r="J39" i="20" s="1"/>
  <c r="J56" i="20" s="1"/>
  <c r="AN44" i="9"/>
  <c r="AN57" i="9" s="1"/>
  <c r="AN60" i="9" s="1"/>
  <c r="AN68" i="9" s="1"/>
  <c r="K19" i="20"/>
  <c r="J21" i="32"/>
  <c r="J22" i="32" s="1"/>
  <c r="I44" i="32"/>
  <c r="I57" i="32" s="1"/>
  <c r="I60" i="32" s="1"/>
  <c r="I68" i="32" s="1"/>
  <c r="AE39" i="6"/>
  <c r="AE41" i="6" s="1"/>
  <c r="AK20" i="8"/>
  <c r="AF37" i="6"/>
  <c r="AE47" i="10" s="1"/>
  <c r="AE51" i="10" s="1"/>
  <c r="F292" i="14"/>
  <c r="AM36" i="8"/>
  <c r="F100" i="14"/>
  <c r="AM36" i="1"/>
  <c r="AG44" i="1"/>
  <c r="AG57" i="1" s="1"/>
  <c r="AG60" i="1" s="1"/>
  <c r="AG68" i="1" s="1"/>
  <c r="C292" i="14"/>
  <c r="D292" i="14" s="1"/>
  <c r="E293" i="14" s="1"/>
  <c r="B370" i="14"/>
  <c r="AL47" i="8"/>
  <c r="C100" i="14"/>
  <c r="G69" i="20"/>
  <c r="AP22" i="6" s="1"/>
  <c r="H44" i="20"/>
  <c r="H57" i="20" s="1"/>
  <c r="H60" i="20" s="1"/>
  <c r="H68" i="20" s="1"/>
  <c r="I39" i="20"/>
  <c r="I56" i="20" s="1"/>
  <c r="I65" i="20"/>
  <c r="I67" i="20" s="1"/>
  <c r="AD12" i="10"/>
  <c r="AD16" i="10" s="1"/>
  <c r="D713" i="14"/>
  <c r="E714" i="14" s="1"/>
  <c r="AJ39" i="8"/>
  <c r="AJ65" i="8"/>
  <c r="AJ67" i="8" s="1"/>
  <c r="AE12" i="10"/>
  <c r="AE16" i="10" s="1"/>
  <c r="AK58" i="1"/>
  <c r="AH39" i="1"/>
  <c r="AH56" i="1" s="1"/>
  <c r="AH65" i="1"/>
  <c r="AH67" i="1" s="1"/>
  <c r="X24" i="10"/>
  <c r="X25" i="10" s="1"/>
  <c r="Y10" i="10"/>
  <c r="AI21" i="1"/>
  <c r="AI22" i="1" s="1"/>
  <c r="B179" i="14"/>
  <c r="AL47" i="1"/>
  <c r="AB53" i="10"/>
  <c r="AB55" i="10" s="1"/>
  <c r="AB57" i="10" s="1"/>
  <c r="AB58" i="10" s="1"/>
  <c r="F178" i="14" l="1"/>
  <c r="C178" i="14"/>
  <c r="C179" i="14" s="1"/>
  <c r="AJ20" i="1"/>
  <c r="AJ19" i="1" s="1"/>
  <c r="AN69" i="9"/>
  <c r="AN19" i="6" s="1"/>
  <c r="K58" i="20"/>
  <c r="E735" i="14"/>
  <c r="F735" i="14" s="1"/>
  <c r="K20" i="20" s="1"/>
  <c r="L19" i="20" s="1"/>
  <c r="C735" i="14"/>
  <c r="I69" i="32"/>
  <c r="AV23" i="6" s="1"/>
  <c r="C370" i="14"/>
  <c r="B371" i="14"/>
  <c r="AK19" i="8"/>
  <c r="AK21" i="8" s="1"/>
  <c r="AK22" i="8" s="1"/>
  <c r="J65" i="20"/>
  <c r="J67" i="20" s="1"/>
  <c r="F714" i="14"/>
  <c r="K21" i="32"/>
  <c r="K22" i="32" s="1"/>
  <c r="J39" i="32"/>
  <c r="J56" i="32" s="1"/>
  <c r="J65" i="32"/>
  <c r="J67" i="32" s="1"/>
  <c r="AF39" i="6"/>
  <c r="AF41" i="6" s="1"/>
  <c r="E370" i="14"/>
  <c r="F370" i="14" s="1"/>
  <c r="F371" i="14" s="1"/>
  <c r="E179" i="14"/>
  <c r="B180" i="14"/>
  <c r="F293" i="14"/>
  <c r="AN47" i="8" s="1"/>
  <c r="AN36" i="8"/>
  <c r="B373" i="14"/>
  <c r="AM47" i="8"/>
  <c r="B182" i="14"/>
  <c r="AM47" i="1"/>
  <c r="C293" i="14"/>
  <c r="D293" i="14" s="1"/>
  <c r="E294" i="14" s="1"/>
  <c r="AL58" i="8"/>
  <c r="AH44" i="1"/>
  <c r="AH57" i="1" s="1"/>
  <c r="AH60" i="1" s="1"/>
  <c r="AH68" i="1" s="1"/>
  <c r="D100" i="14"/>
  <c r="E101" i="14" s="1"/>
  <c r="J44" i="20"/>
  <c r="J57" i="20" s="1"/>
  <c r="J60" i="20" s="1"/>
  <c r="J68" i="20" s="1"/>
  <c r="H69" i="20"/>
  <c r="AQ22" i="6" s="1"/>
  <c r="I44" i="20"/>
  <c r="I57" i="20" s="1"/>
  <c r="I60" i="20" s="1"/>
  <c r="I68" i="20" s="1"/>
  <c r="L36" i="20"/>
  <c r="C714" i="14"/>
  <c r="AJ56" i="8"/>
  <c r="AJ44" i="8"/>
  <c r="AJ57" i="8" s="1"/>
  <c r="AG69" i="1"/>
  <c r="AG17" i="6" s="1"/>
  <c r="AG34" i="6"/>
  <c r="AG37" i="6" s="1"/>
  <c r="AF47" i="10" s="1"/>
  <c r="AF51" i="10" s="1"/>
  <c r="AL58" i="1"/>
  <c r="AI39" i="1"/>
  <c r="AI56" i="1" s="1"/>
  <c r="AI65" i="1"/>
  <c r="AI67" i="1" s="1"/>
  <c r="Y18" i="10"/>
  <c r="AK20" i="1"/>
  <c r="AB59" i="10"/>
  <c r="AB60" i="10" s="1"/>
  <c r="AC45" i="10"/>
  <c r="F179" i="14" l="1"/>
  <c r="F180" i="14" s="1"/>
  <c r="J44" i="32"/>
  <c r="J57" i="32" s="1"/>
  <c r="J60" i="32" s="1"/>
  <c r="J68" i="32" s="1"/>
  <c r="B736" i="14"/>
  <c r="E736" i="14" s="1"/>
  <c r="F736" i="14" s="1"/>
  <c r="L20" i="20" s="1"/>
  <c r="L21" i="20" s="1"/>
  <c r="L22" i="20" s="1"/>
  <c r="L65" i="20" s="1"/>
  <c r="L67" i="20" s="1"/>
  <c r="L47" i="20"/>
  <c r="K21" i="20"/>
  <c r="K22" i="20" s="1"/>
  <c r="K65" i="32"/>
  <c r="K67" i="32" s="1"/>
  <c r="K39" i="32"/>
  <c r="K56" i="32" s="1"/>
  <c r="E373" i="14"/>
  <c r="F373" i="14" s="1"/>
  <c r="AL20" i="8"/>
  <c r="E182" i="14"/>
  <c r="C182" i="14"/>
  <c r="B374" i="14"/>
  <c r="E374" i="14" s="1"/>
  <c r="C373" i="14"/>
  <c r="F294" i="14"/>
  <c r="AO47" i="8" s="1"/>
  <c r="AO36" i="8"/>
  <c r="AM58" i="8"/>
  <c r="AN58" i="8"/>
  <c r="F101" i="14"/>
  <c r="AN36" i="1"/>
  <c r="AM58" i="1"/>
  <c r="C294" i="14"/>
  <c r="D294" i="14" s="1"/>
  <c r="E295" i="14" s="1"/>
  <c r="AK39" i="8"/>
  <c r="AK56" i="8" s="1"/>
  <c r="AK65" i="8"/>
  <c r="AK67" i="8" s="1"/>
  <c r="AL20" i="1"/>
  <c r="C101" i="14"/>
  <c r="J69" i="20"/>
  <c r="AS22" i="6" s="1"/>
  <c r="I69" i="20"/>
  <c r="AR22" i="6" s="1"/>
  <c r="AG27" i="6"/>
  <c r="AF12" i="10" s="1"/>
  <c r="AF16" i="10" s="1"/>
  <c r="D714" i="14"/>
  <c r="E715" i="14" s="1"/>
  <c r="AJ60" i="8"/>
  <c r="AJ68" i="8" s="1"/>
  <c r="AK19" i="1"/>
  <c r="Y24" i="10"/>
  <c r="Y20" i="10"/>
  <c r="Y22" i="10" s="1"/>
  <c r="Y23" i="10" s="1"/>
  <c r="AH69" i="1"/>
  <c r="AH17" i="6" s="1"/>
  <c r="AH27" i="6" s="1"/>
  <c r="AI44" i="1"/>
  <c r="AI57" i="1" s="1"/>
  <c r="AI60" i="1" s="1"/>
  <c r="AI68" i="1" s="1"/>
  <c r="AJ21" i="1"/>
  <c r="AJ22" i="1" s="1"/>
  <c r="AH34" i="6"/>
  <c r="AH37" i="6" s="1"/>
  <c r="AG47" i="10" s="1"/>
  <c r="AG51" i="10" s="1"/>
  <c r="AC53" i="10"/>
  <c r="F182" i="14" l="1"/>
  <c r="B375" i="14"/>
  <c r="E375" i="14" s="1"/>
  <c r="AJ69" i="8"/>
  <c r="AJ18" i="6" s="1"/>
  <c r="C736" i="14"/>
  <c r="L58" i="20"/>
  <c r="K65" i="20"/>
  <c r="K67" i="20" s="1"/>
  <c r="K39" i="20"/>
  <c r="J69" i="32"/>
  <c r="AW23" i="6" s="1"/>
  <c r="L39" i="20"/>
  <c r="L56" i="20" s="1"/>
  <c r="AK44" i="8"/>
  <c r="AK57" i="8" s="1"/>
  <c r="AK60" i="8" s="1"/>
  <c r="AK68" i="8" s="1"/>
  <c r="AG39" i="6"/>
  <c r="AG41" i="6" s="1"/>
  <c r="M19" i="20"/>
  <c r="F715" i="14"/>
  <c r="K44" i="32"/>
  <c r="K57" i="32" s="1"/>
  <c r="K60" i="32" s="1"/>
  <c r="K68" i="32" s="1"/>
  <c r="F374" i="14"/>
  <c r="AN20" i="8" s="1"/>
  <c r="AL19" i="8"/>
  <c r="AM20" i="8"/>
  <c r="C374" i="14"/>
  <c r="AM20" i="1"/>
  <c r="AM19" i="1" s="1"/>
  <c r="AO58" i="8"/>
  <c r="B183" i="14"/>
  <c r="AN47" i="1"/>
  <c r="F295" i="14"/>
  <c r="AP47" i="8" s="1"/>
  <c r="AP36" i="8"/>
  <c r="C295" i="14"/>
  <c r="D101" i="14"/>
  <c r="E102" i="14" s="1"/>
  <c r="M36" i="20"/>
  <c r="AJ35" i="6"/>
  <c r="C715" i="14"/>
  <c r="Y25" i="10"/>
  <c r="AJ39" i="1"/>
  <c r="AJ56" i="1" s="1"/>
  <c r="AJ65" i="1"/>
  <c r="AJ67" i="1" s="1"/>
  <c r="AL19" i="1"/>
  <c r="AK21" i="1"/>
  <c r="AK22" i="1" s="1"/>
  <c r="AI69" i="1"/>
  <c r="AI17" i="6" s="1"/>
  <c r="AI27" i="6" s="1"/>
  <c r="Z10" i="10"/>
  <c r="AG12" i="10"/>
  <c r="AG16" i="10" s="1"/>
  <c r="AH39" i="6"/>
  <c r="AH41" i="6" s="1"/>
  <c r="AI34" i="6"/>
  <c r="AI37" i="6" s="1"/>
  <c r="AH47" i="10" s="1"/>
  <c r="AH51" i="10" s="1"/>
  <c r="AC59" i="10"/>
  <c r="AC60" i="10" s="1"/>
  <c r="AD45" i="10"/>
  <c r="AC55" i="10"/>
  <c r="AC57" i="10" s="1"/>
  <c r="C375" i="14" l="1"/>
  <c r="L44" i="20"/>
  <c r="L57" i="20" s="1"/>
  <c r="L60" i="20" s="1"/>
  <c r="L68" i="20" s="1"/>
  <c r="K56" i="20"/>
  <c r="K44" i="20"/>
  <c r="K57" i="20" s="1"/>
  <c r="B737" i="14"/>
  <c r="E737" i="14" s="1"/>
  <c r="F737" i="14" s="1"/>
  <c r="M20" i="20" s="1"/>
  <c r="M21" i="20" s="1"/>
  <c r="M22" i="20" s="1"/>
  <c r="M39" i="20" s="1"/>
  <c r="M56" i="20" s="1"/>
  <c r="M47" i="20"/>
  <c r="AK69" i="8"/>
  <c r="AK18" i="6" s="1"/>
  <c r="K69" i="32"/>
  <c r="AX23" i="6" s="1"/>
  <c r="AJ44" i="1"/>
  <c r="AJ57" i="1" s="1"/>
  <c r="AJ60" i="1" s="1"/>
  <c r="AJ68" i="1" s="1"/>
  <c r="F375" i="14"/>
  <c r="AO20" i="8" s="1"/>
  <c r="AN19" i="8"/>
  <c r="AM19" i="8"/>
  <c r="AL21" i="8"/>
  <c r="AL22" i="8" s="1"/>
  <c r="B376" i="14"/>
  <c r="F102" i="14"/>
  <c r="AO36" i="1"/>
  <c r="AN58" i="1"/>
  <c r="E183" i="14"/>
  <c r="F183" i="14" s="1"/>
  <c r="C183" i="14"/>
  <c r="AP58" i="8"/>
  <c r="D295" i="14"/>
  <c r="E296" i="14" s="1"/>
  <c r="C102" i="14"/>
  <c r="AM21" i="1"/>
  <c r="AM22" i="1" s="1"/>
  <c r="D715" i="14"/>
  <c r="E716" i="14" s="1"/>
  <c r="AK39" i="1"/>
  <c r="AK56" i="1" s="1"/>
  <c r="AK65" i="1"/>
  <c r="AK67" i="1" s="1"/>
  <c r="AL21" i="1"/>
  <c r="AL22" i="1" s="1"/>
  <c r="Z18" i="10"/>
  <c r="Z20" i="10" s="1"/>
  <c r="Z22" i="10" s="1"/>
  <c r="AH12" i="10"/>
  <c r="AH16" i="10" s="1"/>
  <c r="AI39" i="6"/>
  <c r="AI41" i="6" s="1"/>
  <c r="AD53" i="10"/>
  <c r="AD55" i="10" s="1"/>
  <c r="AD57" i="10" s="1"/>
  <c r="AK35" i="6" l="1"/>
  <c r="C737" i="14"/>
  <c r="L69" i="20"/>
  <c r="AU22" i="6" s="1"/>
  <c r="M58" i="20"/>
  <c r="K60" i="20"/>
  <c r="K68" i="20" s="1"/>
  <c r="AO19" i="8"/>
  <c r="AN21" i="8"/>
  <c r="AN22" i="8" s="1"/>
  <c r="AN39" i="8" s="1"/>
  <c r="AN56" i="8" s="1"/>
  <c r="AK44" i="1"/>
  <c r="AK57" i="1" s="1"/>
  <c r="AK60" i="1" s="1"/>
  <c r="AK68" i="1" s="1"/>
  <c r="M65" i="20"/>
  <c r="M67" i="20" s="1"/>
  <c r="F716" i="14"/>
  <c r="N19" i="20"/>
  <c r="M44" i="20"/>
  <c r="M57" i="20" s="1"/>
  <c r="AM21" i="8"/>
  <c r="AM22" i="8" s="1"/>
  <c r="E376" i="14"/>
  <c r="F376" i="14" s="1"/>
  <c r="AL39" i="8"/>
  <c r="AL65" i="8"/>
  <c r="AL67" i="8" s="1"/>
  <c r="AN20" i="1"/>
  <c r="C376" i="14"/>
  <c r="B184" i="14"/>
  <c r="AO47" i="1"/>
  <c r="F296" i="14"/>
  <c r="AQ47" i="8" s="1"/>
  <c r="AQ36" i="8"/>
  <c r="C296" i="14"/>
  <c r="D102" i="14"/>
  <c r="E104" i="14" s="1"/>
  <c r="E106" i="14" s="1"/>
  <c r="AM39" i="1"/>
  <c r="AM56" i="1" s="1"/>
  <c r="AM65" i="1"/>
  <c r="AM67" i="1" s="1"/>
  <c r="N36" i="20"/>
  <c r="C716" i="14"/>
  <c r="AL65" i="1"/>
  <c r="AL67" i="1" s="1"/>
  <c r="AL39" i="1"/>
  <c r="AL56" i="1" s="1"/>
  <c r="AJ34" i="6"/>
  <c r="AJ37" i="6" s="1"/>
  <c r="AI47" i="10" s="1"/>
  <c r="AI51" i="10" s="1"/>
  <c r="Z24" i="10"/>
  <c r="Z25" i="10" s="1"/>
  <c r="AA10" i="10"/>
  <c r="AJ69" i="1"/>
  <c r="AJ17" i="6" s="1"/>
  <c r="AJ27" i="6" s="1"/>
  <c r="AD59" i="10"/>
  <c r="AD60" i="10" s="1"/>
  <c r="AE45" i="10"/>
  <c r="M60" i="20" l="1"/>
  <c r="M68" i="20" s="1"/>
  <c r="B738" i="14"/>
  <c r="E738" i="14" s="1"/>
  <c r="F738" i="14" s="1"/>
  <c r="N20" i="20" s="1"/>
  <c r="N21" i="20" s="1"/>
  <c r="N22" i="20" s="1"/>
  <c r="N39" i="20" s="1"/>
  <c r="N56" i="20" s="1"/>
  <c r="N47" i="20"/>
  <c r="K69" i="20"/>
  <c r="AT22" i="6" s="1"/>
  <c r="AO21" i="8"/>
  <c r="AO22" i="8" s="1"/>
  <c r="AO65" i="8" s="1"/>
  <c r="AO67" i="8" s="1"/>
  <c r="AN65" i="8"/>
  <c r="AN67" i="8" s="1"/>
  <c r="B377" i="14"/>
  <c r="E377" i="14" s="1"/>
  <c r="F377" i="14" s="1"/>
  <c r="AQ20" i="8" s="1"/>
  <c r="AN19" i="1"/>
  <c r="AL56" i="8"/>
  <c r="AL44" i="8"/>
  <c r="AL57" i="8" s="1"/>
  <c r="AP20" i="8"/>
  <c r="AM65" i="8"/>
  <c r="AM67" i="8" s="1"/>
  <c r="AM39" i="8"/>
  <c r="AM56" i="8" s="1"/>
  <c r="AN44" i="8"/>
  <c r="AN57" i="8" s="1"/>
  <c r="AN60" i="8" s="1"/>
  <c r="AN68" i="8" s="1"/>
  <c r="E184" i="14"/>
  <c r="F184" i="14" s="1"/>
  <c r="C184" i="14"/>
  <c r="AO58" i="1"/>
  <c r="AM44" i="1"/>
  <c r="AM57" i="1" s="1"/>
  <c r="AM60" i="1" s="1"/>
  <c r="AM68" i="1" s="1"/>
  <c r="F104" i="14"/>
  <c r="F106" i="14" s="1"/>
  <c r="AP36" i="1"/>
  <c r="AQ58" i="8"/>
  <c r="D296" i="14"/>
  <c r="E297" i="14" s="1"/>
  <c r="C104" i="14"/>
  <c r="D716" i="14"/>
  <c r="E717" i="14" s="1"/>
  <c r="AA18" i="10"/>
  <c r="AK69" i="1"/>
  <c r="AK17" i="6" s="1"/>
  <c r="AK27" i="6" s="1"/>
  <c r="AL44" i="1"/>
  <c r="AL57" i="1" s="1"/>
  <c r="AL60" i="1" s="1"/>
  <c r="AL68" i="1" s="1"/>
  <c r="AK34" i="6"/>
  <c r="AK37" i="6" s="1"/>
  <c r="AJ47" i="10" s="1"/>
  <c r="AJ51" i="10" s="1"/>
  <c r="AI12" i="10"/>
  <c r="AI16" i="10" s="1"/>
  <c r="AJ39" i="6"/>
  <c r="AJ41" i="6" s="1"/>
  <c r="AE53" i="10"/>
  <c r="M69" i="20" l="1"/>
  <c r="AV22" i="6" s="1"/>
  <c r="AO39" i="8"/>
  <c r="AO56" i="8" s="1"/>
  <c r="I10" i="17"/>
  <c r="C738" i="14"/>
  <c r="N58" i="20"/>
  <c r="AM69" i="1"/>
  <c r="AM17" i="6" s="1"/>
  <c r="N65" i="20"/>
  <c r="N67" i="20" s="1"/>
  <c r="C377" i="14"/>
  <c r="AQ19" i="8"/>
  <c r="AQ21" i="8" s="1"/>
  <c r="AQ22" i="8" s="1"/>
  <c r="O19" i="20"/>
  <c r="F717" i="14"/>
  <c r="N44" i="20"/>
  <c r="N57" i="20" s="1"/>
  <c r="AN21" i="1"/>
  <c r="AN22" i="1" s="1"/>
  <c r="AN39" i="1" s="1"/>
  <c r="AN56" i="1" s="1"/>
  <c r="AL60" i="8"/>
  <c r="AL68" i="8" s="1"/>
  <c r="AM44" i="8"/>
  <c r="AM57" i="8" s="1"/>
  <c r="AM60" i="8" s="1"/>
  <c r="AM68" i="8" s="1"/>
  <c r="AP19" i="8"/>
  <c r="AO20" i="1"/>
  <c r="AO19" i="1" s="1"/>
  <c r="AN69" i="8"/>
  <c r="AN18" i="6" s="1"/>
  <c r="B186" i="14"/>
  <c r="AP47" i="1"/>
  <c r="F297" i="14"/>
  <c r="AR47" i="8" s="1"/>
  <c r="AR36" i="8"/>
  <c r="C297" i="14"/>
  <c r="D104" i="14"/>
  <c r="O36" i="20"/>
  <c r="C717" i="14"/>
  <c r="AL34" i="6"/>
  <c r="AJ12" i="10"/>
  <c r="AJ16" i="10" s="1"/>
  <c r="AK39" i="6"/>
  <c r="AK41" i="6" s="1"/>
  <c r="AA24" i="10"/>
  <c r="AA25" i="10" s="1"/>
  <c r="AB10" i="10"/>
  <c r="AL69" i="1"/>
  <c r="AL17" i="6" s="1"/>
  <c r="AA20" i="10"/>
  <c r="AA22" i="10" s="1"/>
  <c r="AE59" i="10"/>
  <c r="AF45" i="10"/>
  <c r="AE55" i="10"/>
  <c r="AE57" i="10" s="1"/>
  <c r="AE58" i="10" s="1"/>
  <c r="AE60" i="10" l="1"/>
  <c r="AO44" i="8"/>
  <c r="AO57" i="8" s="1"/>
  <c r="AO60" i="8" s="1"/>
  <c r="AO68" i="8" s="1"/>
  <c r="J10" i="17"/>
  <c r="K23" i="17" s="1"/>
  <c r="I13" i="17"/>
  <c r="N60" i="20"/>
  <c r="N68" i="20" s="1"/>
  <c r="B739" i="14"/>
  <c r="C739" i="14" s="1"/>
  <c r="O47" i="20"/>
  <c r="AN65" i="1"/>
  <c r="AN67" i="1" s="1"/>
  <c r="AM69" i="8"/>
  <c r="AM18" i="6" s="1"/>
  <c r="AM27" i="6" s="1"/>
  <c r="AL12" i="10" s="1"/>
  <c r="AL16" i="10" s="1"/>
  <c r="AL35" i="6"/>
  <c r="AL37" i="6" s="1"/>
  <c r="AK47" i="10" s="1"/>
  <c r="AK51" i="10" s="1"/>
  <c r="AL69" i="8"/>
  <c r="AL18" i="6" s="1"/>
  <c r="AL27" i="6" s="1"/>
  <c r="AP21" i="8"/>
  <c r="AP22" i="8" s="1"/>
  <c r="AN44" i="1"/>
  <c r="AN57" i="1" s="1"/>
  <c r="AN60" i="1" s="1"/>
  <c r="AN68" i="1" s="1"/>
  <c r="AO21" i="1"/>
  <c r="AO22" i="1" s="1"/>
  <c r="AP58" i="1"/>
  <c r="C186" i="14"/>
  <c r="E10" i="17" s="1"/>
  <c r="E186" i="14"/>
  <c r="B378" i="14"/>
  <c r="C378" i="14" s="1"/>
  <c r="AR58" i="8"/>
  <c r="AQ39" i="8"/>
  <c r="AQ56" i="8" s="1"/>
  <c r="AQ65" i="8"/>
  <c r="AQ67" i="8" s="1"/>
  <c r="D297" i="14"/>
  <c r="E298" i="14" s="1"/>
  <c r="D717" i="14"/>
  <c r="AB18" i="10"/>
  <c r="AF53" i="10"/>
  <c r="AO69" i="8" l="1"/>
  <c r="AO18" i="6" s="1"/>
  <c r="I29" i="17"/>
  <c r="J29" i="17"/>
  <c r="J31" i="17" s="1"/>
  <c r="F10" i="17"/>
  <c r="E13" i="17"/>
  <c r="F186" i="14"/>
  <c r="AP20" i="1" s="1"/>
  <c r="C105" i="14"/>
  <c r="K10" i="17"/>
  <c r="K13" i="17" s="1"/>
  <c r="J13" i="17"/>
  <c r="N69" i="20"/>
  <c r="AW22" i="6" s="1"/>
  <c r="O58" i="20"/>
  <c r="B740" i="14"/>
  <c r="E739" i="14"/>
  <c r="F739" i="14" s="1"/>
  <c r="AQ44" i="8"/>
  <c r="AQ57" i="8" s="1"/>
  <c r="AQ60" i="8" s="1"/>
  <c r="AQ68" i="8" s="1"/>
  <c r="AL39" i="6"/>
  <c r="AL41" i="6" s="1"/>
  <c r="AK12" i="10"/>
  <c r="AK16" i="10" s="1"/>
  <c r="AN69" i="1"/>
  <c r="AN17" i="6" s="1"/>
  <c r="AN27" i="6" s="1"/>
  <c r="AM12" i="10" s="1"/>
  <c r="AM16" i="10" s="1"/>
  <c r="E378" i="14"/>
  <c r="F378" i="14" s="1"/>
  <c r="AP39" i="8"/>
  <c r="AP65" i="8"/>
  <c r="AP67" i="8" s="1"/>
  <c r="AO39" i="1"/>
  <c r="AO56" i="1" s="1"/>
  <c r="AO65" i="1"/>
  <c r="AO67" i="1" s="1"/>
  <c r="F298" i="14"/>
  <c r="AS47" i="8" s="1"/>
  <c r="AS36" i="8"/>
  <c r="C298" i="14"/>
  <c r="AB24" i="10"/>
  <c r="AB20" i="10"/>
  <c r="AB22" i="10" s="1"/>
  <c r="AB23" i="10" s="1"/>
  <c r="AF59" i="10"/>
  <c r="AF60" i="10" s="1"/>
  <c r="AG45" i="10"/>
  <c r="AF55" i="10"/>
  <c r="AF57" i="10" s="1"/>
  <c r="K29" i="17" l="1"/>
  <c r="K31" i="17" s="1"/>
  <c r="I31" i="17"/>
  <c r="D105" i="14"/>
  <c r="D106" i="14" s="1"/>
  <c r="E108" i="14" s="1"/>
  <c r="C106" i="14"/>
  <c r="B187" i="14"/>
  <c r="G10" i="17"/>
  <c r="G13" i="17" s="1"/>
  <c r="F13" i="17"/>
  <c r="F740" i="14"/>
  <c r="O20" i="20"/>
  <c r="AP19" i="1"/>
  <c r="AO44" i="1"/>
  <c r="AO57" i="1" s="1"/>
  <c r="AO60" i="1" s="1"/>
  <c r="AO68" i="1" s="1"/>
  <c r="AP56" i="8"/>
  <c r="AP44" i="8"/>
  <c r="AP57" i="8" s="1"/>
  <c r="AR20" i="8"/>
  <c r="B379" i="14"/>
  <c r="E379" i="14" s="1"/>
  <c r="F379" i="14" s="1"/>
  <c r="AS20" i="8" s="1"/>
  <c r="AQ69" i="8"/>
  <c r="AQ18" i="6" s="1"/>
  <c r="AS58" i="8"/>
  <c r="D298" i="14"/>
  <c r="E299" i="14" s="1"/>
  <c r="AB25" i="10"/>
  <c r="AC10" i="10"/>
  <c r="AG53" i="10"/>
  <c r="B188" i="14" l="1"/>
  <c r="E187" i="14"/>
  <c r="C187" i="14"/>
  <c r="C188" i="14" s="1"/>
  <c r="C108" i="14"/>
  <c r="AQ36" i="1"/>
  <c r="F108" i="14"/>
  <c r="O21" i="20"/>
  <c r="O22" i="20" s="1"/>
  <c r="AO69" i="1"/>
  <c r="AO17" i="6" s="1"/>
  <c r="AP21" i="1"/>
  <c r="AP22" i="1" s="1"/>
  <c r="AP65" i="1" s="1"/>
  <c r="AP67" i="1" s="1"/>
  <c r="AS19" i="8"/>
  <c r="AS21" i="8" s="1"/>
  <c r="AS22" i="8" s="1"/>
  <c r="C379" i="14"/>
  <c r="AP60" i="8"/>
  <c r="AP68" i="8" s="1"/>
  <c r="AR19" i="8"/>
  <c r="F299" i="14"/>
  <c r="AT47" i="8" s="1"/>
  <c r="AT36" i="8"/>
  <c r="C299" i="14"/>
  <c r="AC18" i="10"/>
  <c r="AC20" i="10" s="1"/>
  <c r="AC22" i="10" s="1"/>
  <c r="AG59" i="10"/>
  <c r="AG60" i="10" s="1"/>
  <c r="AH45" i="10"/>
  <c r="AG55" i="10"/>
  <c r="AG57" i="10" s="1"/>
  <c r="B190" i="14" l="1"/>
  <c r="E190" i="14" s="1"/>
  <c r="AQ47" i="1"/>
  <c r="D108" i="14"/>
  <c r="E109" i="14" s="1"/>
  <c r="C109" i="14" s="1"/>
  <c r="F187" i="14"/>
  <c r="F188" i="14" s="1"/>
  <c r="E188" i="14"/>
  <c r="O39" i="20"/>
  <c r="O56" i="20" s="1"/>
  <c r="O65" i="20"/>
  <c r="O67" i="20" s="1"/>
  <c r="AP39" i="1"/>
  <c r="AP56" i="1" s="1"/>
  <c r="B380" i="14"/>
  <c r="E380" i="14" s="1"/>
  <c r="F380" i="14" s="1"/>
  <c r="AT20" i="8" s="1"/>
  <c r="AP69" i="8"/>
  <c r="AP18" i="6" s="1"/>
  <c r="AR21" i="8"/>
  <c r="AR22" i="8" s="1"/>
  <c r="AT58" i="8"/>
  <c r="AS65" i="8"/>
  <c r="AS67" i="8" s="1"/>
  <c r="AS39" i="8"/>
  <c r="AS56" i="8" s="1"/>
  <c r="D299" i="14"/>
  <c r="E300" i="14" s="1"/>
  <c r="AD10" i="10"/>
  <c r="AC24" i="10"/>
  <c r="AC25" i="10" s="1"/>
  <c r="AH53" i="10"/>
  <c r="AH55" i="10" s="1"/>
  <c r="AH57" i="10" s="1"/>
  <c r="AH58" i="10" s="1"/>
  <c r="O44" i="20" l="1"/>
  <c r="O57" i="20" s="1"/>
  <c r="O60" i="20" s="1"/>
  <c r="O68" i="20" s="1"/>
  <c r="C190" i="14"/>
  <c r="F190" i="14"/>
  <c r="AQ20" i="1" s="1"/>
  <c r="D109" i="14"/>
  <c r="E110" i="14" s="1"/>
  <c r="C110" i="14" s="1"/>
  <c r="D110" i="14" s="1"/>
  <c r="E111" i="14" s="1"/>
  <c r="AQ58" i="1"/>
  <c r="AR36" i="1"/>
  <c r="F109" i="14"/>
  <c r="AP44" i="1"/>
  <c r="AP57" i="1" s="1"/>
  <c r="AP60" i="1" s="1"/>
  <c r="AP68" i="1" s="1"/>
  <c r="C380" i="14"/>
  <c r="AT19" i="8"/>
  <c r="AT21" i="8" s="1"/>
  <c r="AT22" i="8" s="1"/>
  <c r="AR39" i="8"/>
  <c r="AR65" i="8"/>
  <c r="AR67" i="8" s="1"/>
  <c r="AS44" i="8"/>
  <c r="AS57" i="8" s="1"/>
  <c r="AS60" i="8" s="1"/>
  <c r="AS68" i="8" s="1"/>
  <c r="F300" i="14"/>
  <c r="AU47" i="8" s="1"/>
  <c r="AU36" i="8"/>
  <c r="C300" i="14"/>
  <c r="AD18" i="10"/>
  <c r="AI45" i="10"/>
  <c r="AH59" i="10"/>
  <c r="AH60" i="10" s="1"/>
  <c r="O69" i="20" l="1"/>
  <c r="AX22" i="6" s="1"/>
  <c r="AQ19" i="1"/>
  <c r="AR47" i="1"/>
  <c r="B191" i="14"/>
  <c r="AS36" i="1"/>
  <c r="F110" i="14"/>
  <c r="AP69" i="1"/>
  <c r="AP17" i="6" s="1"/>
  <c r="B381" i="14"/>
  <c r="E381" i="14" s="1"/>
  <c r="F381" i="14" s="1"/>
  <c r="AU20" i="8" s="1"/>
  <c r="AU19" i="8" s="1"/>
  <c r="AR56" i="8"/>
  <c r="AR44" i="8"/>
  <c r="AR57" i="8" s="1"/>
  <c r="F111" i="14"/>
  <c r="AT36" i="1"/>
  <c r="AS69" i="8"/>
  <c r="AS18" i="6" s="1"/>
  <c r="AU58" i="8"/>
  <c r="AT65" i="8"/>
  <c r="AT67" i="8" s="1"/>
  <c r="AT39" i="8"/>
  <c r="AT56" i="8" s="1"/>
  <c r="D300" i="14"/>
  <c r="E301" i="14" s="1"/>
  <c r="C111" i="14"/>
  <c r="D111" i="14" s="1"/>
  <c r="AE10" i="10"/>
  <c r="AD24" i="10"/>
  <c r="AD25" i="10" s="1"/>
  <c r="AD20" i="10"/>
  <c r="AD22" i="10" s="1"/>
  <c r="AI53" i="10"/>
  <c r="AQ21" i="1" l="1"/>
  <c r="AQ22" i="1" s="1"/>
  <c r="AS47" i="1"/>
  <c r="B192" i="14"/>
  <c r="E192" i="14" s="1"/>
  <c r="E191" i="14"/>
  <c r="F191" i="14" s="1"/>
  <c r="AR20" i="1" s="1"/>
  <c r="C191" i="14"/>
  <c r="AR58" i="1"/>
  <c r="C381" i="14"/>
  <c r="AR60" i="8"/>
  <c r="AR68" i="8" s="1"/>
  <c r="AT44" i="8"/>
  <c r="AT57" i="8" s="1"/>
  <c r="AT60" i="8" s="1"/>
  <c r="AT68" i="8" s="1"/>
  <c r="B193" i="14"/>
  <c r="AT47" i="1"/>
  <c r="F301" i="14"/>
  <c r="AV47" i="8" s="1"/>
  <c r="AV36" i="8"/>
  <c r="AU21" i="8"/>
  <c r="AU22" i="8" s="1"/>
  <c r="C301" i="14"/>
  <c r="E112" i="14"/>
  <c r="AE18" i="10"/>
  <c r="AI59" i="10"/>
  <c r="AI60" i="10" s="1"/>
  <c r="AJ45" i="10"/>
  <c r="AI55" i="10"/>
  <c r="AI57" i="10" s="1"/>
  <c r="C192" i="14" l="1"/>
  <c r="AQ39" i="1"/>
  <c r="AQ56" i="1" s="1"/>
  <c r="AQ65" i="1"/>
  <c r="AQ67" i="1" s="1"/>
  <c r="F192" i="14"/>
  <c r="AS20" i="1" s="1"/>
  <c r="AR19" i="1"/>
  <c r="AS58" i="1"/>
  <c r="AR69" i="8"/>
  <c r="AR18" i="6" s="1"/>
  <c r="B382" i="14"/>
  <c r="E382" i="14" s="1"/>
  <c r="F382" i="14" s="1"/>
  <c r="AV20" i="8" s="1"/>
  <c r="AT58" i="1"/>
  <c r="F112" i="14"/>
  <c r="AU36" i="1"/>
  <c r="E193" i="14"/>
  <c r="C193" i="14"/>
  <c r="AT69" i="8"/>
  <c r="AT18" i="6" s="1"/>
  <c r="AU39" i="8"/>
  <c r="AU56" i="8" s="1"/>
  <c r="AU65" i="8"/>
  <c r="AU67" i="8" s="1"/>
  <c r="AV58" i="8"/>
  <c r="D301" i="14"/>
  <c r="E303" i="14" s="1"/>
  <c r="E305" i="14" s="1"/>
  <c r="C112" i="14"/>
  <c r="D112" i="14" s="1"/>
  <c r="AE24" i="10"/>
  <c r="AE20" i="10"/>
  <c r="AE22" i="10" s="1"/>
  <c r="AE23" i="10" s="1"/>
  <c r="AJ53" i="10"/>
  <c r="AJ55" i="10" s="1"/>
  <c r="AJ57" i="10" s="1"/>
  <c r="AQ44" i="1" l="1"/>
  <c r="AQ57" i="1" s="1"/>
  <c r="AQ60" i="1" s="1"/>
  <c r="AQ68" i="1" s="1"/>
  <c r="AS19" i="1"/>
  <c r="F193" i="14"/>
  <c r="AT20" i="1" s="1"/>
  <c r="AR21" i="1"/>
  <c r="AR22" i="1" s="1"/>
  <c r="AU44" i="8"/>
  <c r="AU57" i="8" s="1"/>
  <c r="AU60" i="8" s="1"/>
  <c r="AU68" i="8" s="1"/>
  <c r="C382" i="14"/>
  <c r="AV19" i="8"/>
  <c r="AV21" i="8" s="1"/>
  <c r="AV22" i="8" s="1"/>
  <c r="B194" i="14"/>
  <c r="AU47" i="1"/>
  <c r="F303" i="14"/>
  <c r="AW36" i="8"/>
  <c r="C303" i="14"/>
  <c r="E113" i="14"/>
  <c r="AE25" i="10"/>
  <c r="AF10" i="10"/>
  <c r="AJ59" i="10"/>
  <c r="AJ60" i="10" s="1"/>
  <c r="AK45" i="10"/>
  <c r="AQ69" i="1" l="1"/>
  <c r="AQ17" i="6" s="1"/>
  <c r="AT19" i="1"/>
  <c r="AT21" i="1" s="1"/>
  <c r="AT22" i="1" s="1"/>
  <c r="AS21" i="1"/>
  <c r="AS22" i="1" s="1"/>
  <c r="AR65" i="1"/>
  <c r="AR67" i="1" s="1"/>
  <c r="AR39" i="1"/>
  <c r="AR56" i="1" s="1"/>
  <c r="I10" i="19"/>
  <c r="AW47" i="8"/>
  <c r="AW58" i="8" s="1"/>
  <c r="F305" i="14"/>
  <c r="B384" i="14" s="1"/>
  <c r="E384" i="14" s="1"/>
  <c r="AU69" i="8"/>
  <c r="AU18" i="6" s="1"/>
  <c r="AU58" i="1"/>
  <c r="F113" i="14"/>
  <c r="AV36" i="1"/>
  <c r="E194" i="14"/>
  <c r="F194" i="14" s="1"/>
  <c r="AU20" i="1" s="1"/>
  <c r="C194" i="14"/>
  <c r="AV65" i="8"/>
  <c r="AV67" i="8" s="1"/>
  <c r="AV39" i="8"/>
  <c r="AV56" i="8" s="1"/>
  <c r="D303" i="14"/>
  <c r="C113" i="14"/>
  <c r="D113" i="14" s="1"/>
  <c r="AF18" i="10"/>
  <c r="AF20" i="10" s="1"/>
  <c r="AF22" i="10" s="1"/>
  <c r="AK53" i="10"/>
  <c r="AK59" i="10" s="1"/>
  <c r="AR44" i="1" l="1"/>
  <c r="AR57" i="1" s="1"/>
  <c r="AR60" i="1" s="1"/>
  <c r="AR68" i="1" s="1"/>
  <c r="AS39" i="1"/>
  <c r="AS65" i="1"/>
  <c r="AS67" i="1" s="1"/>
  <c r="J10" i="19"/>
  <c r="K24" i="19" s="1"/>
  <c r="I14" i="19"/>
  <c r="F384" i="14"/>
  <c r="AW20" i="8" s="1"/>
  <c r="AW19" i="8" s="1"/>
  <c r="C384" i="14"/>
  <c r="E10" i="19" s="1"/>
  <c r="AV44" i="8"/>
  <c r="AV57" i="8" s="1"/>
  <c r="AV60" i="8" s="1"/>
  <c r="AV68" i="8" s="1"/>
  <c r="AT65" i="1"/>
  <c r="AT67" i="1" s="1"/>
  <c r="AT39" i="1"/>
  <c r="AT56" i="1" s="1"/>
  <c r="AU19" i="1"/>
  <c r="B195" i="14"/>
  <c r="AV47" i="1"/>
  <c r="E114" i="14"/>
  <c r="AF24" i="10"/>
  <c r="AF25" i="10" s="1"/>
  <c r="AG10" i="10"/>
  <c r="AK55" i="10"/>
  <c r="AK57" i="10" s="1"/>
  <c r="AK58" i="10" s="1"/>
  <c r="AK60" i="10" s="1"/>
  <c r="AW21" i="8" l="1"/>
  <c r="AW22" i="8" s="1"/>
  <c r="AW65" i="8" s="1"/>
  <c r="AW67" i="8" s="1"/>
  <c r="AR69" i="1"/>
  <c r="AR17" i="6" s="1"/>
  <c r="I30" i="19"/>
  <c r="J30" i="19"/>
  <c r="J32" i="19" s="1"/>
  <c r="AS56" i="1"/>
  <c r="AS44" i="1"/>
  <c r="AS57" i="1" s="1"/>
  <c r="F10" i="19"/>
  <c r="E14" i="19"/>
  <c r="K10" i="19"/>
  <c r="K14" i="19" s="1"/>
  <c r="C304" i="14"/>
  <c r="J14" i="19"/>
  <c r="AT44" i="1"/>
  <c r="AT57" i="1" s="1"/>
  <c r="AT60" i="1" s="1"/>
  <c r="AT68" i="1" s="1"/>
  <c r="E195" i="14"/>
  <c r="F195" i="14" s="1"/>
  <c r="AV20" i="1" s="1"/>
  <c r="C195" i="14"/>
  <c r="F114" i="14"/>
  <c r="AW36" i="1"/>
  <c r="AV58" i="1"/>
  <c r="AU21" i="1"/>
  <c r="AU22" i="1" s="1"/>
  <c r="AV69" i="8"/>
  <c r="AV18" i="6" s="1"/>
  <c r="C114" i="14"/>
  <c r="AG18" i="10"/>
  <c r="AG20" i="10" s="1"/>
  <c r="AG22" i="10" s="1"/>
  <c r="AW39" i="8" l="1"/>
  <c r="AW56" i="8" s="1"/>
  <c r="K30" i="19"/>
  <c r="K32" i="19" s="1"/>
  <c r="I32" i="19"/>
  <c r="AS60" i="1"/>
  <c r="AS68" i="1" s="1"/>
  <c r="G10" i="19"/>
  <c r="G14" i="19" s="1"/>
  <c r="B385" i="14"/>
  <c r="F14" i="19"/>
  <c r="D304" i="14"/>
  <c r="D305" i="14" s="1"/>
  <c r="E307" i="14" s="1"/>
  <c r="C305" i="14"/>
  <c r="AT69" i="1"/>
  <c r="AT17" i="6" s="1"/>
  <c r="B196" i="14"/>
  <c r="AW47" i="1"/>
  <c r="AU39" i="1"/>
  <c r="AU56" i="1" s="1"/>
  <c r="AU65" i="1"/>
  <c r="AU67" i="1" s="1"/>
  <c r="AV19" i="1"/>
  <c r="D114" i="14"/>
  <c r="E115" i="14" s="1"/>
  <c r="AG24" i="10"/>
  <c r="AG25" i="10" s="1"/>
  <c r="AH10" i="10"/>
  <c r="AW44" i="8" l="1"/>
  <c r="AW57" i="8" s="1"/>
  <c r="AW60" i="8" s="1"/>
  <c r="AW68" i="8" s="1"/>
  <c r="AS69" i="1"/>
  <c r="AS17" i="6" s="1"/>
  <c r="C307" i="14"/>
  <c r="D307" i="14" s="1"/>
  <c r="AX36" i="8"/>
  <c r="F307" i="14"/>
  <c r="C385" i="14"/>
  <c r="C386" i="14" s="1"/>
  <c r="E385" i="14"/>
  <c r="B386" i="14"/>
  <c r="AU44" i="1"/>
  <c r="AU57" i="1" s="1"/>
  <c r="AU60" i="1" s="1"/>
  <c r="AU68" i="1" s="1"/>
  <c r="F115" i="14"/>
  <c r="AX36" i="1"/>
  <c r="AV21" i="1"/>
  <c r="AV22" i="1" s="1"/>
  <c r="AW58" i="1"/>
  <c r="E196" i="14"/>
  <c r="F196" i="14" s="1"/>
  <c r="AW20" i="1" s="1"/>
  <c r="C196" i="14"/>
  <c r="C115" i="14"/>
  <c r="D115" i="14" s="1"/>
  <c r="AH18" i="10"/>
  <c r="AW69" i="8" l="1"/>
  <c r="AW18" i="6" s="1"/>
  <c r="AU69" i="1"/>
  <c r="AU17" i="6" s="1"/>
  <c r="F385" i="14"/>
  <c r="F386" i="14" s="1"/>
  <c r="E386" i="14"/>
  <c r="AX47" i="8"/>
  <c r="B388" i="14"/>
  <c r="E388" i="14" s="1"/>
  <c r="AW19" i="1"/>
  <c r="AV65" i="1"/>
  <c r="AV67" i="1" s="1"/>
  <c r="AV39" i="1"/>
  <c r="AV56" i="1" s="1"/>
  <c r="B197" i="14"/>
  <c r="B198" i="14" s="1"/>
  <c r="AX47" i="1"/>
  <c r="AH24" i="10"/>
  <c r="AH20" i="10"/>
  <c r="AH22" i="10" s="1"/>
  <c r="AH23" i="10" s="1"/>
  <c r="C388" i="14" l="1"/>
  <c r="B389" i="14"/>
  <c r="AX58" i="8"/>
  <c r="F388" i="14"/>
  <c r="E197" i="14"/>
  <c r="F197" i="14" s="1"/>
  <c r="F198" i="14" s="1"/>
  <c r="C197" i="14"/>
  <c r="AW21" i="1"/>
  <c r="AW22" i="1" s="1"/>
  <c r="AX58" i="1"/>
  <c r="AV44" i="1"/>
  <c r="AV57" i="1" s="1"/>
  <c r="AV60" i="1" s="1"/>
  <c r="AV68" i="1" s="1"/>
  <c r="AH25" i="10"/>
  <c r="AI10" i="10"/>
  <c r="F389" i="14" l="1"/>
  <c r="AX20" i="8"/>
  <c r="AV69" i="1"/>
  <c r="AV17" i="6" s="1"/>
  <c r="AW65" i="1"/>
  <c r="AW67" i="1" s="1"/>
  <c r="AW39" i="1"/>
  <c r="AW56" i="1" s="1"/>
  <c r="AX20" i="1"/>
  <c r="AI18" i="10"/>
  <c r="AX19" i="8" l="1"/>
  <c r="AW44" i="1"/>
  <c r="AW57" i="1" s="1"/>
  <c r="AW60" i="1" s="1"/>
  <c r="AW68" i="1" s="1"/>
  <c r="AX19" i="1"/>
  <c r="AI24" i="10"/>
  <c r="AI25" i="10" s="1"/>
  <c r="AJ10" i="10"/>
  <c r="AI20" i="10"/>
  <c r="AI22" i="10" s="1"/>
  <c r="AX21" i="8" l="1"/>
  <c r="AX22" i="8" s="1"/>
  <c r="AW69" i="1"/>
  <c r="AW17" i="6" s="1"/>
  <c r="AX21" i="1"/>
  <c r="AX22" i="1" s="1"/>
  <c r="AJ18" i="10"/>
  <c r="AJ20" i="10" s="1"/>
  <c r="AJ22" i="10" s="1"/>
  <c r="AX65" i="8" l="1"/>
  <c r="AX67" i="8" s="1"/>
  <c r="AX39" i="8"/>
  <c r="AX56" i="8" s="1"/>
  <c r="AX65" i="1"/>
  <c r="AX67" i="1" s="1"/>
  <c r="AX39" i="1"/>
  <c r="AX56" i="1" s="1"/>
  <c r="AK10" i="10"/>
  <c r="AJ24" i="10"/>
  <c r="AJ25" i="10" s="1"/>
  <c r="AX44" i="8" l="1"/>
  <c r="AX57" i="8" s="1"/>
  <c r="AX60" i="8" s="1"/>
  <c r="AX68" i="8" s="1"/>
  <c r="AX44" i="1"/>
  <c r="AX57" i="1" s="1"/>
  <c r="AX60" i="1" s="1"/>
  <c r="AX68" i="1" s="1"/>
  <c r="AK18" i="10"/>
  <c r="AX69" i="8" l="1"/>
  <c r="AX18" i="6" s="1"/>
  <c r="AX69" i="1"/>
  <c r="AX17" i="6" s="1"/>
  <c r="AK24" i="10"/>
  <c r="AK20" i="10"/>
  <c r="AK22" i="10" s="1"/>
  <c r="AK23" i="10" l="1"/>
  <c r="AK25" i="10" s="1"/>
  <c r="AL10" i="10" l="1"/>
  <c r="AL18" i="10" s="1"/>
  <c r="AL24" i="10" s="1"/>
  <c r="AM10" i="10" l="1"/>
  <c r="AL25" i="10"/>
  <c r="AL20" i="10"/>
  <c r="AL22" i="10" s="1"/>
  <c r="AM18" i="10" l="1"/>
  <c r="AM24" i="10" l="1"/>
  <c r="AM25" i="10" s="1"/>
  <c r="AN10" i="10"/>
  <c r="AM20" i="10"/>
  <c r="AM22" i="10" s="1"/>
  <c r="C481" i="14" l="1"/>
  <c r="D481" i="14" s="1"/>
  <c r="E482" i="14" s="1"/>
  <c r="F482" i="14" l="1"/>
  <c r="AO36" i="9"/>
  <c r="C482" i="14"/>
  <c r="B553" i="14" l="1"/>
  <c r="AO47" i="9"/>
  <c r="D482" i="14"/>
  <c r="E483" i="14" s="1"/>
  <c r="AO58" i="9" l="1"/>
  <c r="C553" i="14"/>
  <c r="E553" i="14"/>
  <c r="F553" i="14" s="1"/>
  <c r="F483" i="14"/>
  <c r="AP36" i="9"/>
  <c r="C483" i="14"/>
  <c r="AO20" i="9" l="1"/>
  <c r="B554" i="14"/>
  <c r="AP47" i="9"/>
  <c r="D483" i="14"/>
  <c r="E484" i="14" s="1"/>
  <c r="AO19" i="9" l="1"/>
  <c r="F484" i="14"/>
  <c r="AQ36" i="9"/>
  <c r="AP58" i="9"/>
  <c r="E554" i="14"/>
  <c r="F554" i="14" s="1"/>
  <c r="C554" i="14"/>
  <c r="C484" i="14"/>
  <c r="AO21" i="9" l="1"/>
  <c r="AO22" i="9" s="1"/>
  <c r="AO39" i="9" s="1"/>
  <c r="AO56" i="9" s="1"/>
  <c r="AP20" i="9"/>
  <c r="B555" i="14"/>
  <c r="E555" i="14" s="1"/>
  <c r="F555" i="14" s="1"/>
  <c r="AQ20" i="9" s="1"/>
  <c r="AQ47" i="9"/>
  <c r="D484" i="14"/>
  <c r="E485" i="14" s="1"/>
  <c r="AP19" i="9" l="1"/>
  <c r="AO65" i="9"/>
  <c r="AO67" i="9" s="1"/>
  <c r="AO44" i="9"/>
  <c r="AO57" i="9" s="1"/>
  <c r="AO60" i="9" s="1"/>
  <c r="AO68" i="9" s="1"/>
  <c r="C555" i="14"/>
  <c r="F485" i="14"/>
  <c r="AR36" i="9"/>
  <c r="AQ19" i="9"/>
  <c r="AQ58" i="9"/>
  <c r="AP21" i="9"/>
  <c r="AP22" i="9" s="1"/>
  <c r="C485" i="14"/>
  <c r="AO69" i="9" l="1"/>
  <c r="AO19" i="6" s="1"/>
  <c r="AO27" i="6" s="1"/>
  <c r="AN12" i="10" s="1"/>
  <c r="AP39" i="9"/>
  <c r="AP56" i="9" s="1"/>
  <c r="AP65" i="9"/>
  <c r="AP67" i="9" s="1"/>
  <c r="AQ21" i="9"/>
  <c r="AQ22" i="9" s="1"/>
  <c r="B556" i="14"/>
  <c r="AR47" i="9"/>
  <c r="D485" i="14"/>
  <c r="E486" i="14" s="1"/>
  <c r="AP44" i="9" l="1"/>
  <c r="AP57" i="9" s="1"/>
  <c r="AP60" i="9" s="1"/>
  <c r="AP68" i="9" s="1"/>
  <c r="AN16" i="10"/>
  <c r="AN18" i="10" s="1"/>
  <c r="AN24" i="10" s="1"/>
  <c r="AR58" i="9"/>
  <c r="AQ65" i="9"/>
  <c r="AQ67" i="9" s="1"/>
  <c r="AQ39" i="9"/>
  <c r="AQ56" i="9" s="1"/>
  <c r="F486" i="14"/>
  <c r="AS36" i="9"/>
  <c r="E556" i="14"/>
  <c r="F556" i="14" s="1"/>
  <c r="AR20" i="9" s="1"/>
  <c r="C556" i="14"/>
  <c r="C486" i="14"/>
  <c r="AN20" i="10" l="1"/>
  <c r="AN22" i="10" s="1"/>
  <c r="AN23" i="10" s="1"/>
  <c r="AN25" i="10" s="1"/>
  <c r="AQ44" i="9"/>
  <c r="AQ57" i="9" s="1"/>
  <c r="AQ60" i="9" s="1"/>
  <c r="AQ68" i="9" s="1"/>
  <c r="AP69" i="9"/>
  <c r="AP19" i="6" s="1"/>
  <c r="AP27" i="6" s="1"/>
  <c r="AR19" i="9"/>
  <c r="B557" i="14"/>
  <c r="E557" i="14" s="1"/>
  <c r="F557" i="14" s="1"/>
  <c r="AS20" i="9" s="1"/>
  <c r="AS47" i="9"/>
  <c r="D486" i="14"/>
  <c r="E487" i="14" s="1"/>
  <c r="AQ69" i="9" l="1"/>
  <c r="AQ19" i="6" s="1"/>
  <c r="AQ27" i="6" s="1"/>
  <c r="AP12" i="10" s="1"/>
  <c r="AP16" i="10" s="1"/>
  <c r="AO10" i="10"/>
  <c r="AO12" i="10"/>
  <c r="AO16" i="10" s="1"/>
  <c r="F487" i="14"/>
  <c r="AT36" i="9"/>
  <c r="AS58" i="9"/>
  <c r="AR21" i="9"/>
  <c r="AR22" i="9" s="1"/>
  <c r="C557" i="14"/>
  <c r="AS19" i="9"/>
  <c r="C487" i="14"/>
  <c r="AO18" i="10" l="1"/>
  <c r="AP10" i="10" s="1"/>
  <c r="AP18" i="10" s="1"/>
  <c r="AS21" i="9"/>
  <c r="AS22" i="9" s="1"/>
  <c r="AR65" i="9"/>
  <c r="AR67" i="9" s="1"/>
  <c r="AR39" i="9"/>
  <c r="AR56" i="9" s="1"/>
  <c r="B558" i="14"/>
  <c r="E558" i="14" s="1"/>
  <c r="F558" i="14" s="1"/>
  <c r="AT20" i="9" s="1"/>
  <c r="AT47" i="9"/>
  <c r="D487" i="14"/>
  <c r="E488" i="14" s="1"/>
  <c r="AP24" i="10" l="1"/>
  <c r="AP25" i="10" s="1"/>
  <c r="AP20" i="10"/>
  <c r="AP22" i="10" s="1"/>
  <c r="AO24" i="10"/>
  <c r="AO25" i="10" s="1"/>
  <c r="AO20" i="10"/>
  <c r="AO22" i="10" s="1"/>
  <c r="AQ10" i="10"/>
  <c r="F488" i="14"/>
  <c r="AU36" i="9"/>
  <c r="AT58" i="9"/>
  <c r="AR44" i="9"/>
  <c r="AR57" i="9" s="1"/>
  <c r="AR60" i="9" s="1"/>
  <c r="AR68" i="9" s="1"/>
  <c r="AS39" i="9"/>
  <c r="AS56" i="9" s="1"/>
  <c r="AS65" i="9"/>
  <c r="AS67" i="9" s="1"/>
  <c r="AT19" i="9"/>
  <c r="C558" i="14"/>
  <c r="C488" i="14"/>
  <c r="AS44" i="9" l="1"/>
  <c r="AS57" i="9" s="1"/>
  <c r="AS60" i="9" s="1"/>
  <c r="AS68" i="9" s="1"/>
  <c r="AT21" i="9"/>
  <c r="AT22" i="9" s="1"/>
  <c r="AR69" i="9"/>
  <c r="AR19" i="6" s="1"/>
  <c r="B559" i="14"/>
  <c r="E559" i="14" s="1"/>
  <c r="F559" i="14" s="1"/>
  <c r="AU20" i="9" s="1"/>
  <c r="AU47" i="9"/>
  <c r="D488" i="14"/>
  <c r="E489" i="14" s="1"/>
  <c r="AR27" i="6" l="1"/>
  <c r="AQ12" i="10" s="1"/>
  <c r="AQ16" i="10" s="1"/>
  <c r="AQ18" i="10" s="1"/>
  <c r="AU19" i="9"/>
  <c r="AS69" i="9"/>
  <c r="AS19" i="6" s="1"/>
  <c r="F489" i="14"/>
  <c r="AV36" i="9"/>
  <c r="AU58" i="9"/>
  <c r="AT39" i="9"/>
  <c r="AT56" i="9" s="1"/>
  <c r="AT65" i="9"/>
  <c r="AT67" i="9" s="1"/>
  <c r="C559" i="14"/>
  <c r="C489" i="14"/>
  <c r="AT44" i="9" l="1"/>
  <c r="AT57" i="9" s="1"/>
  <c r="AT60" i="9" s="1"/>
  <c r="AT68" i="9" s="1"/>
  <c r="AQ20" i="10"/>
  <c r="AQ22" i="10" s="1"/>
  <c r="AQ23" i="10" s="1"/>
  <c r="AR10" i="10" s="1"/>
  <c r="AQ24" i="10"/>
  <c r="AS27" i="6"/>
  <c r="AR12" i="10" s="1"/>
  <c r="AR16" i="10" s="1"/>
  <c r="B560" i="14"/>
  <c r="E560" i="14" s="1"/>
  <c r="F560" i="14" s="1"/>
  <c r="AV20" i="9" s="1"/>
  <c r="AV47" i="9"/>
  <c r="AU21" i="9"/>
  <c r="AU22" i="9" s="1"/>
  <c r="D489" i="14"/>
  <c r="E490" i="14" s="1"/>
  <c r="AT69" i="9" l="1"/>
  <c r="AT19" i="6" s="1"/>
  <c r="AT27" i="6" s="1"/>
  <c r="AS12" i="10" s="1"/>
  <c r="AS16" i="10" s="1"/>
  <c r="AQ25" i="10"/>
  <c r="AR18" i="10"/>
  <c r="AR24" i="10" s="1"/>
  <c r="AR25" i="10" s="1"/>
  <c r="AU65" i="9"/>
  <c r="AU67" i="9" s="1"/>
  <c r="AU39" i="9"/>
  <c r="AU56" i="9" s="1"/>
  <c r="AV58" i="9"/>
  <c r="F490" i="14"/>
  <c r="AW36" i="9"/>
  <c r="AV19" i="9"/>
  <c r="C560" i="14"/>
  <c r="C490" i="14"/>
  <c r="AR20" i="10" l="1"/>
  <c r="AR22" i="10" s="1"/>
  <c r="AS10" i="10"/>
  <c r="AV21" i="9"/>
  <c r="AV22" i="9" s="1"/>
  <c r="AU44" i="9"/>
  <c r="AU57" i="9" s="1"/>
  <c r="AU60" i="9" s="1"/>
  <c r="AU68" i="9" s="1"/>
  <c r="B561" i="14"/>
  <c r="E561" i="14" s="1"/>
  <c r="F561" i="14" s="1"/>
  <c r="AW20" i="9" s="1"/>
  <c r="AW47" i="9"/>
  <c r="D490" i="14"/>
  <c r="E491" i="14" s="1"/>
  <c r="AS18" i="10" l="1"/>
  <c r="C561" i="14"/>
  <c r="F491" i="14"/>
  <c r="AX36" i="9"/>
  <c r="AW19" i="9"/>
  <c r="AV65" i="9"/>
  <c r="AV67" i="9" s="1"/>
  <c r="AV39" i="9"/>
  <c r="AV56" i="9" s="1"/>
  <c r="AW58" i="9"/>
  <c r="AU69" i="9"/>
  <c r="AU19" i="6" s="1"/>
  <c r="C491" i="14"/>
  <c r="D491" i="14" s="1"/>
  <c r="AS24" i="10" l="1"/>
  <c r="AS25" i="10" s="1"/>
  <c r="AT10" i="10"/>
  <c r="AS20" i="10"/>
  <c r="AS22" i="10" s="1"/>
  <c r="AU27" i="6"/>
  <c r="AT12" i="10" s="1"/>
  <c r="AT16" i="10" s="1"/>
  <c r="AV44" i="9"/>
  <c r="AV57" i="9" s="1"/>
  <c r="AV60" i="9" s="1"/>
  <c r="AV68" i="9" s="1"/>
  <c r="AW21" i="9"/>
  <c r="AW22" i="9" s="1"/>
  <c r="B562" i="14"/>
  <c r="B563" i="14" s="1"/>
  <c r="AX47" i="9"/>
  <c r="AT18" i="10" l="1"/>
  <c r="AT20" i="10" s="1"/>
  <c r="AT22" i="10" s="1"/>
  <c r="AT23" i="10" s="1"/>
  <c r="AU10" i="10" s="1"/>
  <c r="AX58" i="9"/>
  <c r="AV69" i="9"/>
  <c r="AV19" i="6" s="1"/>
  <c r="E562" i="14"/>
  <c r="F562" i="14" s="1"/>
  <c r="C562" i="14"/>
  <c r="AW39" i="9"/>
  <c r="AW56" i="9" s="1"/>
  <c r="AW65" i="9"/>
  <c r="AW67" i="9" s="1"/>
  <c r="AT24" i="10" l="1"/>
  <c r="AT25" i="10" s="1"/>
  <c r="AW44" i="9"/>
  <c r="AW57" i="9" s="1"/>
  <c r="AW60" i="9" s="1"/>
  <c r="AW68" i="9" s="1"/>
  <c r="AV27" i="6"/>
  <c r="AU12" i="10" s="1"/>
  <c r="AU16" i="10" s="1"/>
  <c r="AU18" i="10" s="1"/>
  <c r="AX20" i="9"/>
  <c r="F563" i="14"/>
  <c r="AW69" i="9" l="1"/>
  <c r="AW19" i="6" s="1"/>
  <c r="AW27" i="6" s="1"/>
  <c r="AV12" i="10" s="1"/>
  <c r="AV16" i="10" s="1"/>
  <c r="AX19" i="9"/>
  <c r="AX21" i="9" s="1"/>
  <c r="AX22" i="9" s="1"/>
  <c r="AU24" i="10"/>
  <c r="AU25" i="10" s="1"/>
  <c r="AU20" i="10"/>
  <c r="AU22" i="10" s="1"/>
  <c r="AV10" i="10"/>
  <c r="AV18" i="10" l="1"/>
  <c r="AV20" i="10" s="1"/>
  <c r="AV22" i="10" s="1"/>
  <c r="AX39" i="9"/>
  <c r="AX56" i="9" s="1"/>
  <c r="AX65" i="9"/>
  <c r="AX67" i="9" s="1"/>
  <c r="AX44" i="9" l="1"/>
  <c r="AX57" i="9" s="1"/>
  <c r="AX60" i="9" s="1"/>
  <c r="AX68" i="9" s="1"/>
  <c r="AW10" i="10"/>
  <c r="AV24" i="10"/>
  <c r="AV25" i="10" s="1"/>
  <c r="AX69" i="9"/>
  <c r="AX19" i="6" s="1"/>
  <c r="AX27" i="6" l="1"/>
  <c r="AW12" i="10" s="1"/>
  <c r="AW16" i="10" s="1"/>
  <c r="AW18" i="10" s="1"/>
  <c r="AW24" i="10" l="1"/>
  <c r="AW20" i="10"/>
  <c r="AW22" i="10" s="1"/>
  <c r="AW23" i="10" s="1"/>
  <c r="AW25" i="10" l="1"/>
  <c r="AW28" i="10" s="1"/>
</calcChain>
</file>

<file path=xl/comments1.xml><?xml version="1.0" encoding="utf-8"?>
<comments xmlns="http://schemas.openxmlformats.org/spreadsheetml/2006/main">
  <authors>
    <author>FERC Group</author>
  </authors>
  <commentList>
    <comment ref="A49" authorId="0">
      <text>
        <r>
          <rPr>
            <sz val="11"/>
            <color indexed="81"/>
            <rFont val="Tahoma"/>
            <family val="2"/>
          </rPr>
          <t>Without FF&amp;U</t>
        </r>
      </text>
    </comment>
  </commentList>
</comments>
</file>

<file path=xl/comments2.xml><?xml version="1.0" encoding="utf-8"?>
<comments xmlns="http://schemas.openxmlformats.org/spreadsheetml/2006/main">
  <authors>
    <author>Kim, Jee Young</author>
  </authors>
  <commentList>
    <comment ref="AE47" authorId="0">
      <text>
        <r>
          <rPr>
            <b/>
            <sz val="8"/>
            <color indexed="81"/>
            <rFont val="Tahoma"/>
            <family val="2"/>
          </rPr>
          <t>Zaw, J. in tax dept noticed incorrect ref to 2009 def tax amt updated to 2010 def tax amt 6.15.10</t>
        </r>
      </text>
    </comment>
  </commentList>
</comments>
</file>

<file path=xl/comments3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</commentList>
</comments>
</file>

<file path=xl/comments4.xml><?xml version="1.0" encoding="utf-8"?>
<comments xmlns="http://schemas.openxmlformats.org/spreadsheetml/2006/main">
  <authors>
    <author>Standard Configuration</author>
  </authors>
  <commentList>
    <comment ref="C11" authorId="0">
      <text>
        <r>
          <rPr>
            <b/>
            <sz val="8"/>
            <color indexed="81"/>
            <rFont val="Tahoma"/>
            <family val="2"/>
          </rPr>
          <t xml:space="preserve">On June 19, 2014, FERC issued its Order on Remand in Docket No. ER08-375-006 the Commission established a base ROE of 10.55% for Mar. 1, 2008 thru Dec. 31, 2008.  Implementing the Base ROE changing from 9.54% to 10.55% resulted in a Base TRR increase of $2.1M. 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<sst xmlns="http://schemas.openxmlformats.org/spreadsheetml/2006/main" count="2801" uniqueCount="337">
  <si>
    <t>Southern California Edison Company</t>
  </si>
  <si>
    <t>($000)</t>
  </si>
  <si>
    <t>Line</t>
  </si>
  <si>
    <t>DPV2</t>
  </si>
  <si>
    <t>Tehachapi</t>
  </si>
  <si>
    <t>Rancho Vista</t>
  </si>
  <si>
    <t>ISO Construction Work in Progress Balancing Account (CWIPBA)</t>
  </si>
  <si>
    <t>TO Tariff -- Appendix VIII, Section 3 CWIP Balancing Account</t>
  </si>
  <si>
    <t>Each month, the TO will make two entries to the CWIPBA:</t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</si>
  <si>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Monthly recorded retail revenue requirement for CWIP</t>
    </r>
  </si>
  <si>
    <t>Beginning Balance</t>
  </si>
  <si>
    <t>Ending Balance</t>
  </si>
  <si>
    <t xml:space="preserve">Total </t>
  </si>
  <si>
    <t xml:space="preserve">CWIP RRB = </t>
  </si>
  <si>
    <r>
      <t>MRRORB</t>
    </r>
    <r>
      <rPr>
        <sz val="10"/>
        <rFont val="Arial"/>
        <family val="2"/>
      </rPr>
      <t xml:space="preserve"> = Authorized Annual Rate of Return
                              on Rate Base divided by 12</t>
    </r>
  </si>
  <si>
    <t>SIT = State Income Taxes</t>
  </si>
  <si>
    <t xml:space="preserve">STx = </t>
  </si>
  <si>
    <r>
      <t>CWIP  RRB</t>
    </r>
    <r>
      <rPr>
        <sz val="10"/>
        <rFont val="Arial"/>
        <family val="2"/>
      </rPr>
      <t xml:space="preserve"> = (Current Month Beginning Balance +
Current Month Ending Balance) / 2</t>
    </r>
  </si>
  <si>
    <t xml:space="preserve">RIntCap = </t>
  </si>
  <si>
    <t>MWtLTD = Weighted Long Term Cost of Debt
component of the ARRORB divided by 12</t>
  </si>
  <si>
    <t>Weighted Long Term Cost of Debt</t>
  </si>
  <si>
    <t>MWtLTD =</t>
  </si>
  <si>
    <t>RIntCap = The Recorded Capitalized Interest
for the month</t>
  </si>
  <si>
    <t>STx = Weighted avergage state income tax rate</t>
  </si>
  <si>
    <t>CWIP Cost of Service</t>
  </si>
  <si>
    <t>Income Tax Calculation</t>
  </si>
  <si>
    <t>Rancho
Vista</t>
  </si>
  <si>
    <t>Tax Rates</t>
  </si>
  <si>
    <t>State Tax Rates:</t>
  </si>
  <si>
    <t>Arizona</t>
  </si>
  <si>
    <t>New Mexico</t>
  </si>
  <si>
    <t>Total Other Than Calif Tax Rate</t>
  </si>
  <si>
    <t>California</t>
  </si>
  <si>
    <t>Total States Tax Rate</t>
  </si>
  <si>
    <t>Federal Income Tax Rate</t>
  </si>
  <si>
    <t>Federal Benefit of State Taxes</t>
  </si>
  <si>
    <t>Total Composite Tax Rate</t>
  </si>
  <si>
    <t>2008</t>
  </si>
  <si>
    <t>Cost of Capital</t>
  </si>
  <si>
    <t>Weight</t>
  </si>
  <si>
    <t>Cost</t>
  </si>
  <si>
    <t>Wtd Cost</t>
  </si>
  <si>
    <t>Long-Term Debt</t>
  </si>
  <si>
    <t>Preferred Equity</t>
  </si>
  <si>
    <t>Common Equity</t>
  </si>
  <si>
    <t>ARRORB</t>
  </si>
  <si>
    <t>MRRORB</t>
  </si>
  <si>
    <t xml:space="preserve"> Authorized Annual Rate of Return</t>
  </si>
  <si>
    <t xml:space="preserve">MRRORB = </t>
  </si>
  <si>
    <t xml:space="preserve">SIT = </t>
  </si>
  <si>
    <t>FIT = Federal Income Taxes</t>
  </si>
  <si>
    <t xml:space="preserve">FTx = </t>
  </si>
  <si>
    <t xml:space="preserve">FIT = </t>
  </si>
  <si>
    <t>DT = The Federal Deferred Income Taxes
for the month recorded in Account 190</t>
  </si>
  <si>
    <t>TxGU = Tax Gross-Up Factor</t>
  </si>
  <si>
    <t>TxGU = 1 / (1-TxComp)</t>
  </si>
  <si>
    <t>TxComp = Composite Federal and State
Income Tax Rate</t>
  </si>
  <si>
    <t xml:space="preserve">TxComp = </t>
  </si>
  <si>
    <t xml:space="preserve">DT = </t>
  </si>
  <si>
    <t xml:space="preserve">TxGU = </t>
  </si>
  <si>
    <t xml:space="preserve">T = </t>
  </si>
  <si>
    <t>For all projects:</t>
  </si>
  <si>
    <t>For each project:</t>
  </si>
  <si>
    <r>
      <t xml:space="preserve">              = [(CWIP RRB</t>
    </r>
    <r>
      <rPr>
        <sz val="12"/>
        <rFont val="Arial"/>
        <family val="2"/>
      </rPr>
      <t xml:space="preserve"> x MRRORB</t>
    </r>
    <r>
      <rPr>
        <sz val="12"/>
        <rFont val="Arial"/>
        <family val="2"/>
      </rPr>
      <t>) + T</t>
    </r>
    <r>
      <rPr>
        <sz val="12"/>
        <rFont val="Arial"/>
        <family val="2"/>
      </rPr>
      <t>]</t>
    </r>
  </si>
  <si>
    <t>For DPV2:</t>
  </si>
  <si>
    <r>
      <t>T</t>
    </r>
    <r>
      <rPr>
        <sz val="10"/>
        <rFont val="Arial"/>
        <family val="2"/>
      </rPr>
      <t xml:space="preserve"> = Taxes based on Income</t>
    </r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</si>
  <si>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 xml:space="preserve">= </t>
    </r>
    <r>
      <rPr>
        <sz val="10"/>
        <rFont val="Arial"/>
        <family val="2"/>
      </rPr>
      <t>[(CWIP RRB x MRRORB) + T]</t>
    </r>
  </si>
  <si>
    <t>2.  RCR = Monthly recorded revenue</t>
  </si>
  <si>
    <t>RCR = (ARCRR/RBTRR) x BRBTR x (1 - FF&amp;U)</t>
  </si>
  <si>
    <t>1.</t>
  </si>
  <si>
    <t>2.</t>
  </si>
  <si>
    <r>
      <t>Recorded Retail CWIP Revenue Requirement (</t>
    </r>
    <r>
      <rPr>
        <b/>
        <sz val="10"/>
        <rFont val="Arial"/>
        <family val="2"/>
      </rPr>
      <t>RRCRR</t>
    </r>
    <r>
      <rPr>
        <sz val="10"/>
        <rFont val="Arial"/>
        <family val="2"/>
      </rPr>
      <t>)</t>
    </r>
  </si>
  <si>
    <r>
      <t>Retail CWIP Revenues (</t>
    </r>
    <r>
      <rPr>
        <b/>
        <sz val="10"/>
        <rFont val="Arial"/>
        <family val="2"/>
      </rPr>
      <t>RCR</t>
    </r>
    <r>
      <rPr>
        <sz val="10"/>
        <rFont val="Arial"/>
        <family val="2"/>
      </rPr>
      <t>)</t>
    </r>
  </si>
  <si>
    <r>
      <t xml:space="preserve">Total </t>
    </r>
    <r>
      <rPr>
        <b/>
        <sz val="10"/>
        <rFont val="Arial"/>
        <family val="2"/>
      </rPr>
      <t>RRCRR</t>
    </r>
  </si>
  <si>
    <t xml:space="preserve">Entries for </t>
  </si>
  <si>
    <t>May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</si>
  <si>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</si>
  <si>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</si>
  <si>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</si>
  <si>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</si>
  <si>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</si>
  <si>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</si>
  <si>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</si>
  <si>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</si>
  <si>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</si>
  <si>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Interest</t>
  </si>
  <si>
    <t>1st Quarter</t>
  </si>
  <si>
    <t>2nd Quarter</t>
  </si>
  <si>
    <t>3rd Quarter</t>
  </si>
  <si>
    <t>4th Quarter</t>
  </si>
  <si>
    <t>ISO Construction Work in Progress
Balancing Account (CWIPBA)</t>
  </si>
  <si>
    <t xml:space="preserve">     = (SIT + FIT + DT) x TxGU</t>
  </si>
  <si>
    <t xml:space="preserve">   = [(CWIP RRB x (MRRORB - MWt LTD)) +
      RIntCap] x STx; where:</t>
  </si>
  <si>
    <r>
      <t>T</t>
    </r>
    <r>
      <rPr>
        <sz val="10"/>
        <rFont val="Arial"/>
        <family val="2"/>
      </rPr>
      <t xml:space="preserve"> = (SIT + FIT + DT) x TxGU</t>
    </r>
  </si>
  <si>
    <r>
      <t>T</t>
    </r>
    <r>
      <rPr>
        <sz val="10"/>
        <rFont val="Arial"/>
        <family val="2"/>
      </rPr>
      <t xml:space="preserve"> = (SIT + FIT + DT) x TxGU</t>
    </r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</si>
  <si>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∑</t>
    </r>
    <r>
      <rPr>
        <sz val="10"/>
        <rFont val="Arial"/>
        <family val="2"/>
      </rPr>
      <t>[(CWIP RRBi x MRRORBi) + Ti]</t>
    </r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</si>
  <si>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∑</t>
    </r>
    <r>
      <rPr>
        <sz val="10"/>
        <rFont val="Arial"/>
        <family val="2"/>
      </rPr>
      <t>[(CWIP RRBi x MRRORBi) + Ti]</t>
    </r>
  </si>
  <si>
    <t>RRCRR Calculation for</t>
  </si>
  <si>
    <t>http://www.ferc.gov/legal/acct-matts/interest-rates.asp</t>
  </si>
  <si>
    <t>Retail Customers</t>
  </si>
  <si>
    <t>January</t>
  </si>
  <si>
    <t>December</t>
  </si>
  <si>
    <t>RRCRR (Revenue Requirement)</t>
  </si>
  <si>
    <t>Under(Over) Collection</t>
  </si>
  <si>
    <t>Average Balance</t>
  </si>
  <si>
    <r>
      <t xml:space="preserve">Interest Rate </t>
    </r>
    <r>
      <rPr>
        <vertAlign val="superscript"/>
        <sz val="12"/>
        <rFont val="Arial"/>
        <family val="2"/>
      </rPr>
      <t>1/ 2/</t>
    </r>
  </si>
  <si>
    <t>Total Quarterly Interest</t>
  </si>
  <si>
    <r>
      <t xml:space="preserve">1 </t>
    </r>
    <r>
      <rPr>
        <sz val="11"/>
        <rFont val="Arial"/>
        <family val="2"/>
      </rPr>
      <t>Quarterly interest rates are published in the Federal Reserve Bulletin at website:</t>
    </r>
  </si>
  <si>
    <r>
      <t>2</t>
    </r>
    <r>
      <rPr>
        <sz val="11"/>
        <rFont val="Arial"/>
        <family val="2"/>
      </rPr>
      <t xml:space="preserve"> Federal Reserve quarterly interest rates:</t>
    </r>
  </si>
  <si>
    <t xml:space="preserve">   = [(CWIP RRB x (MRRORB - MWt LTD)) - SIT
       + RIntCap] x FTx; where:</t>
  </si>
  <si>
    <t>1.  RRCRR = Monthly recorded retail CWIP revenue requirement</t>
  </si>
  <si>
    <t xml:space="preserve">Return = </t>
  </si>
  <si>
    <r>
      <t xml:space="preserve">RRCRR </t>
    </r>
    <r>
      <rPr>
        <sz val="10"/>
        <rFont val="Arial"/>
        <family val="2"/>
      </rPr>
      <t xml:space="preserve">(Monthly CWIP Revenue Requirement) </t>
    </r>
    <r>
      <rPr>
        <b/>
        <sz val="10"/>
        <rFont val="Arial"/>
        <family val="2"/>
      </rPr>
      <t xml:space="preserve">= </t>
    </r>
  </si>
  <si>
    <t>PIN 4847</t>
  </si>
  <si>
    <t>End of
Month</t>
  </si>
  <si>
    <t>Total</t>
  </si>
  <si>
    <t>Accumulated
End of Month
Balance</t>
  </si>
  <si>
    <t>Dec - 07</t>
  </si>
  <si>
    <t>Jan - 08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</si>
  <si>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</si>
  <si>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</si>
  <si>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</si>
  <si>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</si>
  <si>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</si>
  <si>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</si>
  <si>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</si>
  <si>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</si>
  <si>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</si>
  <si>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 - 08</t>
  </si>
  <si>
    <t>PIN</t>
  </si>
  <si>
    <t xml:space="preserve"> 4928, 5453, 6434 (Segments 1-3)</t>
  </si>
  <si>
    <t xml:space="preserve"> 5471, 5472, 5243 (Segments 4-11)</t>
  </si>
  <si>
    <t>PIN 4935</t>
  </si>
  <si>
    <t>CWIP Deferred Tax Computation</t>
  </si>
  <si>
    <t>Composite Tax Rate</t>
  </si>
  <si>
    <t>Schedule M Deferred Tax Computation</t>
  </si>
  <si>
    <t>Deferred Tax
Expense at</t>
  </si>
  <si>
    <t>Nov - 07</t>
  </si>
  <si>
    <t>Pro-ration computation</t>
  </si>
  <si>
    <t>Deferred
Activity</t>
  </si>
  <si>
    <t>End of Month
Balance</t>
  </si>
  <si>
    <t>Proration
Percentage</t>
  </si>
  <si>
    <t>Monthly
Expense</t>
  </si>
  <si>
    <t>Prorated
Balance</t>
  </si>
  <si>
    <r>
      <t xml:space="preserve">Monthly
Interest
Capitalized </t>
    </r>
    <r>
      <rPr>
        <vertAlign val="superscript"/>
        <sz val="11"/>
        <rFont val="Arial"/>
        <family val="2"/>
      </rPr>
      <t>1</t>
    </r>
  </si>
  <si>
    <r>
      <t>1</t>
    </r>
    <r>
      <rPr>
        <vertAlign val="subscript"/>
        <sz val="10"/>
        <rFont val="Arial"/>
        <family val="2"/>
      </rPr>
      <t xml:space="preserve">  </t>
    </r>
    <r>
      <rPr>
        <sz val="10"/>
        <rFont val="Arial"/>
        <family val="2"/>
      </rPr>
      <t>Computed as prior month end balance multiplied by the monthly long term debt rate.</t>
    </r>
  </si>
  <si>
    <t>Beginning Rate Base Balance</t>
  </si>
  <si>
    <t>Ending Rate Base Balance</t>
  </si>
  <si>
    <r>
      <t xml:space="preserve">CWIP for </t>
    </r>
    <r>
      <rPr>
        <b/>
        <sz val="12"/>
        <rFont val="Arial"/>
        <family val="2"/>
      </rPr>
      <t>DPV2</t>
    </r>
  </si>
  <si>
    <r>
      <t xml:space="preserve">CWIP for </t>
    </r>
    <r>
      <rPr>
        <b/>
        <sz val="12"/>
        <rFont val="Arial"/>
        <family val="2"/>
      </rPr>
      <t>Tehachapi</t>
    </r>
  </si>
  <si>
    <r>
      <t xml:space="preserve">CWIP for </t>
    </r>
    <r>
      <rPr>
        <b/>
        <sz val="12"/>
        <rFont val="Arial"/>
        <family val="2"/>
      </rPr>
      <t>Rancho Vista</t>
    </r>
  </si>
  <si>
    <t xml:space="preserve"> Taxes      T = </t>
  </si>
  <si>
    <t xml:space="preserve">Total Return = </t>
  </si>
  <si>
    <t>Accumulated</t>
  </si>
  <si>
    <t>AFUDC</t>
  </si>
  <si>
    <t>Rate</t>
  </si>
  <si>
    <t>Debt Rate</t>
  </si>
  <si>
    <t>Dpv2</t>
  </si>
  <si>
    <t>FF&amp;U</t>
  </si>
  <si>
    <t>1 - FF&amp;U</t>
  </si>
  <si>
    <t>Plant
Expenditure
(Loaded)</t>
  </si>
  <si>
    <t>Land
Expenditure
(Loaded)</t>
  </si>
  <si>
    <t>Note:</t>
  </si>
  <si>
    <t>Pre-August 31, 2005 recorded cost of $8,166,322.87 transferred to WO# 4585-9000</t>
  </si>
  <si>
    <t>Pre-August 31, 2005 recorded cost of $4,294,761.88 transferred to WO# 4644-9000</t>
  </si>
  <si>
    <t>Pre-August 31, 2005 recorded cost of $922,055.22 transferred to WO# 5047-9000</t>
  </si>
  <si>
    <r>
      <t xml:space="preserve">RCR </t>
    </r>
    <r>
      <rPr>
        <sz val="10"/>
        <rFont val="Arial"/>
        <family val="2"/>
      </rPr>
      <t xml:space="preserve">(Revenue)
</t>
    </r>
    <r>
      <rPr>
        <sz val="8"/>
        <rFont val="Arial"/>
        <family val="2"/>
      </rPr>
      <t>(without FF&amp;U)</t>
    </r>
  </si>
  <si>
    <t>2nd Qt</t>
  </si>
  <si>
    <t>3rd Qt</t>
  </si>
  <si>
    <t>4th Qt</t>
  </si>
  <si>
    <r>
      <t>ARCRR/RBTRR</t>
    </r>
    <r>
      <rPr>
        <sz val="10"/>
        <rFont val="Arial"/>
        <family val="2"/>
      </rPr>
      <t xml:space="preserve"> = </t>
    </r>
  </si>
  <si>
    <r>
      <t xml:space="preserve">ARCRR =
</t>
    </r>
    <r>
      <rPr>
        <sz val="8"/>
        <rFont val="Arial"/>
        <family val="2"/>
      </rPr>
      <t>(Authorized Retail CWIP Rev Req)</t>
    </r>
  </si>
  <si>
    <r>
      <t>BRBTR</t>
    </r>
    <r>
      <rPr>
        <sz val="10"/>
        <rFont val="Arial"/>
        <family val="2"/>
      </rPr>
      <t xml:space="preserve"> = 
</t>
    </r>
    <r>
      <rPr>
        <sz val="8"/>
        <rFont val="Arial"/>
        <family val="2"/>
      </rPr>
      <t>(Monthly Recorded Base Trans Revenue)</t>
    </r>
  </si>
  <si>
    <r>
      <t xml:space="preserve">Monthly Recoreded CWIP Revenue with FF&amp;U
</t>
    </r>
    <r>
      <rPr>
        <sz val="8"/>
        <rFont val="Arial"/>
        <family val="2"/>
      </rPr>
      <t>Line 5 x Line 6</t>
    </r>
  </si>
  <si>
    <t>Recorded</t>
  </si>
  <si>
    <t>RCR (CWIP Revenue without FF&amp;U)</t>
  </si>
  <si>
    <t>AFUDC DEBT</t>
  </si>
  <si>
    <t>AFUDC EQUITY</t>
  </si>
  <si>
    <t>DEBT Rate</t>
  </si>
  <si>
    <t>CWIP BOOK
Balance - EOM</t>
  </si>
  <si>
    <t>Accumulated
Interest
Capitalized - EOM</t>
  </si>
  <si>
    <t>Tax
CWIP - EOM</t>
  </si>
  <si>
    <t>Capitalized</t>
  </si>
  <si>
    <t>Interest (000,s)</t>
  </si>
  <si>
    <t>DEBT (000's)</t>
  </si>
  <si>
    <t>AFUDC (000"s)</t>
  </si>
  <si>
    <t>Ending Balance without interest</t>
  </si>
  <si>
    <t>Ending Month Balance with interest</t>
  </si>
  <si>
    <t>Jan - 09</t>
  </si>
  <si>
    <t>Dec - 09</t>
  </si>
  <si>
    <t>Long Term Debt Rate - 1st Qt - 08</t>
  </si>
  <si>
    <t>1st Qt - 09</t>
  </si>
  <si>
    <t>13 Mos. Average</t>
  </si>
  <si>
    <t>2009</t>
  </si>
  <si>
    <t>Composite Tax Rate-08</t>
  </si>
  <si>
    <t>Composite Tax Rate-09</t>
  </si>
  <si>
    <t>Deferred Tax
Effective Date</t>
  </si>
  <si>
    <t>For TRTP:</t>
  </si>
  <si>
    <t>For RV:</t>
  </si>
  <si>
    <t>13 Mos. Total</t>
  </si>
  <si>
    <t>Closing Date</t>
  </si>
  <si>
    <t>Accumulated End of Month Balance bf Closing</t>
  </si>
  <si>
    <t>Closing Amount</t>
  </si>
  <si>
    <t>Percentage</t>
  </si>
  <si>
    <t>Def Tax Bal bf Closing</t>
  </si>
  <si>
    <t>Adjustment to Def Tax Bal af Closing</t>
  </si>
  <si>
    <t>Adjusted Def Tax Bal af Closing</t>
  </si>
  <si>
    <t>Interest Cap bf Closing</t>
  </si>
  <si>
    <t>Interest Cap Adjustment</t>
  </si>
  <si>
    <t>Adjusted Interest Cap af Closing</t>
  </si>
  <si>
    <t>May - 09</t>
  </si>
  <si>
    <t>May Closing</t>
  </si>
  <si>
    <t>May Adjusted</t>
  </si>
  <si>
    <t>Jun - 09</t>
  </si>
  <si>
    <t>Jun Closing</t>
  </si>
  <si>
    <t>Jun Adjusted</t>
  </si>
  <si>
    <t>Aug Closing</t>
  </si>
  <si>
    <t>Aug Adjusted</t>
  </si>
  <si>
    <t>Aug - 08</t>
  </si>
  <si>
    <t>Oct - 09</t>
  </si>
  <si>
    <t>Nov - 09</t>
  </si>
  <si>
    <t>Oct Closing</t>
  </si>
  <si>
    <t>Oct Adjusted</t>
  </si>
  <si>
    <t>Nov Closing</t>
  </si>
  <si>
    <t>Nov Adjusted</t>
  </si>
  <si>
    <t>Jan - 10</t>
  </si>
  <si>
    <t>Dec - 10</t>
  </si>
  <si>
    <t>1st Qt - 10</t>
  </si>
  <si>
    <t>Composite Tax Rate-10</t>
  </si>
  <si>
    <t>Dec Closing</t>
  </si>
  <si>
    <t>Dec Adjusted</t>
  </si>
  <si>
    <t>2010</t>
  </si>
  <si>
    <t>D.C.</t>
  </si>
  <si>
    <t>Rounded Composite Tax Rate</t>
  </si>
  <si>
    <t>Long Term Debt Rate - 1st Qt - 2009</t>
  </si>
  <si>
    <t>Long Term Debt Rate - 1st Qt - 2010</t>
  </si>
  <si>
    <t>Composite Tax Rate - 09</t>
  </si>
  <si>
    <t xml:space="preserve"> </t>
  </si>
  <si>
    <t>Accumulated Difference (Return &amp; Taxes)</t>
  </si>
  <si>
    <t>Monthly Difference (Return &amp; Taxes)</t>
  </si>
  <si>
    <t>CWIP Balancing Account with ROE Orders</t>
  </si>
  <si>
    <t>Refund with Interest @ Ordered ROE</t>
  </si>
  <si>
    <t>Jan 2009 - May 2010</t>
  </si>
  <si>
    <t>Jun 2010 - Dec 2010</t>
  </si>
  <si>
    <r>
      <t xml:space="preserve">RRCRR (Revenue Requirement) @ 
</t>
    </r>
    <r>
      <rPr>
        <b/>
        <sz val="10"/>
        <color indexed="10"/>
        <rFont val="Arial"/>
        <family val="2"/>
      </rPr>
      <t>Modified Base ROE 9.54% (2008) and 10.30% (2009-2010)</t>
    </r>
  </si>
  <si>
    <t>DPV2*</t>
  </si>
  <si>
    <t>*Includes updated basis point change from 125 to 100 effective June 2010 from 2010 CWIP Settlement Terms</t>
  </si>
  <si>
    <t>Jan 2011 - Dec 2011</t>
  </si>
  <si>
    <t>DCR</t>
  </si>
  <si>
    <t>EITP</t>
  </si>
  <si>
    <t>Lugo-Pisgah</t>
  </si>
  <si>
    <t>Red Bluff</t>
  </si>
  <si>
    <t>Eldorado-Ivanpah</t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</si>
  <si>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 xml:space="preserve">= </t>
    </r>
    <r>
      <rPr>
        <sz val="10"/>
        <rFont val="Arial"/>
        <family val="2"/>
      </rPr>
      <t>[(CWIP RRB x MRRORB) + T]</t>
    </r>
  </si>
  <si>
    <r>
      <t>CWIP  RRB</t>
    </r>
    <r>
      <rPr>
        <sz val="10"/>
        <rFont val="Arial"/>
        <family val="2"/>
      </rPr>
      <t xml:space="preserve"> = (Current Month Beginning Balance +
Current Month Ending Balance) / 2</t>
    </r>
  </si>
  <si>
    <r>
      <t>MRRORB</t>
    </r>
    <r>
      <rPr>
        <sz val="10"/>
        <rFont val="Arial"/>
        <family val="2"/>
      </rPr>
      <t xml:space="preserve"> = Authorized Annual Rate of Return
                              on Rate Base divided by 12</t>
    </r>
  </si>
  <si>
    <r>
      <t>T</t>
    </r>
    <r>
      <rPr>
        <sz val="10"/>
        <rFont val="Arial"/>
        <family val="2"/>
      </rPr>
      <t xml:space="preserve"> = Taxes based on Income</t>
    </r>
  </si>
  <si>
    <t>For Eldorado-Ivanpah:</t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</si>
  <si>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Monthly recorded retail revenue requirement for CWIP</t>
    </r>
  </si>
  <si>
    <t>For Lugo-Pisgah:</t>
  </si>
  <si>
    <t>CWIP for Eldorado Ivanpah</t>
  </si>
  <si>
    <t>Jan - 11</t>
  </si>
  <si>
    <t>Dec - 11</t>
  </si>
  <si>
    <t>CWIP for Lugo-Pisgah</t>
  </si>
  <si>
    <t>CWIP for Red Bluff</t>
  </si>
  <si>
    <t>Eldorado Ivanpah</t>
  </si>
  <si>
    <t>Long Term Debt Rate - 4th Qt - 10</t>
  </si>
  <si>
    <t>1st Qt - 11</t>
  </si>
  <si>
    <t>Composite Tax Rate -11</t>
  </si>
  <si>
    <t>Composite Tax Rate - 11</t>
  </si>
  <si>
    <t>Composite Tax Rate - 10</t>
  </si>
  <si>
    <t>Long Term Debt Rate - 1st Qt - 2011</t>
  </si>
  <si>
    <t>Composite Tax Rate-11</t>
  </si>
  <si>
    <t>Long Term Debt Rate - 4th Qt - 2010</t>
  </si>
  <si>
    <t>2011</t>
  </si>
  <si>
    <t>Nov - 10</t>
  </si>
  <si>
    <t>CWIP Projects</t>
  </si>
  <si>
    <t>AFUDC (000's)</t>
  </si>
  <si>
    <t>Long Term Debt Rate - 1st Qt - 10</t>
  </si>
  <si>
    <t>As Ordered (10.3% Base ROE)</t>
  </si>
  <si>
    <t>As Ordered</t>
  </si>
  <si>
    <t>PIN 6929</t>
  </si>
  <si>
    <t>PIN 6551</t>
  </si>
  <si>
    <t>PIN 6123</t>
  </si>
  <si>
    <t>12 Mos. Total</t>
  </si>
  <si>
    <t>12 Mos. Average</t>
  </si>
  <si>
    <r>
      <t xml:space="preserve">RBTRR =
</t>
    </r>
    <r>
      <rPr>
        <sz val="8"/>
        <rFont val="Arial"/>
        <family val="2"/>
      </rPr>
      <t>(Retail Base Transmission Revenue Requirement)</t>
    </r>
  </si>
  <si>
    <t>Whirlwind</t>
  </si>
  <si>
    <t>Colorado River</t>
  </si>
  <si>
    <t>South of Kramer</t>
  </si>
  <si>
    <t>West of Devers</t>
  </si>
  <si>
    <t>For Whirlwind:</t>
  </si>
  <si>
    <t>For Red Bluff:</t>
  </si>
  <si>
    <t>CWIP for Whirlwind</t>
  </si>
  <si>
    <t xml:space="preserve">PIN </t>
  </si>
  <si>
    <t>Mar - 11</t>
  </si>
  <si>
    <t xml:space="preserve">CWIP for Colorado River </t>
  </si>
  <si>
    <t>CWIP for South of Kramer</t>
  </si>
  <si>
    <t>CWIP for West of Devers</t>
  </si>
  <si>
    <t>South of 
Kramer</t>
  </si>
  <si>
    <t>West of 
Devers</t>
  </si>
  <si>
    <t>Mar- 11</t>
  </si>
  <si>
    <t>10 Mos. Total</t>
  </si>
  <si>
    <t>10 Mos. Average</t>
  </si>
  <si>
    <t>Long Term Debt Rate - 1st Qt - 11</t>
  </si>
  <si>
    <t>Dec -11</t>
  </si>
  <si>
    <t>For South of Kramer:</t>
  </si>
  <si>
    <t>For Colorado River Substation:</t>
  </si>
  <si>
    <t>For West of Devers:</t>
  </si>
  <si>
    <t>Apr Closing</t>
  </si>
  <si>
    <t>Apr Adjusted</t>
  </si>
  <si>
    <t>Land</t>
  </si>
  <si>
    <t>Plant</t>
  </si>
  <si>
    <t>Rancho Vista Transfers from CWIP to PLANT</t>
  </si>
  <si>
    <t>Tehachapi Transfers from CWIP to PLANT</t>
  </si>
  <si>
    <t>DPV2 Transfers from CWIP to PLANT</t>
  </si>
  <si>
    <t>/------------------ (In Whole $$$'s) ------------------\</t>
  </si>
  <si>
    <t>Tax Int Cap</t>
  </si>
  <si>
    <t>2011 ETC One Time Revenue Credit</t>
  </si>
  <si>
    <t>CWIP Balancing Account Ending Balance to be transferred to Formula Rate</t>
  </si>
  <si>
    <r>
      <t>RCR</t>
    </r>
    <r>
      <rPr>
        <sz val="10"/>
        <rFont val="Arial"/>
        <family val="2"/>
      </rPr>
      <t xml:space="preserve"> =
Monthly Recorded CWIP Revenue without FF&amp;U
</t>
    </r>
    <r>
      <rPr>
        <sz val="8"/>
        <rFont val="Arial"/>
        <family val="2"/>
      </rPr>
      <t>Line 7 x Line 9</t>
    </r>
  </si>
  <si>
    <t>As Ordered (10.04% Base ROE)</t>
  </si>
  <si>
    <t>As Ordered (10.33% Base ROE)</t>
  </si>
  <si>
    <t>As Ordered (10.55% Base ROE)</t>
  </si>
  <si>
    <r>
      <t xml:space="preserve">RRCRR (Revenue Requirement) </t>
    </r>
    <r>
      <rPr>
        <b/>
        <sz val="10"/>
        <color rgb="FFFF0000"/>
        <rFont val="Arial"/>
        <family val="2"/>
      </rPr>
      <t xml:space="preserve">@ </t>
    </r>
    <r>
      <rPr>
        <b/>
        <sz val="10"/>
        <color indexed="10"/>
        <rFont val="Arial"/>
        <family val="2"/>
      </rPr>
      <t>ROE 10.55% (2008), 10.04% (Jan 2009 - May 2010), 10.33% (Jun 2010 - Dec 2010), and 10.3% (Jan 2011-Dec 2011)</t>
    </r>
  </si>
  <si>
    <t>2008 - 2011</t>
  </si>
  <si>
    <t>2010 - 2011</t>
  </si>
  <si>
    <r>
      <t xml:space="preserve">DPV2 - </t>
    </r>
    <r>
      <rPr>
        <b/>
        <sz val="16"/>
        <color indexed="10"/>
        <rFont val="Arial"/>
        <family val="2"/>
      </rPr>
      <t>As Ordered</t>
    </r>
  </si>
  <si>
    <r>
      <t xml:space="preserve">Tehachapi - </t>
    </r>
    <r>
      <rPr>
        <b/>
        <sz val="16"/>
        <color indexed="10"/>
        <rFont val="Arial"/>
        <family val="2"/>
      </rPr>
      <t>As Ordered</t>
    </r>
  </si>
  <si>
    <r>
      <t xml:space="preserve">Rancho Vista - </t>
    </r>
    <r>
      <rPr>
        <b/>
        <sz val="16"/>
        <color indexed="10"/>
        <rFont val="Arial"/>
        <family val="2"/>
      </rPr>
      <t>As Ordered</t>
    </r>
  </si>
  <si>
    <r>
      <t xml:space="preserve">Eldorado-Ivanpah - </t>
    </r>
    <r>
      <rPr>
        <b/>
        <sz val="16"/>
        <color indexed="10"/>
        <rFont val="Arial"/>
        <family val="2"/>
      </rPr>
      <t>As Ordered</t>
    </r>
  </si>
  <si>
    <r>
      <t xml:space="preserve">Lugo-Pisgah - </t>
    </r>
    <r>
      <rPr>
        <b/>
        <sz val="16"/>
        <color indexed="10"/>
        <rFont val="Arial"/>
        <family val="2"/>
      </rPr>
      <t>As Ordered</t>
    </r>
  </si>
  <si>
    <r>
      <t xml:space="preserve">Red Bluff - </t>
    </r>
    <r>
      <rPr>
        <b/>
        <sz val="16"/>
        <color indexed="10"/>
        <rFont val="Arial"/>
        <family val="2"/>
      </rPr>
      <t>As Ordered</t>
    </r>
  </si>
  <si>
    <r>
      <t xml:space="preserve">Whirlwind - </t>
    </r>
    <r>
      <rPr>
        <b/>
        <sz val="16"/>
        <color indexed="10"/>
        <rFont val="Arial"/>
        <family val="2"/>
      </rPr>
      <t>As Ordered</t>
    </r>
  </si>
  <si>
    <r>
      <t>Colorado River Sub -</t>
    </r>
    <r>
      <rPr>
        <b/>
        <sz val="10"/>
        <rFont val="Arial"/>
        <family val="2"/>
      </rPr>
      <t xml:space="preserve"> </t>
    </r>
    <r>
      <rPr>
        <b/>
        <sz val="16"/>
        <color indexed="10"/>
        <rFont val="Arial"/>
        <family val="2"/>
      </rPr>
      <t>As Ordered</t>
    </r>
  </si>
  <si>
    <r>
      <t xml:space="preserve">South of Kramer - </t>
    </r>
    <r>
      <rPr>
        <b/>
        <sz val="16"/>
        <color indexed="10"/>
        <rFont val="Arial"/>
        <family val="2"/>
      </rPr>
      <t>As Ordered</t>
    </r>
  </si>
  <si>
    <r>
      <t xml:space="preserve">West of Devers - </t>
    </r>
    <r>
      <rPr>
        <b/>
        <sz val="16"/>
        <color indexed="10"/>
        <rFont val="Arial"/>
        <family val="2"/>
      </rPr>
      <t>As Ordered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</si>
</sst>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0.0%"/>
    <numFmt numFmtId="166" formatCode="0.0000%"/>
    <numFmt numFmtId="167" formatCode="_(* #,##0.000_);_(* \(#,##0.000\);_(* &quot;-&quot;??_);_(@_)"/>
    <numFmt numFmtId="168" formatCode="_(* #,##0.0_);_(* \(#,##0.0\);_(* &quot;-&quot;??_);_(@_)"/>
    <numFmt numFmtId="169" formatCode="_(* #,##0_);_(* \(#,##0\);_(* &quot;-&quot;??_);_(@_)"/>
    <numFmt numFmtId="170" formatCode="0.00000%"/>
    <numFmt numFmtId="171" formatCode="0.0"/>
    <numFmt numFmtId="172" formatCode="[$-409]mmmm\-yy;@"/>
    <numFmt numFmtId="173" formatCode="0.00%;[Red]\-0.00%"/>
    <numFmt numFmtId="174" formatCode="0_);[Red]\(0\)"/>
    <numFmt numFmtId="175" formatCode="0.000\ \¢"/>
    <numFmt numFmtId="176" formatCode="#,##0.00&quot; $&quot;;\-#,##0.00&quot; $&quot;"/>
    <numFmt numFmtId="177" formatCode="m\-d\-yy"/>
    <numFmt numFmtId="178" formatCode="&quot;$&quot;#,##0.00;\-&quot;$&quot;#,##0.00"/>
    <numFmt numFmtId="179" formatCode="0.000000%"/>
    <numFmt numFmtId="180" formatCode="_(* #,##0.0_);_(* \(#,##0.0\);_(* &quot;-&quot;_);_(@_)"/>
    <numFmt numFmtId="181" formatCode="#,##0.000"/>
    <numFmt numFmtId="182" formatCode="_(* #,##0.0_);_(* \(#,##0.0\);_(* &quot;-&quot;?_);_(@_)"/>
    <numFmt numFmtId="183" formatCode="_(* #,##0.000_);_(* \(#,##0.000\);_(* &quot;-&quot;_);_(@_)"/>
    <numFmt numFmtId="184" formatCode="_(* #,##0.00000_);_(* \(#,##0.00000\);_(* &quot;-&quot;_);_(@_)"/>
    <numFmt numFmtId="185" formatCode="_(* #,##0.000_);_(* \(#,##0.000\);_(* &quot;-&quot;???_);_(@_)"/>
    <numFmt numFmtId="186" formatCode="[$-409]mmm\-yy;@"/>
    <numFmt numFmtId="187" formatCode="#,##0.000_);\(#,##0.000\)"/>
    <numFmt numFmtId="188" formatCode="_(&quot;$&quot;* #,##0_);_(&quot;$&quot;* \(#,##0\);_(&quot;$&quot;* &quot;-&quot;??_);_(@_)"/>
    <numFmt numFmtId="189" formatCode="_(&quot;$&quot;* #,##0.00000_);_(&quot;$&quot;* \(#,##0.00000\);_(&quot;$&quot;* &quot;-&quot;??_);_(@_)"/>
    <numFmt numFmtId="190" formatCode="#,##0.0"/>
  </numFmts>
  <fonts count="52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2"/>
      <color indexed="4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Geneva"/>
    </font>
    <font>
      <b/>
      <sz val="12"/>
      <color indexed="12"/>
      <name val="Arial"/>
      <family val="2"/>
    </font>
    <font>
      <sz val="12"/>
      <color indexed="12"/>
      <name val="Arial"/>
      <family val="2"/>
    </font>
    <font>
      <vertAlign val="superscript"/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vertAlign val="superscript"/>
      <sz val="11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u/>
      <sz val="12"/>
      <color indexed="12"/>
      <name val="Arial"/>
      <family val="2"/>
    </font>
    <font>
      <b/>
      <sz val="10"/>
      <name val="Arial"/>
      <family val="2"/>
    </font>
    <font>
      <sz val="12"/>
      <name val="Tahoma"/>
      <family val="2"/>
    </font>
    <font>
      <sz val="10"/>
      <name val="New Century Schlbk"/>
    </font>
    <font>
      <sz val="11"/>
      <name val="??"/>
      <family val="3"/>
    </font>
    <font>
      <sz val="12"/>
      <name val="Helv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1"/>
      <color indexed="81"/>
      <name val="Tahoma"/>
      <family val="2"/>
    </font>
    <font>
      <sz val="11"/>
      <color indexed="10"/>
      <name val="Arial"/>
      <family val="2"/>
    </font>
    <font>
      <b/>
      <sz val="16"/>
      <color indexed="10"/>
      <name val="Arial"/>
      <family val="2"/>
    </font>
    <font>
      <b/>
      <sz val="12"/>
      <color indexed="10"/>
      <name val="Arial"/>
      <family val="2"/>
    </font>
    <font>
      <sz val="11"/>
      <color indexed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color rgb="FF0000FF"/>
      <name val="Arial"/>
      <family val="2"/>
    </font>
    <font>
      <sz val="10"/>
      <color rgb="FF0000FF"/>
      <name val="Arial"/>
      <family val="2"/>
    </font>
    <font>
      <sz val="11"/>
      <color rgb="FFFF0000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CC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177" fontId="22" fillId="2" borderId="1">
      <alignment horizontal="center" vertical="center"/>
    </xf>
    <xf numFmtId="175" fontId="1" fillId="0" borderId="0"/>
    <xf numFmtId="43" fontId="1" fillId="0" borderId="0" applyFont="0" applyFill="0" applyBorder="0" applyAlignment="0" applyProtection="0"/>
    <xf numFmtId="3" fontId="23" fillId="0" borderId="0" applyFont="0" applyFill="0" applyBorder="0" applyProtection="0">
      <alignment horizontal="right"/>
    </xf>
    <xf numFmtId="178" fontId="24" fillId="0" borderId="0" applyFont="0" applyFill="0" applyBorder="0" applyAlignment="0" applyProtection="0"/>
    <xf numFmtId="6" fontId="25" fillId="0" borderId="0">
      <protection locked="0"/>
    </xf>
    <xf numFmtId="4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1" fillId="0" borderId="0">
      <protection locked="0"/>
    </xf>
    <xf numFmtId="176" fontId="1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3" fontId="19" fillId="0" borderId="0"/>
    <xf numFmtId="0" fontId="11" fillId="0" borderId="0"/>
    <xf numFmtId="9" fontId="1" fillId="0" borderId="0" applyFont="0" applyFill="0" applyBorder="0" applyAlignment="0" applyProtection="0"/>
    <xf numFmtId="9" fontId="1" fillId="0" borderId="0"/>
    <xf numFmtId="176" fontId="1" fillId="0" borderId="2">
      <protection locked="0"/>
    </xf>
    <xf numFmtId="0" fontId="7" fillId="0" borderId="0"/>
    <xf numFmtId="43" fontId="7" fillId="0" borderId="0" applyFont="0" applyFill="0" applyBorder="0" applyAlignment="0" applyProtection="0"/>
    <xf numFmtId="44" fontId="49" fillId="0" borderId="0" applyFont="0" applyFill="0" applyBorder="0" applyAlignment="0" applyProtection="0"/>
  </cellStyleXfs>
  <cellXfs count="73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indent="1"/>
    </xf>
    <xf numFmtId="43" fontId="3" fillId="0" borderId="0" xfId="3" applyFont="1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169" fontId="5" fillId="0" borderId="0" xfId="3" applyNumberFormat="1" applyFont="1"/>
    <xf numFmtId="169" fontId="5" fillId="0" borderId="3" xfId="3" applyNumberFormat="1" applyFont="1" applyBorder="1"/>
    <xf numFmtId="169" fontId="0" fillId="0" borderId="0" xfId="3" applyNumberFormat="1" applyFont="1"/>
    <xf numFmtId="0" fontId="3" fillId="0" borderId="0" xfId="0" applyFont="1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wrapText="1" indent="3"/>
    </xf>
    <xf numFmtId="0" fontId="0" fillId="0" borderId="0" xfId="0" quotePrefix="1" applyAlignment="1">
      <alignment horizontal="left" wrapText="1" indent="3"/>
    </xf>
    <xf numFmtId="10" fontId="0" fillId="0" borderId="0" xfId="0" applyNumberFormat="1"/>
    <xf numFmtId="166" fontId="0" fillId="0" borderId="0" xfId="14" applyNumberFormat="1" applyFont="1"/>
    <xf numFmtId="0" fontId="0" fillId="0" borderId="0" xfId="0" applyAlignment="1">
      <alignment horizontal="left" indent="3"/>
    </xf>
    <xf numFmtId="0" fontId="7" fillId="0" borderId="0" xfId="0" applyFont="1" applyAlignment="1">
      <alignment horizontal="center"/>
    </xf>
    <xf numFmtId="0" fontId="8" fillId="0" borderId="0" xfId="0" applyNumberFormat="1" applyFont="1" applyAlignment="1" applyProtection="1">
      <alignment horizontal="left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43" fontId="7" fillId="0" borderId="5" xfId="3" applyFont="1" applyBorder="1" applyAlignment="1" applyProtection="1">
      <alignment horizontal="center" vertical="center"/>
    </xf>
    <xf numFmtId="43" fontId="7" fillId="0" borderId="6" xfId="3" applyFont="1" applyBorder="1" applyAlignment="1" applyProtection="1">
      <alignment horizontal="center" vertical="center"/>
    </xf>
    <xf numFmtId="43" fontId="7" fillId="0" borderId="7" xfId="3" applyFont="1" applyBorder="1" applyAlignment="1" applyProtection="1">
      <alignment horizontal="center" vertical="center" wrapText="1"/>
    </xf>
    <xf numFmtId="0" fontId="2" fillId="0" borderId="3" xfId="13" applyFont="1" applyBorder="1" applyAlignment="1"/>
    <xf numFmtId="0" fontId="12" fillId="0" borderId="0" xfId="0" applyFont="1"/>
    <xf numFmtId="0" fontId="3" fillId="0" borderId="0" xfId="0" applyNumberFormat="1" applyFont="1" applyAlignment="1" applyProtection="1">
      <alignment horizontal="left"/>
    </xf>
    <xf numFmtId="0" fontId="3" fillId="0" borderId="0" xfId="0" applyNumberFormat="1" applyFont="1" applyAlignment="1" applyProtection="1">
      <alignment horizontal="left" indent="1"/>
    </xf>
    <xf numFmtId="166" fontId="13" fillId="0" borderId="0" xfId="14" applyNumberFormat="1" applyFont="1" applyAlignment="1">
      <alignment horizontal="right" indent="1"/>
    </xf>
    <xf numFmtId="166" fontId="3" fillId="0" borderId="0" xfId="14" applyNumberFormat="1" applyFont="1" applyAlignment="1">
      <alignment horizontal="right" indent="1"/>
    </xf>
    <xf numFmtId="166" fontId="13" fillId="0" borderId="3" xfId="14" applyNumberFormat="1" applyFont="1" applyBorder="1" applyAlignment="1">
      <alignment horizontal="right" indent="1"/>
    </xf>
    <xf numFmtId="166" fontId="3" fillId="0" borderId="3" xfId="14" applyNumberFormat="1" applyFont="1" applyBorder="1" applyAlignment="1">
      <alignment horizontal="right" indent="1"/>
    </xf>
    <xf numFmtId="0" fontId="3" fillId="0" borderId="0" xfId="0" applyFont="1" applyAlignment="1">
      <alignment horizontal="left"/>
    </xf>
    <xf numFmtId="166" fontId="3" fillId="0" borderId="0" xfId="14" applyNumberFormat="1" applyFont="1" applyBorder="1" applyAlignment="1">
      <alignment horizontal="right" indent="1"/>
    </xf>
    <xf numFmtId="166" fontId="3" fillId="0" borderId="8" xfId="14" applyNumberFormat="1" applyFont="1" applyBorder="1" applyAlignment="1">
      <alignment horizontal="right" indent="1"/>
    </xf>
    <xf numFmtId="0" fontId="3" fillId="0" borderId="0" xfId="13" applyFont="1" applyAlignment="1"/>
    <xf numFmtId="10" fontId="13" fillId="0" borderId="0" xfId="13" applyNumberFormat="1" applyFont="1" applyAlignment="1">
      <alignment horizontal="right" indent="1"/>
    </xf>
    <xf numFmtId="164" fontId="13" fillId="0" borderId="3" xfId="13" applyNumberFormat="1" applyFont="1" applyBorder="1" applyAlignment="1">
      <alignment horizontal="right" indent="1"/>
    </xf>
    <xf numFmtId="0" fontId="0" fillId="0" borderId="0" xfId="0" applyAlignment="1">
      <alignment horizontal="center"/>
    </xf>
    <xf numFmtId="0" fontId="2" fillId="0" borderId="0" xfId="13" applyFont="1" applyBorder="1" applyAlignment="1">
      <alignment horizontal="left" vertical="center"/>
    </xf>
    <xf numFmtId="0" fontId="3" fillId="0" borderId="9" xfId="13" applyFont="1" applyBorder="1" applyAlignment="1">
      <alignment horizontal="center"/>
    </xf>
    <xf numFmtId="165" fontId="13" fillId="0" borderId="0" xfId="13" applyNumberFormat="1" applyFont="1" applyBorder="1" applyAlignment="1">
      <alignment horizontal="right" indent="1"/>
    </xf>
    <xf numFmtId="10" fontId="13" fillId="0" borderId="0" xfId="13" applyNumberFormat="1" applyFont="1" applyBorder="1" applyAlignment="1">
      <alignment horizontal="right" indent="1"/>
    </xf>
    <xf numFmtId="10" fontId="3" fillId="0" borderId="0" xfId="13" applyNumberFormat="1" applyFont="1" applyBorder="1" applyAlignment="1">
      <alignment horizontal="right" indent="1"/>
    </xf>
    <xf numFmtId="10" fontId="3" fillId="3" borderId="10" xfId="13" applyNumberFormat="1" applyFont="1" applyFill="1" applyBorder="1" applyAlignment="1">
      <alignment horizontal="right" indent="1"/>
    </xf>
    <xf numFmtId="164" fontId="3" fillId="0" borderId="0" xfId="13" applyNumberFormat="1" applyFont="1" applyBorder="1" applyAlignment="1">
      <alignment horizontal="right" indent="1"/>
    </xf>
    <xf numFmtId="166" fontId="3" fillId="0" borderId="0" xfId="13" applyNumberFormat="1" applyFont="1" applyBorder="1" applyAlignment="1">
      <alignment horizontal="right" indent="1"/>
    </xf>
    <xf numFmtId="164" fontId="13" fillId="0" borderId="0" xfId="13" applyNumberFormat="1" applyFont="1" applyBorder="1" applyAlignment="1">
      <alignment horizontal="right" indent="1"/>
    </xf>
    <xf numFmtId="164" fontId="3" fillId="0" borderId="0" xfId="13" applyNumberFormat="1" applyFont="1" applyFill="1" applyBorder="1" applyAlignment="1">
      <alignment horizontal="right" indent="1"/>
    </xf>
    <xf numFmtId="165" fontId="3" fillId="0" borderId="0" xfId="13" applyNumberFormat="1" applyFont="1" applyBorder="1" applyAlignment="1">
      <alignment horizontal="right" indent="1"/>
    </xf>
    <xf numFmtId="10" fontId="13" fillId="0" borderId="0" xfId="13" applyNumberFormat="1" applyFont="1" applyFill="1" applyBorder="1" applyAlignment="1">
      <alignment horizontal="right" indent="1"/>
    </xf>
    <xf numFmtId="0" fontId="0" fillId="0" borderId="0" xfId="0" applyAlignment="1">
      <alignment horizontal="right" wrapText="1" inden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5" fillId="0" borderId="0" xfId="0" applyFont="1" applyFill="1" applyBorder="1"/>
    <xf numFmtId="166" fontId="0" fillId="0" borderId="0" xfId="14" applyNumberFormat="1" applyFont="1" applyFill="1" applyBorder="1"/>
    <xf numFmtId="0" fontId="0" fillId="0" borderId="0" xfId="0" applyAlignment="1"/>
    <xf numFmtId="43" fontId="0" fillId="0" borderId="0" xfId="0" applyNumberFormat="1"/>
    <xf numFmtId="43" fontId="0" fillId="3" borderId="9" xfId="3" applyFont="1" applyFill="1" applyBorder="1"/>
    <xf numFmtId="168" fontId="0" fillId="0" borderId="0" xfId="3" applyNumberFormat="1" applyFont="1" applyFill="1" applyBorder="1"/>
    <xf numFmtId="168" fontId="0" fillId="0" borderId="0" xfId="3" applyNumberFormat="1" applyFont="1"/>
    <xf numFmtId="0" fontId="10" fillId="0" borderId="0" xfId="0" applyFont="1" applyAlignment="1">
      <alignment horizontal="right"/>
    </xf>
    <xf numFmtId="169" fontId="0" fillId="4" borderId="9" xfId="3" applyNumberFormat="1" applyFont="1" applyFill="1" applyBorder="1"/>
    <xf numFmtId="0" fontId="7" fillId="0" borderId="0" xfId="0" applyFont="1" applyAlignment="1">
      <alignment horizontal="right"/>
    </xf>
    <xf numFmtId="0" fontId="7" fillId="0" borderId="0" xfId="0" applyFont="1"/>
    <xf numFmtId="168" fontId="0" fillId="0" borderId="0" xfId="0" applyNumberFormat="1"/>
    <xf numFmtId="168" fontId="0" fillId="4" borderId="9" xfId="0" applyNumberFormat="1" applyFill="1" applyBorder="1"/>
    <xf numFmtId="0" fontId="10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left" indent="1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/>
    <xf numFmtId="0" fontId="9" fillId="0" borderId="3" xfId="0" applyFont="1" applyBorder="1" applyAlignment="1">
      <alignment horizontal="left"/>
    </xf>
    <xf numFmtId="169" fontId="1" fillId="0" borderId="0" xfId="3" applyNumberFormat="1"/>
    <xf numFmtId="169" fontId="1" fillId="4" borderId="9" xfId="3" applyNumberFormat="1" applyFill="1" applyBorder="1"/>
    <xf numFmtId="166" fontId="1" fillId="0" borderId="0" xfId="14" applyNumberFormat="1"/>
    <xf numFmtId="166" fontId="1" fillId="0" borderId="0" xfId="14" applyNumberFormat="1" applyFill="1" applyBorder="1"/>
    <xf numFmtId="43" fontId="1" fillId="3" borderId="9" xfId="3" applyFill="1" applyBorder="1"/>
    <xf numFmtId="0" fontId="2" fillId="0" borderId="0" xfId="0" applyFont="1" applyBorder="1" applyAlignment="1">
      <alignment wrapText="1"/>
    </xf>
    <xf numFmtId="0" fontId="4" fillId="0" borderId="0" xfId="0" applyFont="1"/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166" fontId="1" fillId="4" borderId="9" xfId="14" applyNumberFormat="1" applyFont="1" applyFill="1" applyBorder="1"/>
    <xf numFmtId="0" fontId="1" fillId="0" borderId="0" xfId="0" applyFont="1" applyAlignment="1">
      <alignment horizontal="left" indent="1"/>
    </xf>
    <xf numFmtId="10" fontId="1" fillId="0" borderId="0" xfId="0" applyNumberFormat="1" applyFont="1"/>
    <xf numFmtId="171" fontId="0" fillId="3" borderId="9" xfId="0" applyNumberFormat="1" applyFill="1" applyBorder="1"/>
    <xf numFmtId="10" fontId="1" fillId="0" borderId="0" xfId="14" applyNumberFormat="1" applyFont="1"/>
    <xf numFmtId="168" fontId="1" fillId="0" borderId="0" xfId="3" applyNumberFormat="1" applyFill="1" applyBorder="1"/>
    <xf numFmtId="168" fontId="1" fillId="0" borderId="0" xfId="3" applyNumberFormat="1"/>
    <xf numFmtId="0" fontId="0" fillId="0" borderId="3" xfId="0" applyBorder="1" applyAlignment="1">
      <alignment horizontal="center"/>
    </xf>
    <xf numFmtId="168" fontId="0" fillId="0" borderId="0" xfId="3" applyNumberFormat="1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left" vertical="top" wrapText="1"/>
    </xf>
    <xf numFmtId="168" fontId="5" fillId="0" borderId="0" xfId="3" applyNumberFormat="1" applyFont="1" applyBorder="1"/>
    <xf numFmtId="49" fontId="0" fillId="0" borderId="11" xfId="3" applyNumberFormat="1" applyFont="1" applyBorder="1" applyAlignment="1">
      <alignment horizontal="center" vertical="center" wrapText="1"/>
    </xf>
    <xf numFmtId="173" fontId="3" fillId="0" borderId="0" xfId="0" applyNumberFormat="1" applyFont="1" applyAlignment="1" applyProtection="1">
      <alignment horizontal="left" vertical="center" indent="1"/>
    </xf>
    <xf numFmtId="166" fontId="0" fillId="3" borderId="9" xfId="14" applyNumberFormat="1" applyFont="1" applyFill="1" applyBorder="1"/>
    <xf numFmtId="166" fontId="1" fillId="3" borderId="9" xfId="14" applyNumberFormat="1" applyFill="1" applyBorder="1"/>
    <xf numFmtId="0" fontId="7" fillId="0" borderId="0" xfId="0" quotePrefix="1" applyFont="1" applyAlignment="1">
      <alignment horizontal="left" wrapText="1" indent="3"/>
    </xf>
    <xf numFmtId="0" fontId="6" fillId="0" borderId="12" xfId="0" applyFont="1" applyBorder="1" applyAlignment="1"/>
    <xf numFmtId="0" fontId="10" fillId="0" borderId="0" xfId="0" applyFont="1" applyAlignment="1">
      <alignment horizontal="left" indent="1"/>
    </xf>
    <xf numFmtId="10" fontId="5" fillId="0" borderId="0" xfId="0" applyNumberFormat="1" applyFont="1" applyAlignment="1">
      <alignment horizontal="center"/>
    </xf>
    <xf numFmtId="0" fontId="14" fillId="0" borderId="3" xfId="0" applyFont="1" applyBorder="1" applyAlignment="1">
      <alignment horizontal="left" vertical="top" wrapText="1"/>
    </xf>
    <xf numFmtId="0" fontId="0" fillId="0" borderId="0" xfId="0" applyBorder="1"/>
    <xf numFmtId="10" fontId="5" fillId="0" borderId="0" xfId="14" applyNumberFormat="1" applyFont="1" applyBorder="1" applyAlignment="1">
      <alignment horizontal="center"/>
    </xf>
    <xf numFmtId="0" fontId="19" fillId="0" borderId="0" xfId="0" applyFont="1"/>
    <xf numFmtId="40" fontId="19" fillId="0" borderId="9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74" fontId="19" fillId="0" borderId="0" xfId="0" applyNumberFormat="1" applyFont="1"/>
    <xf numFmtId="174" fontId="19" fillId="0" borderId="0" xfId="0" applyNumberFormat="1" applyFont="1" applyFill="1" applyAlignment="1">
      <alignment horizontal="center"/>
    </xf>
    <xf numFmtId="0" fontId="19" fillId="0" borderId="0" xfId="0" applyFont="1" applyAlignment="1">
      <alignment horizontal="center"/>
    </xf>
    <xf numFmtId="40" fontId="19" fillId="0" borderId="0" xfId="0" applyNumberFormat="1" applyFont="1"/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/>
    </xf>
    <xf numFmtId="0" fontId="3" fillId="0" borderId="0" xfId="0" applyFont="1" applyAlignment="1">
      <alignment vertical="top"/>
    </xf>
    <xf numFmtId="40" fontId="19" fillId="0" borderId="0" xfId="0" applyNumberFormat="1" applyFont="1" applyAlignment="1">
      <alignment horizontal="right"/>
    </xf>
    <xf numFmtId="0" fontId="0" fillId="0" borderId="9" xfId="0" applyBorder="1" applyAlignment="1">
      <alignment horizontal="center" vertical="center"/>
    </xf>
    <xf numFmtId="0" fontId="0" fillId="0" borderId="0" xfId="0" quotePrefix="1" applyAlignment="1">
      <alignment horizontal="left" vertical="top" wrapText="1" indent="3"/>
    </xf>
    <xf numFmtId="0" fontId="7" fillId="0" borderId="0" xfId="0" quotePrefix="1" applyFont="1" applyAlignment="1">
      <alignment horizontal="left" vertical="top" wrapText="1" indent="3"/>
    </xf>
    <xf numFmtId="166" fontId="0" fillId="0" borderId="3" xfId="0" applyNumberFormat="1" applyBorder="1"/>
    <xf numFmtId="3" fontId="19" fillId="0" borderId="0" xfId="12"/>
    <xf numFmtId="3" fontId="1" fillId="0" borderId="0" xfId="12" quotePrefix="1" applyFont="1" applyAlignment="1">
      <alignment horizontal="center"/>
    </xf>
    <xf numFmtId="181" fontId="1" fillId="0" borderId="0" xfId="12" quotePrefix="1" applyNumberFormat="1" applyFont="1" applyAlignment="1">
      <alignment horizontal="center"/>
    </xf>
    <xf numFmtId="3" fontId="1" fillId="0" borderId="0" xfId="12" quotePrefix="1" applyFont="1" applyAlignment="1">
      <alignment horizontal="left"/>
    </xf>
    <xf numFmtId="3" fontId="19" fillId="0" borderId="0" xfId="12" applyFont="1" applyAlignment="1">
      <alignment horizontal="left" indent="2"/>
    </xf>
    <xf numFmtId="41" fontId="27" fillId="0" borderId="0" xfId="4" applyNumberFormat="1" applyFont="1" applyAlignment="1" applyProtection="1">
      <alignment horizontal="left"/>
    </xf>
    <xf numFmtId="41" fontId="27" fillId="0" borderId="0" xfId="4" applyNumberFormat="1" applyFont="1" applyProtection="1">
      <alignment horizontal="right"/>
    </xf>
    <xf numFmtId="49" fontId="19" fillId="0" borderId="0" xfId="12" applyNumberFormat="1" applyFont="1" applyAlignment="1">
      <alignment horizontal="left"/>
    </xf>
    <xf numFmtId="41" fontId="28" fillId="0" borderId="0" xfId="4" applyNumberFormat="1" applyFont="1" applyProtection="1">
      <alignment horizontal="right"/>
    </xf>
    <xf numFmtId="41" fontId="13" fillId="0" borderId="0" xfId="4" applyNumberFormat="1" applyFont="1" applyProtection="1">
      <alignment horizontal="right"/>
    </xf>
    <xf numFmtId="172" fontId="19" fillId="0" borderId="0" xfId="12" applyNumberFormat="1"/>
    <xf numFmtId="3" fontId="19" fillId="0" borderId="0" xfId="12" applyFont="1" applyAlignment="1">
      <alignment horizontal="left"/>
    </xf>
    <xf numFmtId="3" fontId="30" fillId="0" borderId="0" xfId="12" applyFont="1"/>
    <xf numFmtId="10" fontId="30" fillId="0" borderId="0" xfId="14" applyNumberFormat="1" applyFont="1" applyBorder="1"/>
    <xf numFmtId="3" fontId="30" fillId="0" borderId="0" xfId="12" applyFont="1" applyAlignment="1">
      <alignment horizontal="left"/>
    </xf>
    <xf numFmtId="164" fontId="30" fillId="0" borderId="0" xfId="14" applyNumberFormat="1" applyFont="1" applyBorder="1" applyAlignment="1">
      <alignment horizontal="right"/>
    </xf>
    <xf numFmtId="3" fontId="32" fillId="0" borderId="3" xfId="12" applyFont="1" applyBorder="1"/>
    <xf numFmtId="3" fontId="30" fillId="0" borderId="0" xfId="12" applyFont="1" applyBorder="1"/>
    <xf numFmtId="49" fontId="30" fillId="0" borderId="0" xfId="12" applyNumberFormat="1" applyFont="1" applyAlignment="1">
      <alignment horizontal="right"/>
    </xf>
    <xf numFmtId="3" fontId="30" fillId="0" borderId="2" xfId="12" applyFont="1" applyBorder="1"/>
    <xf numFmtId="3" fontId="32" fillId="0" borderId="9" xfId="12" applyFont="1" applyBorder="1" applyAlignment="1">
      <alignment horizontal="center" vertical="center"/>
    </xf>
    <xf numFmtId="3" fontId="30" fillId="0" borderId="9" xfId="12" applyFont="1" applyBorder="1" applyAlignment="1">
      <alignment horizontal="center" wrapText="1"/>
    </xf>
    <xf numFmtId="3" fontId="30" fillId="0" borderId="0" xfId="12" applyNumberFormat="1" applyFont="1"/>
    <xf numFmtId="10" fontId="30" fillId="0" borderId="0" xfId="14" applyNumberFormat="1" applyFont="1"/>
    <xf numFmtId="3" fontId="30" fillId="0" borderId="3" xfId="12" applyNumberFormat="1" applyFont="1" applyBorder="1"/>
    <xf numFmtId="9" fontId="30" fillId="0" borderId="0" xfId="14" applyFont="1"/>
    <xf numFmtId="49" fontId="30" fillId="0" borderId="0" xfId="12" applyNumberFormat="1" applyFont="1"/>
    <xf numFmtId="3" fontId="30" fillId="0" borderId="2" xfId="12" applyNumberFormat="1" applyFont="1" applyBorder="1"/>
    <xf numFmtId="3" fontId="30" fillId="0" borderId="13" xfId="12" applyFont="1" applyBorder="1"/>
    <xf numFmtId="3" fontId="31" fillId="0" borderId="0" xfId="12" applyFont="1" applyBorder="1" applyAlignment="1"/>
    <xf numFmtId="3" fontId="30" fillId="0" borderId="14" xfId="12" applyFont="1" applyBorder="1" applyAlignment="1">
      <alignment horizontal="center" vertical="center" wrapText="1"/>
    </xf>
    <xf numFmtId="164" fontId="30" fillId="0" borderId="15" xfId="14" applyNumberFormat="1" applyFont="1" applyBorder="1" applyAlignment="1">
      <alignment horizontal="center" vertical="center"/>
    </xf>
    <xf numFmtId="3" fontId="30" fillId="0" borderId="0" xfId="4" applyFont="1">
      <alignment horizontal="right"/>
    </xf>
    <xf numFmtId="164" fontId="30" fillId="0" borderId="0" xfId="14" applyNumberFormat="1" applyFont="1" applyBorder="1"/>
    <xf numFmtId="3" fontId="36" fillId="0" borderId="0" xfId="12" applyFont="1"/>
    <xf numFmtId="171" fontId="1" fillId="3" borderId="9" xfId="0" applyNumberFormat="1" applyFont="1" applyFill="1" applyBorder="1"/>
    <xf numFmtId="0" fontId="1" fillId="3" borderId="9" xfId="0" applyFont="1" applyFill="1" applyBorder="1"/>
    <xf numFmtId="171" fontId="1" fillId="3" borderId="9" xfId="0" applyNumberFormat="1" applyFont="1" applyFill="1" applyBorder="1" applyAlignment="1">
      <alignment horizontal="right"/>
    </xf>
    <xf numFmtId="180" fontId="28" fillId="0" borderId="0" xfId="4" applyNumberFormat="1" applyFont="1" applyProtection="1">
      <alignment horizontal="right"/>
    </xf>
    <xf numFmtId="167" fontId="0" fillId="0" borderId="0" xfId="3" applyNumberFormat="1" applyFont="1"/>
    <xf numFmtId="0" fontId="7" fillId="0" borderId="0" xfId="0" quotePrefix="1" applyFont="1" applyAlignment="1">
      <alignment horizontal="right"/>
    </xf>
    <xf numFmtId="169" fontId="1" fillId="0" borderId="0" xfId="3" applyNumberFormat="1" applyFont="1"/>
    <xf numFmtId="164" fontId="1" fillId="0" borderId="0" xfId="14" applyNumberFormat="1" applyFont="1"/>
    <xf numFmtId="170" fontId="1" fillId="0" borderId="0" xfId="14" applyNumberFormat="1" applyFont="1"/>
    <xf numFmtId="3" fontId="30" fillId="0" borderId="0" xfId="12" applyFont="1" applyFill="1"/>
    <xf numFmtId="3" fontId="30" fillId="0" borderId="2" xfId="12" applyFont="1" applyFill="1" applyBorder="1"/>
    <xf numFmtId="3" fontId="30" fillId="0" borderId="9" xfId="12" applyFont="1" applyFill="1" applyBorder="1" applyAlignment="1">
      <alignment horizontal="center" wrapText="1"/>
    </xf>
    <xf numFmtId="3" fontId="30" fillId="0" borderId="0" xfId="12" applyNumberFormat="1" applyFont="1" applyFill="1"/>
    <xf numFmtId="41" fontId="3" fillId="0" borderId="0" xfId="4" applyNumberFormat="1" applyFont="1" applyProtection="1">
      <alignment horizontal="right"/>
    </xf>
    <xf numFmtId="180" fontId="13" fillId="0" borderId="0" xfId="4" applyNumberFormat="1" applyFont="1" applyProtection="1">
      <alignment horizontal="right"/>
    </xf>
    <xf numFmtId="180" fontId="13" fillId="0" borderId="3" xfId="4" applyNumberFormat="1" applyFont="1" applyBorder="1" applyProtection="1">
      <alignment horizontal="right"/>
    </xf>
    <xf numFmtId="3" fontId="1" fillId="0" borderId="0" xfId="12" quotePrefix="1" applyFont="1" applyBorder="1" applyAlignment="1">
      <alignment horizontal="center"/>
    </xf>
    <xf numFmtId="3" fontId="19" fillId="0" borderId="0" xfId="12" quotePrefix="1" applyFont="1" applyBorder="1" applyAlignment="1">
      <alignment horizontal="center"/>
    </xf>
    <xf numFmtId="3" fontId="19" fillId="0" borderId="0" xfId="12" applyFont="1" applyBorder="1" applyAlignment="1">
      <alignment horizontal="center"/>
    </xf>
    <xf numFmtId="3" fontId="19" fillId="0" borderId="0" xfId="12" applyFont="1" applyBorder="1" applyAlignment="1">
      <alignment horizontal="left" indent="2"/>
    </xf>
    <xf numFmtId="180" fontId="20" fillId="0" borderId="0" xfId="4" applyNumberFormat="1" applyFont="1" applyBorder="1" applyAlignment="1" applyProtection="1">
      <alignment horizontal="left"/>
    </xf>
    <xf numFmtId="180" fontId="20" fillId="0" borderId="0" xfId="4" applyNumberFormat="1" applyFont="1" applyBorder="1" applyProtection="1">
      <alignment horizontal="right"/>
    </xf>
    <xf numFmtId="180" fontId="27" fillId="0" borderId="0" xfId="4" applyNumberFormat="1" applyFont="1" applyBorder="1" applyProtection="1">
      <alignment horizontal="right"/>
    </xf>
    <xf numFmtId="180" fontId="27" fillId="0" borderId="0" xfId="4" applyNumberFormat="1" applyFont="1" applyBorder="1" applyAlignment="1" applyProtection="1">
      <alignment horizontal="left"/>
    </xf>
    <xf numFmtId="3" fontId="19" fillId="0" borderId="0" xfId="12" applyFont="1" applyBorder="1" applyAlignment="1">
      <alignment horizontal="left"/>
    </xf>
    <xf numFmtId="41" fontId="20" fillId="0" borderId="0" xfId="4" applyNumberFormat="1" applyFont="1" applyBorder="1" applyProtection="1">
      <alignment horizontal="right"/>
    </xf>
    <xf numFmtId="41" fontId="27" fillId="0" borderId="0" xfId="4" applyNumberFormat="1" applyFont="1" applyBorder="1" applyProtection="1">
      <alignment horizontal="right"/>
    </xf>
    <xf numFmtId="180" fontId="3" fillId="0" borderId="0" xfId="4" applyNumberFormat="1" applyFont="1" applyProtection="1">
      <alignment horizontal="right"/>
    </xf>
    <xf numFmtId="3" fontId="19" fillId="0" borderId="0" xfId="12" applyFont="1"/>
    <xf numFmtId="3" fontId="19" fillId="0" borderId="0" xfId="12" applyAlignment="1">
      <alignment vertical="top"/>
    </xf>
    <xf numFmtId="183" fontId="3" fillId="0" borderId="0" xfId="4" applyNumberFormat="1" applyFont="1" applyProtection="1">
      <alignment horizontal="right"/>
    </xf>
    <xf numFmtId="168" fontId="10" fillId="4" borderId="13" xfId="3" applyNumberFormat="1" applyFont="1" applyFill="1" applyBorder="1"/>
    <xf numFmtId="167" fontId="10" fillId="4" borderId="13" xfId="3" applyNumberFormat="1" applyFont="1" applyFill="1" applyBorder="1"/>
    <xf numFmtId="168" fontId="10" fillId="3" borderId="13" xfId="3" applyNumberFormat="1" applyFont="1" applyFill="1" applyBorder="1"/>
    <xf numFmtId="0" fontId="0" fillId="0" borderId="0" xfId="0" applyAlignment="1">
      <alignment vertical="center"/>
    </xf>
    <xf numFmtId="0" fontId="1" fillId="0" borderId="0" xfId="0" applyFont="1"/>
    <xf numFmtId="3" fontId="30" fillId="0" borderId="0" xfId="12" applyFont="1" applyAlignment="1">
      <alignment horizontal="right"/>
    </xf>
    <xf numFmtId="0" fontId="10" fillId="0" borderId="0" xfId="0" applyFont="1" applyAlignment="1">
      <alignment wrapText="1"/>
    </xf>
    <xf numFmtId="169" fontId="1" fillId="0" borderId="3" xfId="3" applyNumberFormat="1" applyFont="1" applyBorder="1"/>
    <xf numFmtId="10" fontId="39" fillId="0" borderId="0" xfId="14" applyNumberFormat="1" applyFont="1" applyBorder="1"/>
    <xf numFmtId="0" fontId="4" fillId="0" borderId="0" xfId="0" applyFont="1" applyAlignment="1">
      <alignment horizontal="left" vertical="top"/>
    </xf>
    <xf numFmtId="0" fontId="7" fillId="0" borderId="0" xfId="0" applyFont="1" applyAlignment="1">
      <alignment horizontal="right" vertical="top" wrapText="1"/>
    </xf>
    <xf numFmtId="169" fontId="5" fillId="0" borderId="0" xfId="3" applyNumberFormat="1" applyFont="1" applyAlignment="1">
      <alignment vertical="top"/>
    </xf>
    <xf numFmtId="169" fontId="1" fillId="0" borderId="0" xfId="3" applyNumberFormat="1" applyFont="1" applyAlignment="1">
      <alignment vertical="top"/>
    </xf>
    <xf numFmtId="0" fontId="0" fillId="0" borderId="0" xfId="0" applyAlignment="1">
      <alignment vertical="top"/>
    </xf>
    <xf numFmtId="168" fontId="5" fillId="0" borderId="0" xfId="3" applyNumberFormat="1" applyFont="1" applyAlignment="1">
      <alignment vertical="top"/>
    </xf>
    <xf numFmtId="0" fontId="10" fillId="0" borderId="0" xfId="0" applyFont="1" applyAlignment="1">
      <alignment horizontal="right" vertical="top" wrapText="1"/>
    </xf>
    <xf numFmtId="169" fontId="0" fillId="4" borderId="16" xfId="3" applyNumberFormat="1" applyFont="1" applyFill="1" applyBorder="1" applyAlignment="1">
      <alignment vertical="center"/>
    </xf>
    <xf numFmtId="0" fontId="7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10" fillId="4" borderId="16" xfId="0" applyFont="1" applyFill="1" applyBorder="1" applyAlignment="1">
      <alignment horizontal="right" vertical="center" wrapText="1"/>
    </xf>
    <xf numFmtId="168" fontId="1" fillId="0" borderId="0" xfId="3" applyNumberFormat="1" applyFont="1" applyAlignment="1">
      <alignment vertical="top"/>
    </xf>
    <xf numFmtId="168" fontId="10" fillId="4" borderId="16" xfId="3" applyNumberFormat="1" applyFont="1" applyFill="1" applyBorder="1" applyAlignment="1">
      <alignment vertical="center"/>
    </xf>
    <xf numFmtId="168" fontId="0" fillId="0" borderId="0" xfId="3" applyNumberFormat="1" applyFont="1" applyAlignment="1">
      <alignment horizontal="center"/>
    </xf>
    <xf numFmtId="41" fontId="3" fillId="0" borderId="3" xfId="4" applyNumberFormat="1" applyFont="1" applyBorder="1" applyProtection="1">
      <alignment horizontal="right"/>
    </xf>
    <xf numFmtId="180" fontId="3" fillId="0" borderId="3" xfId="4" applyNumberFormat="1" applyFont="1" applyBorder="1" applyProtection="1">
      <alignment horizontal="right"/>
    </xf>
    <xf numFmtId="3" fontId="7" fillId="0" borderId="0" xfId="12" quotePrefix="1" applyFont="1" applyAlignment="1">
      <alignment horizontal="center"/>
    </xf>
    <xf numFmtId="3" fontId="7" fillId="0" borderId="0" xfId="12" quotePrefix="1" applyFont="1" applyBorder="1" applyAlignment="1">
      <alignment horizontal="center"/>
    </xf>
    <xf numFmtId="3" fontId="3" fillId="0" borderId="0" xfId="12" applyFont="1" applyBorder="1" applyAlignment="1">
      <alignment horizontal="center"/>
    </xf>
    <xf numFmtId="41" fontId="3" fillId="0" borderId="0" xfId="4" applyNumberFormat="1" applyFont="1" applyBorder="1" applyAlignment="1" applyProtection="1">
      <alignment horizontal="left"/>
    </xf>
    <xf numFmtId="3" fontId="3" fillId="0" borderId="0" xfId="12" applyFont="1"/>
    <xf numFmtId="41" fontId="3" fillId="0" borderId="0" xfId="4" applyNumberFormat="1" applyFont="1" applyAlignment="1" applyProtection="1">
      <alignment horizontal="left"/>
    </xf>
    <xf numFmtId="168" fontId="10" fillId="3" borderId="2" xfId="3" applyNumberFormat="1" applyFont="1" applyFill="1" applyBorder="1"/>
    <xf numFmtId="180" fontId="13" fillId="0" borderId="0" xfId="4" applyNumberFormat="1" applyFont="1" applyFill="1" applyProtection="1">
      <alignment horizontal="right"/>
    </xf>
    <xf numFmtId="10" fontId="0" fillId="0" borderId="2" xfId="0" applyNumberFormat="1" applyBorder="1"/>
    <xf numFmtId="0" fontId="0" fillId="0" borderId="8" xfId="0" applyBorder="1" applyAlignment="1">
      <alignment horizontal="center" vertical="center"/>
    </xf>
    <xf numFmtId="37" fontId="0" fillId="0" borderId="0" xfId="0" applyNumberFormat="1"/>
    <xf numFmtId="37" fontId="0" fillId="0" borderId="3" xfId="0" applyNumberFormat="1" applyBorder="1" applyAlignment="1">
      <alignment horizontal="center" vertical="center"/>
    </xf>
    <xf numFmtId="37" fontId="0" fillId="0" borderId="8" xfId="0" applyNumberFormat="1" applyBorder="1" applyAlignment="1">
      <alignment horizontal="center" vertical="center"/>
    </xf>
    <xf numFmtId="180" fontId="3" fillId="0" borderId="0" xfId="4" applyNumberFormat="1" applyFont="1" applyBorder="1" applyProtection="1">
      <alignment horizontal="right"/>
    </xf>
    <xf numFmtId="180" fontId="3" fillId="0" borderId="8" xfId="4" applyNumberFormat="1" applyFont="1" applyBorder="1" applyProtection="1">
      <alignment horizontal="right"/>
    </xf>
    <xf numFmtId="180" fontId="2" fillId="0" borderId="0" xfId="4" applyNumberFormat="1" applyFont="1" applyProtection="1">
      <alignment horizontal="right"/>
    </xf>
    <xf numFmtId="180" fontId="38" fillId="0" borderId="0" xfId="4" applyNumberFormat="1" applyFont="1" applyProtection="1">
      <alignment horizontal="right"/>
    </xf>
    <xf numFmtId="180" fontId="19" fillId="0" borderId="0" xfId="0" applyNumberFormat="1" applyFont="1" applyFill="1"/>
    <xf numFmtId="180" fontId="3" fillId="0" borderId="3" xfId="4" applyNumberFormat="1" applyFont="1" applyBorder="1" applyAlignment="1" applyProtection="1">
      <alignment horizontal="right" indent="1"/>
    </xf>
    <xf numFmtId="180" fontId="0" fillId="0" borderId="0" xfId="0" applyNumberFormat="1" applyFill="1"/>
    <xf numFmtId="180" fontId="0" fillId="0" borderId="0" xfId="0" applyNumberFormat="1" applyFill="1" applyAlignment="1">
      <alignment horizontal="right"/>
    </xf>
    <xf numFmtId="180" fontId="5" fillId="0" borderId="0" xfId="3" applyNumberFormat="1" applyFont="1" applyBorder="1"/>
    <xf numFmtId="10" fontId="19" fillId="0" borderId="0" xfId="14" applyNumberFormat="1" applyFont="1" applyFill="1"/>
    <xf numFmtId="10" fontId="39" fillId="0" borderId="0" xfId="14" applyNumberFormat="1" applyFont="1" applyFill="1" applyBorder="1"/>
    <xf numFmtId="3" fontId="19" fillId="0" borderId="0" xfId="12" applyFill="1"/>
    <xf numFmtId="49" fontId="19" fillId="0" borderId="0" xfId="12" applyNumberFormat="1" applyFont="1" applyBorder="1" applyAlignment="1">
      <alignment horizontal="left"/>
    </xf>
    <xf numFmtId="41" fontId="3" fillId="0" borderId="0" xfId="4" applyNumberFormat="1" applyFont="1" applyBorder="1" applyProtection="1">
      <alignment horizontal="right"/>
    </xf>
    <xf numFmtId="180" fontId="13" fillId="0" borderId="0" xfId="4" applyNumberFormat="1" applyFont="1" applyBorder="1" applyProtection="1">
      <alignment horizontal="right"/>
    </xf>
    <xf numFmtId="3" fontId="30" fillId="0" borderId="0" xfId="12" applyNumberFormat="1" applyFont="1" applyBorder="1"/>
    <xf numFmtId="169" fontId="0" fillId="0" borderId="0" xfId="3" applyNumberFormat="1" applyFont="1" applyAlignment="1">
      <alignment vertical="top"/>
    </xf>
    <xf numFmtId="10" fontId="0" fillId="0" borderId="0" xfId="14" applyNumberFormat="1" applyFont="1"/>
    <xf numFmtId="10" fontId="19" fillId="0" borderId="0" xfId="0" applyNumberFormat="1" applyFont="1"/>
    <xf numFmtId="182" fontId="19" fillId="0" borderId="0" xfId="0" applyNumberFormat="1" applyFont="1"/>
    <xf numFmtId="168" fontId="19" fillId="0" borderId="0" xfId="0" applyNumberFormat="1" applyFont="1"/>
    <xf numFmtId="180" fontId="0" fillId="0" borderId="0" xfId="0" applyNumberFormat="1"/>
    <xf numFmtId="180" fontId="19" fillId="0" borderId="0" xfId="0" applyNumberFormat="1" applyFont="1"/>
    <xf numFmtId="0" fontId="7" fillId="0" borderId="0" xfId="0" applyFont="1" applyBorder="1"/>
    <xf numFmtId="0" fontId="0" fillId="0" borderId="19" xfId="0" applyBorder="1"/>
    <xf numFmtId="0" fontId="15" fillId="4" borderId="7" xfId="0" applyFont="1" applyFill="1" applyBorder="1" applyAlignment="1">
      <alignment horizontal="center"/>
    </xf>
    <xf numFmtId="49" fontId="30" fillId="0" borderId="0" xfId="12" applyNumberFormat="1" applyFont="1" applyFill="1" applyAlignment="1">
      <alignment horizontal="right"/>
    </xf>
    <xf numFmtId="3" fontId="29" fillId="0" borderId="0" xfId="12" applyFont="1" applyBorder="1" applyAlignment="1">
      <alignment horizontal="center" vertical="center"/>
    </xf>
    <xf numFmtId="3" fontId="30" fillId="0" borderId="0" xfId="12" applyFont="1" applyBorder="1" applyAlignment="1">
      <alignment horizontal="center" vertical="center" wrapText="1"/>
    </xf>
    <xf numFmtId="3" fontId="30" fillId="0" borderId="0" xfId="12" applyFont="1" applyBorder="1" applyAlignment="1">
      <alignment horizontal="center" vertical="center"/>
    </xf>
    <xf numFmtId="3" fontId="30" fillId="0" borderId="0" xfId="12" applyFont="1" applyFill="1" applyBorder="1" applyAlignment="1">
      <alignment horizontal="center" wrapText="1"/>
    </xf>
    <xf numFmtId="164" fontId="30" fillId="0" borderId="9" xfId="14" applyNumberFormat="1" applyFont="1" applyBorder="1" applyAlignment="1">
      <alignment horizontal="center" vertical="center"/>
    </xf>
    <xf numFmtId="186" fontId="30" fillId="0" borderId="9" xfId="3" applyNumberFormat="1" applyFont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164" fontId="1" fillId="0" borderId="0" xfId="14" applyNumberFormat="1" applyFont="1" applyFill="1"/>
    <xf numFmtId="10" fontId="30" fillId="0" borderId="0" xfId="14" applyNumberFormat="1" applyFont="1" applyFill="1"/>
    <xf numFmtId="3" fontId="30" fillId="0" borderId="0" xfId="12" applyNumberFormat="1" applyFont="1" applyFill="1" applyBorder="1"/>
    <xf numFmtId="43" fontId="19" fillId="0" borderId="0" xfId="3" applyFont="1"/>
    <xf numFmtId="49" fontId="19" fillId="0" borderId="0" xfId="12" applyNumberFormat="1" applyFont="1" applyFill="1" applyAlignment="1">
      <alignment horizontal="left"/>
    </xf>
    <xf numFmtId="41" fontId="3" fillId="0" borderId="0" xfId="4" applyNumberFormat="1" applyFont="1" applyFill="1" applyProtection="1">
      <alignment horizontal="right"/>
    </xf>
    <xf numFmtId="180" fontId="3" fillId="0" borderId="0" xfId="4" applyNumberFormat="1" applyFont="1" applyFill="1" applyProtection="1">
      <alignment horizontal="right"/>
    </xf>
    <xf numFmtId="49" fontId="19" fillId="0" borderId="0" xfId="12" applyNumberFormat="1" applyFont="1" applyFill="1" applyBorder="1" applyAlignment="1">
      <alignment horizontal="left"/>
    </xf>
    <xf numFmtId="41" fontId="3" fillId="0" borderId="0" xfId="4" applyNumberFormat="1" applyFont="1" applyFill="1" applyBorder="1" applyProtection="1">
      <alignment horizontal="right"/>
    </xf>
    <xf numFmtId="180" fontId="13" fillId="0" borderId="0" xfId="4" applyNumberFormat="1" applyFont="1" applyFill="1" applyBorder="1" applyProtection="1">
      <alignment horizontal="right"/>
    </xf>
    <xf numFmtId="180" fontId="3" fillId="0" borderId="0" xfId="4" applyNumberFormat="1" applyFont="1" applyFill="1" applyBorder="1" applyProtection="1">
      <alignment horizontal="right"/>
    </xf>
    <xf numFmtId="41" fontId="13" fillId="0" borderId="0" xfId="4" applyNumberFormat="1" applyFont="1" applyFill="1" applyProtection="1">
      <alignment horizontal="right"/>
    </xf>
    <xf numFmtId="41" fontId="13" fillId="0" borderId="0" xfId="4" applyNumberFormat="1" applyFont="1" applyFill="1" applyBorder="1" applyProtection="1">
      <alignment horizontal="right"/>
    </xf>
    <xf numFmtId="179" fontId="0" fillId="0" borderId="0" xfId="0" applyNumberFormat="1"/>
    <xf numFmtId="186" fontId="0" fillId="0" borderId="0" xfId="0" applyNumberFormat="1" applyAlignment="1">
      <alignment horizontal="left"/>
    </xf>
    <xf numFmtId="41" fontId="0" fillId="0" borderId="0" xfId="0" applyNumberFormat="1"/>
    <xf numFmtId="0" fontId="43" fillId="0" borderId="0" xfId="0" applyFont="1"/>
    <xf numFmtId="49" fontId="1" fillId="0" borderId="0" xfId="0" applyNumberFormat="1" applyFont="1" applyAlignment="1">
      <alignment horizontal="left"/>
    </xf>
    <xf numFmtId="186" fontId="1" fillId="0" borderId="0" xfId="0" applyNumberFormat="1" applyFont="1" applyAlignment="1">
      <alignment horizontal="left"/>
    </xf>
    <xf numFmtId="41" fontId="30" fillId="0" borderId="3" xfId="12" applyNumberFormat="1" applyFont="1" applyBorder="1"/>
    <xf numFmtId="41" fontId="30" fillId="0" borderId="3" xfId="12" applyNumberFormat="1" applyFont="1" applyFill="1" applyBorder="1"/>
    <xf numFmtId="37" fontId="30" fillId="0" borderId="3" xfId="0" applyNumberFormat="1" applyFont="1" applyBorder="1"/>
    <xf numFmtId="37" fontId="1" fillId="0" borderId="0" xfId="0" applyNumberFormat="1" applyFont="1" applyAlignment="1">
      <alignment horizontal="left"/>
    </xf>
    <xf numFmtId="41" fontId="22" fillId="0" borderId="2" xfId="0" applyNumberFormat="1" applyFont="1" applyBorder="1"/>
    <xf numFmtId="37" fontId="43" fillId="0" borderId="0" xfId="0" applyNumberFormat="1" applyFont="1"/>
    <xf numFmtId="37" fontId="22" fillId="0" borderId="0" xfId="0" applyNumberFormat="1" applyFont="1" applyBorder="1"/>
    <xf numFmtId="0" fontId="7" fillId="0" borderId="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41" fontId="30" fillId="0" borderId="0" xfId="12" applyNumberFormat="1" applyFont="1"/>
    <xf numFmtId="41" fontId="30" fillId="0" borderId="0" xfId="12" applyNumberFormat="1" applyFont="1" applyFill="1"/>
    <xf numFmtId="41" fontId="30" fillId="0" borderId="0" xfId="12" applyNumberFormat="1" applyFont="1" applyBorder="1"/>
    <xf numFmtId="171" fontId="19" fillId="0" borderId="0" xfId="12" applyNumberFormat="1" applyFont="1" applyAlignment="1">
      <alignment horizontal="left"/>
    </xf>
    <xf numFmtId="17" fontId="1" fillId="0" borderId="0" xfId="0" quotePrefix="1" applyNumberFormat="1" applyFont="1" applyAlignment="1">
      <alignment horizontal="left"/>
    </xf>
    <xf numFmtId="164" fontId="30" fillId="0" borderId="0" xfId="14" applyNumberFormat="1" applyFont="1" applyBorder="1" applyAlignment="1">
      <alignment horizontal="center" vertical="center"/>
    </xf>
    <xf numFmtId="186" fontId="30" fillId="0" borderId="0" xfId="3" applyNumberFormat="1" applyFont="1" applyBorder="1" applyAlignment="1">
      <alignment horizontal="center"/>
    </xf>
    <xf numFmtId="3" fontId="30" fillId="0" borderId="0" xfId="12" applyFont="1" applyFill="1" applyBorder="1"/>
    <xf numFmtId="3" fontId="30" fillId="0" borderId="3" xfId="12" applyFont="1" applyFill="1" applyBorder="1"/>
    <xf numFmtId="3" fontId="30" fillId="0" borderId="3" xfId="12" applyFont="1" applyBorder="1"/>
    <xf numFmtId="164" fontId="30" fillId="0" borderId="0" xfId="14" applyNumberFormat="1" applyFont="1" applyFill="1"/>
    <xf numFmtId="41" fontId="30" fillId="0" borderId="0" xfId="14" applyNumberFormat="1" applyFont="1"/>
    <xf numFmtId="166" fontId="13" fillId="0" borderId="0" xfId="14" applyNumberFormat="1" applyFont="1" applyBorder="1" applyAlignment="1">
      <alignment horizontal="right" indent="1"/>
    </xf>
    <xf numFmtId="164" fontId="3" fillId="0" borderId="8" xfId="14" applyNumberFormat="1" applyFont="1" applyBorder="1" applyAlignment="1">
      <alignment horizontal="right" indent="1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top"/>
    </xf>
    <xf numFmtId="0" fontId="21" fillId="0" borderId="0" xfId="11" applyFont="1" applyAlignment="1" applyProtection="1"/>
    <xf numFmtId="41" fontId="13" fillId="0" borderId="3" xfId="4" applyNumberFormat="1" applyFont="1" applyFill="1" applyBorder="1" applyProtection="1">
      <alignment horizontal="right"/>
    </xf>
    <xf numFmtId="166" fontId="0" fillId="0" borderId="3" xfId="0" applyNumberFormat="1" applyFill="1" applyBorder="1"/>
    <xf numFmtId="10" fontId="1" fillId="0" borderId="0" xfId="14" applyNumberFormat="1" applyFont="1" applyFill="1"/>
    <xf numFmtId="10" fontId="1" fillId="0" borderId="0" xfId="0" applyNumberFormat="1" applyFont="1" applyFill="1"/>
    <xf numFmtId="168" fontId="0" fillId="0" borderId="0" xfId="0" applyNumberFormat="1" applyFill="1"/>
    <xf numFmtId="3" fontId="30" fillId="0" borderId="8" xfId="12" applyFont="1" applyBorder="1" applyAlignment="1">
      <alignment horizontal="center" vertical="center" wrapText="1"/>
    </xf>
    <xf numFmtId="3" fontId="29" fillId="0" borderId="8" xfId="12" applyFont="1" applyBorder="1" applyAlignment="1">
      <alignment horizontal="center" vertical="center"/>
    </xf>
    <xf numFmtId="3" fontId="30" fillId="0" borderId="21" xfId="12" applyFont="1" applyFill="1" applyBorder="1" applyAlignment="1">
      <alignment horizontal="center" wrapText="1"/>
    </xf>
    <xf numFmtId="3" fontId="30" fillId="0" borderId="8" xfId="12" applyFont="1" applyBorder="1" applyAlignment="1">
      <alignment horizontal="center" vertical="center"/>
    </xf>
    <xf numFmtId="3" fontId="30" fillId="0" borderId="9" xfId="12" applyFont="1" applyBorder="1" applyAlignment="1">
      <alignment horizontal="center" vertical="center" wrapText="1"/>
    </xf>
    <xf numFmtId="168" fontId="0" fillId="0" borderId="0" xfId="0" applyNumberFormat="1" applyAlignment="1">
      <alignment horizontal="center"/>
    </xf>
    <xf numFmtId="169" fontId="1" fillId="0" borderId="3" xfId="3" applyNumberFormat="1" applyFont="1" applyFill="1" applyBorder="1"/>
    <xf numFmtId="168" fontId="0" fillId="0" borderId="0" xfId="3" applyNumberFormat="1" applyFont="1" applyFill="1" applyAlignment="1">
      <alignment horizontal="center"/>
    </xf>
    <xf numFmtId="3" fontId="30" fillId="0" borderId="0" xfId="12" applyFont="1" applyFill="1" applyAlignment="1">
      <alignment horizontal="right"/>
    </xf>
    <xf numFmtId="166" fontId="0" fillId="0" borderId="0" xfId="14" applyNumberFormat="1" applyFont="1" applyFill="1"/>
    <xf numFmtId="10" fontId="0" fillId="0" borderId="0" xfId="0" applyNumberFormat="1" applyFill="1"/>
    <xf numFmtId="166" fontId="1" fillId="0" borderId="0" xfId="14" applyNumberFormat="1" applyFill="1"/>
    <xf numFmtId="0" fontId="10" fillId="0" borderId="0" xfId="0" applyFont="1" applyBorder="1"/>
    <xf numFmtId="0" fontId="10" fillId="5" borderId="0" xfId="0" applyFont="1" applyFill="1" applyAlignment="1">
      <alignment wrapText="1"/>
    </xf>
    <xf numFmtId="167" fontId="10" fillId="5" borderId="13" xfId="3" applyNumberFormat="1" applyFont="1" applyFill="1" applyBorder="1"/>
    <xf numFmtId="0" fontId="10" fillId="0" borderId="0" xfId="0" applyFont="1" applyFill="1" applyAlignment="1">
      <alignment wrapText="1"/>
    </xf>
    <xf numFmtId="0" fontId="2" fillId="0" borderId="22" xfId="0" applyFont="1" applyBorder="1" applyAlignment="1">
      <alignment horizontal="left" vertical="center"/>
    </xf>
    <xf numFmtId="185" fontId="10" fillId="0" borderId="22" xfId="0" applyNumberFormat="1" applyFont="1" applyBorder="1"/>
    <xf numFmtId="0" fontId="1" fillId="0" borderId="0" xfId="0" quotePrefix="1" applyFont="1" applyAlignment="1">
      <alignment horizontal="center"/>
    </xf>
    <xf numFmtId="0" fontId="44" fillId="0" borderId="0" xfId="0" applyFont="1" applyAlignment="1"/>
    <xf numFmtId="40" fontId="3" fillId="6" borderId="22" xfId="0" applyNumberFormat="1" applyFont="1" applyFill="1" applyBorder="1"/>
    <xf numFmtId="0" fontId="0" fillId="6" borderId="22" xfId="0" applyFill="1" applyBorder="1"/>
    <xf numFmtId="168" fontId="43" fillId="6" borderId="22" xfId="3" applyNumberFormat="1" applyFont="1" applyFill="1" applyBorder="1"/>
    <xf numFmtId="43" fontId="2" fillId="6" borderId="22" xfId="0" applyNumberFormat="1" applyFont="1" applyFill="1" applyBorder="1"/>
    <xf numFmtId="185" fontId="10" fillId="0" borderId="13" xfId="0" applyNumberFormat="1" applyFont="1" applyBorder="1"/>
    <xf numFmtId="0" fontId="0" fillId="0" borderId="13" xfId="0" applyBorder="1"/>
    <xf numFmtId="0" fontId="0" fillId="0" borderId="22" xfId="0" applyBorder="1"/>
    <xf numFmtId="180" fontId="3" fillId="0" borderId="0" xfId="0" applyNumberFormat="1" applyFont="1" applyFill="1"/>
    <xf numFmtId="40" fontId="3" fillId="0" borderId="0" xfId="0" applyNumberFormat="1" applyFont="1" applyFill="1" applyAlignment="1">
      <alignment horizontal="right"/>
    </xf>
    <xf numFmtId="180" fontId="3" fillId="0" borderId="8" xfId="4" applyNumberFormat="1" applyFont="1" applyFill="1" applyBorder="1" applyProtection="1">
      <alignment horizontal="right"/>
    </xf>
    <xf numFmtId="0" fontId="3" fillId="0" borderId="0" xfId="0" applyFont="1" applyFill="1"/>
    <xf numFmtId="0" fontId="19" fillId="0" borderId="0" xfId="0" applyFont="1" applyFill="1"/>
    <xf numFmtId="0" fontId="19" fillId="0" borderId="0" xfId="0" applyFont="1" applyFill="1" applyAlignment="1">
      <alignment horizontal="center" vertical="center"/>
    </xf>
    <xf numFmtId="0" fontId="0" fillId="0" borderId="0" xfId="0" applyFill="1"/>
    <xf numFmtId="10" fontId="45" fillId="0" borderId="0" xfId="13" applyNumberFormat="1" applyFont="1" applyBorder="1" applyAlignment="1">
      <alignment horizontal="right" indent="1"/>
    </xf>
    <xf numFmtId="49" fontId="16" fillId="0" borderId="0" xfId="12" applyNumberFormat="1" applyFont="1" applyAlignment="1">
      <alignment horizontal="right"/>
    </xf>
    <xf numFmtId="49" fontId="16" fillId="0" borderId="0" xfId="12" applyNumberFormat="1" applyFont="1" applyFill="1" applyAlignment="1">
      <alignment horizontal="right"/>
    </xf>
    <xf numFmtId="3" fontId="1" fillId="0" borderId="0" xfId="12" quotePrefix="1" applyFont="1" applyAlignment="1">
      <alignment horizontal="center"/>
    </xf>
    <xf numFmtId="3" fontId="30" fillId="0" borderId="14" xfId="12" applyFont="1" applyBorder="1" applyAlignment="1">
      <alignment horizontal="center" vertical="center" wrapText="1"/>
    </xf>
    <xf numFmtId="166" fontId="3" fillId="0" borderId="0" xfId="13" applyNumberFormat="1" applyFont="1" applyFill="1" applyBorder="1" applyAlignment="1">
      <alignment horizontal="right" indent="1"/>
    </xf>
    <xf numFmtId="10" fontId="3" fillId="0" borderId="0" xfId="13" applyNumberFormat="1" applyFont="1" applyFill="1" applyBorder="1" applyAlignment="1">
      <alignment horizontal="right" indent="1"/>
    </xf>
    <xf numFmtId="167" fontId="0" fillId="0" borderId="0" xfId="3" applyNumberFormat="1" applyFont="1" applyBorder="1"/>
    <xf numFmtId="167" fontId="10" fillId="4" borderId="2" xfId="3" applyNumberFormat="1" applyFont="1" applyFill="1" applyBorder="1"/>
    <xf numFmtId="0" fontId="4" fillId="0" borderId="0" xfId="17" applyFont="1" applyBorder="1" applyAlignment="1">
      <alignment horizontal="left"/>
    </xf>
    <xf numFmtId="0" fontId="7" fillId="0" borderId="0" xfId="17"/>
    <xf numFmtId="0" fontId="4" fillId="0" borderId="3" xfId="17" applyFont="1" applyBorder="1" applyAlignment="1">
      <alignment horizontal="left"/>
    </xf>
    <xf numFmtId="0" fontId="7" fillId="0" borderId="0" xfId="17" applyAlignment="1">
      <alignment horizontal="left" indent="1"/>
    </xf>
    <xf numFmtId="0" fontId="10" fillId="0" borderId="0" xfId="17" applyFont="1" applyAlignment="1"/>
    <xf numFmtId="0" fontId="4" fillId="0" borderId="0" xfId="17" applyFont="1" applyBorder="1" applyAlignment="1">
      <alignment horizontal="left" vertical="center"/>
    </xf>
    <xf numFmtId="0" fontId="2" fillId="0" borderId="0" xfId="17" applyFont="1"/>
    <xf numFmtId="0" fontId="7" fillId="0" borderId="0" xfId="17" applyFont="1"/>
    <xf numFmtId="0" fontId="2" fillId="0" borderId="0" xfId="17" applyFont="1" applyBorder="1" applyAlignment="1">
      <alignment wrapText="1"/>
    </xf>
    <xf numFmtId="0" fontId="6" fillId="0" borderId="12" xfId="17" applyFont="1" applyBorder="1" applyAlignment="1"/>
    <xf numFmtId="0" fontId="7" fillId="0" borderId="9" xfId="17" applyBorder="1" applyAlignment="1">
      <alignment horizontal="center" vertical="center"/>
    </xf>
    <xf numFmtId="0" fontId="2" fillId="0" borderId="0" xfId="17" applyFont="1" applyAlignment="1">
      <alignment horizontal="left" wrapText="1" indent="1"/>
    </xf>
    <xf numFmtId="43" fontId="3" fillId="0" borderId="0" xfId="18" applyFont="1" applyBorder="1" applyAlignment="1">
      <alignment horizontal="right"/>
    </xf>
    <xf numFmtId="0" fontId="4" fillId="0" borderId="0" xfId="17" applyFont="1" applyFill="1" applyBorder="1" applyAlignment="1">
      <alignment horizontal="left"/>
    </xf>
    <xf numFmtId="0" fontId="7" fillId="0" borderId="0" xfId="17" applyFill="1" applyAlignment="1">
      <alignment horizontal="right"/>
    </xf>
    <xf numFmtId="169" fontId="5" fillId="0" borderId="0" xfId="18" applyNumberFormat="1" applyFont="1" applyFill="1"/>
    <xf numFmtId="169" fontId="7" fillId="0" borderId="0" xfId="18" applyNumberFormat="1" applyFont="1" applyFill="1"/>
    <xf numFmtId="0" fontId="4" fillId="0" borderId="0" xfId="17" applyFont="1" applyFill="1" applyBorder="1" applyAlignment="1">
      <alignment horizontal="left" vertical="center"/>
    </xf>
    <xf numFmtId="169" fontId="5" fillId="0" borderId="3" xfId="18" applyNumberFormat="1" applyFont="1" applyFill="1" applyBorder="1"/>
    <xf numFmtId="0" fontId="7" fillId="0" borderId="0" xfId="17" applyAlignment="1">
      <alignment horizontal="right"/>
    </xf>
    <xf numFmtId="0" fontId="7" fillId="0" borderId="0" xfId="17" applyFill="1" applyAlignment="1">
      <alignment horizontal="right" wrapText="1" indent="1"/>
    </xf>
    <xf numFmtId="10" fontId="7" fillId="0" borderId="0" xfId="14" applyNumberFormat="1" applyFont="1" applyFill="1"/>
    <xf numFmtId="0" fontId="2" fillId="0" borderId="0" xfId="17" applyFont="1" applyAlignment="1">
      <alignment horizontal="left" indent="1"/>
    </xf>
    <xf numFmtId="0" fontId="7" fillId="0" borderId="0" xfId="17" applyFont="1" applyAlignment="1">
      <alignment horizontal="left" indent="1"/>
    </xf>
    <xf numFmtId="0" fontId="7" fillId="0" borderId="0" xfId="17" applyAlignment="1">
      <alignment horizontal="left" indent="2"/>
    </xf>
    <xf numFmtId="0" fontId="7" fillId="0" borderId="0" xfId="17" quotePrefix="1" applyAlignment="1">
      <alignment horizontal="left" wrapText="1" indent="3"/>
    </xf>
    <xf numFmtId="0" fontId="7" fillId="0" borderId="0" xfId="17" applyAlignment="1">
      <alignment horizontal="left" wrapText="1" indent="3"/>
    </xf>
    <xf numFmtId="10" fontId="7" fillId="0" borderId="0" xfId="17" applyNumberFormat="1" applyFont="1" applyFill="1"/>
    <xf numFmtId="0" fontId="7" fillId="0" borderId="0" xfId="17" applyAlignment="1">
      <alignment horizontal="left" indent="3"/>
    </xf>
    <xf numFmtId="166" fontId="7" fillId="0" borderId="0" xfId="14" applyNumberFormat="1" applyFont="1" applyFill="1"/>
    <xf numFmtId="0" fontId="7" fillId="0" borderId="0" xfId="17" quotePrefix="1" applyAlignment="1">
      <alignment horizontal="left" vertical="top" wrapText="1" indent="3"/>
    </xf>
    <xf numFmtId="10" fontId="7" fillId="0" borderId="0" xfId="17" applyNumberFormat="1" applyFill="1"/>
    <xf numFmtId="0" fontId="5" fillId="0" borderId="0" xfId="17" applyFont="1" applyFill="1" applyBorder="1"/>
    <xf numFmtId="166" fontId="7" fillId="0" borderId="0" xfId="14" applyNumberFormat="1" applyFont="1" applyFill="1" applyBorder="1"/>
    <xf numFmtId="0" fontId="3" fillId="0" borderId="0" xfId="17" applyFont="1"/>
    <xf numFmtId="0" fontId="4" fillId="0" borderId="0" xfId="17" applyFont="1" applyBorder="1"/>
    <xf numFmtId="43" fontId="7" fillId="0" borderId="5" xfId="3" applyFont="1" applyBorder="1" applyAlignment="1" applyProtection="1">
      <alignment horizontal="center" vertical="center" wrapText="1"/>
    </xf>
    <xf numFmtId="3" fontId="30" fillId="0" borderId="3" xfId="12" applyNumberFormat="1" applyFont="1" applyFill="1" applyBorder="1"/>
    <xf numFmtId="3" fontId="30" fillId="0" borderId="0" xfId="12" applyFont="1" applyAlignment="1">
      <alignment horizontal="right"/>
    </xf>
    <xf numFmtId="3" fontId="16" fillId="0" borderId="0" xfId="12" applyFont="1" applyAlignment="1">
      <alignment horizontal="right"/>
    </xf>
    <xf numFmtId="3" fontId="16" fillId="0" borderId="0" xfId="12" applyFont="1" applyAlignment="1">
      <alignment horizontal="left"/>
    </xf>
    <xf numFmtId="0" fontId="7" fillId="0" borderId="15" xfId="17" applyBorder="1" applyAlignment="1">
      <alignment horizontal="center" vertical="center"/>
    </xf>
    <xf numFmtId="0" fontId="10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3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7" fontId="0" fillId="0" borderId="0" xfId="0" applyNumberFormat="1" applyBorder="1"/>
    <xf numFmtId="37" fontId="0" fillId="0" borderId="0" xfId="3" applyNumberFormat="1" applyFont="1" applyBorder="1"/>
    <xf numFmtId="10" fontId="0" fillId="0" borderId="0" xfId="0" quotePrefix="1" applyNumberFormat="1" applyBorder="1"/>
    <xf numFmtId="10" fontId="0" fillId="0" borderId="0" xfId="0" applyNumberFormat="1" applyBorder="1"/>
    <xf numFmtId="37" fontId="0" fillId="0" borderId="19" xfId="0" applyNumberFormat="1" applyBorder="1"/>
    <xf numFmtId="10" fontId="0" fillId="0" borderId="24" xfId="0" applyNumberFormat="1" applyBorder="1"/>
    <xf numFmtId="37" fontId="7" fillId="0" borderId="3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/>
    </xf>
    <xf numFmtId="3" fontId="30" fillId="0" borderId="0" xfId="12" applyFont="1" applyAlignment="1">
      <alignment horizontal="right"/>
    </xf>
    <xf numFmtId="180" fontId="3" fillId="0" borderId="0" xfId="0" applyNumberFormat="1" applyFont="1"/>
    <xf numFmtId="49" fontId="3" fillId="0" borderId="0" xfId="12" applyNumberFormat="1" applyFont="1" applyFill="1" applyAlignment="1">
      <alignment horizontal="left"/>
    </xf>
    <xf numFmtId="165" fontId="13" fillId="0" borderId="0" xfId="13" applyNumberFormat="1" applyFont="1" applyFill="1" applyBorder="1" applyAlignment="1">
      <alignment horizontal="right" indent="1"/>
    </xf>
    <xf numFmtId="165" fontId="3" fillId="0" borderId="0" xfId="13" applyNumberFormat="1" applyFont="1" applyFill="1" applyBorder="1" applyAlignment="1">
      <alignment horizontal="right" indent="1"/>
    </xf>
    <xf numFmtId="10" fontId="45" fillId="0" borderId="0" xfId="13" applyNumberFormat="1" applyFont="1" applyFill="1" applyBorder="1" applyAlignment="1">
      <alignment horizontal="right" indent="1"/>
    </xf>
    <xf numFmtId="0" fontId="0" fillId="0" borderId="0" xfId="0" applyFill="1" applyBorder="1"/>
    <xf numFmtId="10" fontId="3" fillId="7" borderId="10" xfId="13" applyNumberFormat="1" applyFont="1" applyFill="1" applyBorder="1" applyAlignment="1">
      <alignment horizontal="right" indent="1"/>
    </xf>
    <xf numFmtId="166" fontId="3" fillId="0" borderId="0" xfId="14" applyNumberFormat="1" applyFont="1" applyAlignment="1">
      <alignment vertical="top"/>
    </xf>
    <xf numFmtId="187" fontId="0" fillId="0" borderId="0" xfId="3" applyNumberFormat="1" applyFont="1" applyBorder="1"/>
    <xf numFmtId="39" fontId="0" fillId="0" borderId="0" xfId="0" applyNumberFormat="1" applyBorder="1"/>
    <xf numFmtId="187" fontId="0" fillId="0" borderId="0" xfId="0" applyNumberFormat="1" applyBorder="1"/>
    <xf numFmtId="167" fontId="0" fillId="0" borderId="0" xfId="3" applyNumberFormat="1" applyFont="1" applyFill="1" applyBorder="1"/>
    <xf numFmtId="167" fontId="0" fillId="0" borderId="0" xfId="3" applyNumberFormat="1" applyFont="1" applyFill="1"/>
    <xf numFmtId="182" fontId="19" fillId="0" borderId="0" xfId="0" applyNumberFormat="1" applyFont="1" applyFill="1"/>
    <xf numFmtId="168" fontId="19" fillId="0" borderId="0" xfId="0" applyNumberFormat="1" applyFont="1" applyFill="1"/>
    <xf numFmtId="180" fontId="2" fillId="0" borderId="0" xfId="4" applyNumberFormat="1" applyFont="1" applyFill="1" applyProtection="1">
      <alignment horizontal="right"/>
    </xf>
    <xf numFmtId="180" fontId="38" fillId="0" borderId="0" xfId="4" applyNumberFormat="1" applyFont="1" applyFill="1" applyProtection="1">
      <alignment horizontal="right"/>
    </xf>
    <xf numFmtId="10" fontId="19" fillId="0" borderId="0" xfId="0" applyNumberFormat="1" applyFont="1" applyFill="1"/>
    <xf numFmtId="180" fontId="3" fillId="0" borderId="3" xfId="4" applyNumberFormat="1" applyFont="1" applyFill="1" applyBorder="1" applyAlignment="1" applyProtection="1">
      <alignment horizontal="right" indent="1"/>
    </xf>
    <xf numFmtId="183" fontId="3" fillId="0" borderId="0" xfId="4" applyNumberFormat="1" applyFont="1" applyFill="1" applyProtection="1">
      <alignment horizontal="right"/>
    </xf>
    <xf numFmtId="180" fontId="3" fillId="0" borderId="3" xfId="4" applyNumberFormat="1" applyFont="1" applyFill="1" applyBorder="1" applyProtection="1">
      <alignment horizontal="right"/>
    </xf>
    <xf numFmtId="10" fontId="5" fillId="0" borderId="0" xfId="0" applyNumberFormat="1" applyFont="1" applyFill="1" applyAlignment="1">
      <alignment horizontal="center"/>
    </xf>
    <xf numFmtId="169" fontId="0" fillId="0" borderId="0" xfId="3" applyNumberFormat="1" applyFont="1" applyFill="1" applyAlignment="1">
      <alignment vertical="top"/>
    </xf>
    <xf numFmtId="168" fontId="46" fillId="0" borderId="0" xfId="3" applyNumberFormat="1" applyFont="1" applyAlignment="1">
      <alignment vertical="top"/>
    </xf>
    <xf numFmtId="169" fontId="7" fillId="0" borderId="0" xfId="3" applyNumberFormat="1" applyFont="1" applyFill="1"/>
    <xf numFmtId="169" fontId="0" fillId="0" borderId="0" xfId="3" applyNumberFormat="1" applyFont="1" applyFill="1"/>
    <xf numFmtId="10" fontId="7" fillId="0" borderId="0" xfId="0" applyNumberFormat="1" applyFont="1" applyFill="1"/>
    <xf numFmtId="168" fontId="0" fillId="0" borderId="0" xfId="3" applyNumberFormat="1" applyFont="1" applyFill="1"/>
    <xf numFmtId="43" fontId="0" fillId="0" borderId="0" xfId="0" applyNumberFormat="1" applyFill="1"/>
    <xf numFmtId="168" fontId="0" fillId="0" borderId="0" xfId="0" applyNumberFormat="1" applyFill="1" applyAlignment="1">
      <alignment horizontal="center"/>
    </xf>
    <xf numFmtId="169" fontId="0" fillId="8" borderId="9" xfId="3" applyNumberFormat="1" applyFont="1" applyFill="1" applyBorder="1"/>
    <xf numFmtId="166" fontId="7" fillId="8" borderId="9" xfId="14" applyNumberFormat="1" applyFont="1" applyFill="1" applyBorder="1"/>
    <xf numFmtId="166" fontId="0" fillId="7" borderId="9" xfId="14" applyNumberFormat="1" applyFont="1" applyFill="1" applyBorder="1"/>
    <xf numFmtId="171" fontId="1" fillId="7" borderId="9" xfId="0" applyNumberFormat="1" applyFont="1" applyFill="1" applyBorder="1"/>
    <xf numFmtId="171" fontId="0" fillId="7" borderId="9" xfId="0" applyNumberFormat="1" applyFill="1" applyBorder="1"/>
    <xf numFmtId="43" fontId="0" fillId="7" borderId="9" xfId="3" applyFont="1" applyFill="1" applyBorder="1"/>
    <xf numFmtId="168" fontId="0" fillId="8" borderId="9" xfId="0" applyNumberFormat="1" applyFill="1" applyBorder="1"/>
    <xf numFmtId="166" fontId="1" fillId="8" borderId="9" xfId="14" applyNumberFormat="1" applyFont="1" applyFill="1" applyBorder="1"/>
    <xf numFmtId="169" fontId="1" fillId="0" borderId="0" xfId="3" applyNumberFormat="1" applyFont="1" applyFill="1"/>
    <xf numFmtId="168" fontId="1" fillId="0" borderId="0" xfId="3" applyNumberFormat="1" applyFill="1"/>
    <xf numFmtId="166" fontId="1" fillId="7" borderId="9" xfId="14" applyNumberFormat="1" applyFill="1" applyBorder="1"/>
    <xf numFmtId="43" fontId="1" fillId="7" borderId="9" xfId="3" applyFill="1" applyBorder="1"/>
    <xf numFmtId="169" fontId="7" fillId="0" borderId="0" xfId="18" applyNumberFormat="1" applyFill="1"/>
    <xf numFmtId="0" fontId="7" fillId="0" borderId="0" xfId="17" applyFill="1"/>
    <xf numFmtId="168" fontId="7" fillId="0" borderId="0" xfId="18" applyNumberFormat="1" applyFill="1" applyBorder="1"/>
    <xf numFmtId="168" fontId="7" fillId="0" borderId="0" xfId="18" applyNumberFormat="1" applyFill="1"/>
    <xf numFmtId="43" fontId="7" fillId="0" borderId="0" xfId="17" applyNumberFormat="1" applyFill="1"/>
    <xf numFmtId="168" fontId="7" fillId="0" borderId="0" xfId="17" applyNumberFormat="1" applyFill="1"/>
    <xf numFmtId="166" fontId="7" fillId="0" borderId="3" xfId="17" applyNumberFormat="1" applyFill="1" applyBorder="1"/>
    <xf numFmtId="43" fontId="3" fillId="0" borderId="0" xfId="18" applyFont="1" applyFill="1" applyBorder="1" applyAlignment="1">
      <alignment horizontal="right"/>
    </xf>
    <xf numFmtId="169" fontId="7" fillId="8" borderId="9" xfId="18" applyNumberFormat="1" applyFill="1" applyBorder="1"/>
    <xf numFmtId="166" fontId="7" fillId="7" borderId="9" xfId="14" applyNumberFormat="1" applyFont="1" applyFill="1" applyBorder="1"/>
    <xf numFmtId="1" fontId="7" fillId="7" borderId="9" xfId="17" applyNumberFormat="1" applyFont="1" applyFill="1" applyBorder="1"/>
    <xf numFmtId="171" fontId="7" fillId="7" borderId="9" xfId="17" applyNumberFormat="1" applyFill="1" applyBorder="1"/>
    <xf numFmtId="43" fontId="7" fillId="7" borderId="9" xfId="18" applyFill="1" applyBorder="1"/>
    <xf numFmtId="168" fontId="7" fillId="8" borderId="9" xfId="17" applyNumberFormat="1" applyFill="1" applyBorder="1"/>
    <xf numFmtId="0" fontId="10" fillId="0" borderId="0" xfId="17" applyFont="1" applyFill="1" applyAlignment="1">
      <alignment horizontal="right"/>
    </xf>
    <xf numFmtId="0" fontId="10" fillId="0" borderId="0" xfId="17" applyFont="1" applyFill="1" applyAlignment="1"/>
    <xf numFmtId="0" fontId="2" fillId="0" borderId="0" xfId="17" applyFont="1" applyFill="1"/>
    <xf numFmtId="0" fontId="7" fillId="0" borderId="0" xfId="17" applyFont="1" applyFill="1"/>
    <xf numFmtId="0" fontId="2" fillId="0" borderId="0" xfId="17" applyFont="1" applyFill="1" applyBorder="1" applyAlignment="1">
      <alignment wrapText="1"/>
    </xf>
    <xf numFmtId="0" fontId="6" fillId="0" borderId="12" xfId="17" applyFont="1" applyFill="1" applyBorder="1" applyAlignment="1"/>
    <xf numFmtId="0" fontId="2" fillId="0" borderId="0" xfId="17" applyFont="1" applyFill="1" applyAlignment="1">
      <alignment horizontal="left" wrapText="1" indent="1"/>
    </xf>
    <xf numFmtId="0" fontId="2" fillId="0" borderId="0" xfId="17" applyFont="1" applyFill="1" applyAlignment="1">
      <alignment horizontal="left" indent="1"/>
    </xf>
    <xf numFmtId="0" fontId="7" fillId="0" borderId="0" xfId="17" applyFont="1" applyFill="1" applyAlignment="1">
      <alignment horizontal="left" indent="1"/>
    </xf>
    <xf numFmtId="0" fontId="7" fillId="0" borderId="0" xfId="17" applyFill="1" applyAlignment="1">
      <alignment horizontal="left" indent="2"/>
    </xf>
    <xf numFmtId="0" fontId="7" fillId="0" borderId="0" xfId="17" quotePrefix="1" applyFill="1" applyAlignment="1">
      <alignment horizontal="left" wrapText="1" indent="3"/>
    </xf>
    <xf numFmtId="0" fontId="7" fillId="0" borderId="0" xfId="17" applyFill="1" applyAlignment="1">
      <alignment horizontal="left" wrapText="1" indent="3"/>
    </xf>
    <xf numFmtId="0" fontId="7" fillId="0" borderId="0" xfId="17" applyFill="1" applyAlignment="1">
      <alignment horizontal="left" indent="3"/>
    </xf>
    <xf numFmtId="0" fontId="7" fillId="0" borderId="0" xfId="17" quotePrefix="1" applyFill="1" applyAlignment="1">
      <alignment horizontal="left" vertical="top" wrapText="1" indent="3"/>
    </xf>
    <xf numFmtId="0" fontId="3" fillId="0" borderId="0" xfId="17" applyFont="1" applyFill="1"/>
    <xf numFmtId="173" fontId="3" fillId="0" borderId="0" xfId="17" applyNumberFormat="1" applyFont="1" applyFill="1" applyAlignment="1" applyProtection="1">
      <alignment horizontal="left" vertical="center" indent="1"/>
    </xf>
    <xf numFmtId="169" fontId="46" fillId="0" borderId="3" xfId="18" applyNumberFormat="1" applyFont="1" applyFill="1" applyBorder="1"/>
    <xf numFmtId="41" fontId="28" fillId="0" borderId="0" xfId="4" applyNumberFormat="1" applyFont="1" applyFill="1" applyProtection="1">
      <alignment horizontal="right"/>
    </xf>
    <xf numFmtId="182" fontId="28" fillId="0" borderId="0" xfId="4" applyNumberFormat="1" applyFont="1" applyFill="1" applyAlignment="1" applyProtection="1">
      <alignment horizontal="right"/>
    </xf>
    <xf numFmtId="182" fontId="13" fillId="0" borderId="0" xfId="4" applyNumberFormat="1" applyFont="1" applyFill="1" applyProtection="1">
      <alignment horizontal="right"/>
    </xf>
    <xf numFmtId="182" fontId="28" fillId="0" borderId="0" xfId="4" applyNumberFormat="1" applyFont="1" applyFill="1" applyProtection="1">
      <alignment horizontal="right"/>
    </xf>
    <xf numFmtId="182" fontId="45" fillId="0" borderId="0" xfId="4" applyNumberFormat="1" applyFont="1" applyFill="1" applyProtection="1">
      <alignment horizontal="right"/>
    </xf>
    <xf numFmtId="182" fontId="3" fillId="0" borderId="0" xfId="4" applyNumberFormat="1" applyFont="1" applyFill="1" applyProtection="1">
      <alignment horizontal="right"/>
    </xf>
    <xf numFmtId="9" fontId="30" fillId="0" borderId="0" xfId="14" applyFont="1" applyFill="1"/>
    <xf numFmtId="3" fontId="31" fillId="0" borderId="0" xfId="12" applyFont="1" applyFill="1" applyBorder="1" applyAlignment="1"/>
    <xf numFmtId="3" fontId="30" fillId="0" borderId="2" xfId="12" applyNumberFormat="1" applyFont="1" applyFill="1" applyBorder="1"/>
    <xf numFmtId="3" fontId="16" fillId="0" borderId="0" xfId="12" applyFont="1" applyFill="1" applyAlignment="1">
      <alignment horizontal="right"/>
    </xf>
    <xf numFmtId="10" fontId="30" fillId="0" borderId="0" xfId="14" applyNumberFormat="1" applyFont="1" applyFill="1" applyBorder="1"/>
    <xf numFmtId="3" fontId="16" fillId="0" borderId="0" xfId="12" applyFont="1" applyFill="1" applyAlignment="1">
      <alignment horizontal="left"/>
    </xf>
    <xf numFmtId="164" fontId="30" fillId="0" borderId="0" xfId="14" applyNumberFormat="1" applyFont="1" applyFill="1" applyBorder="1" applyAlignment="1">
      <alignment horizontal="right"/>
    </xf>
    <xf numFmtId="3" fontId="30" fillId="0" borderId="0" xfId="12" applyFont="1" applyFill="1" applyAlignment="1">
      <alignment horizontal="left"/>
    </xf>
    <xf numFmtId="164" fontId="30" fillId="0" borderId="0" xfId="14" applyNumberFormat="1" applyFont="1" applyFill="1" applyBorder="1"/>
    <xf numFmtId="3" fontId="30" fillId="0" borderId="13" xfId="12" applyFont="1" applyFill="1" applyBorder="1"/>
    <xf numFmtId="3" fontId="36" fillId="0" borderId="0" xfId="12" applyFont="1" applyFill="1"/>
    <xf numFmtId="164" fontId="30" fillId="0" borderId="9" xfId="14" applyNumberFormat="1" applyFont="1" applyFill="1" applyBorder="1" applyAlignment="1">
      <alignment horizontal="center" vertical="center"/>
    </xf>
    <xf numFmtId="186" fontId="30" fillId="0" borderId="9" xfId="3" applyNumberFormat="1" applyFont="1" applyFill="1" applyBorder="1" applyAlignment="1">
      <alignment horizontal="center"/>
    </xf>
    <xf numFmtId="3" fontId="29" fillId="0" borderId="0" xfId="12" applyFont="1" applyFill="1" applyBorder="1" applyAlignment="1">
      <alignment horizontal="center" vertical="center"/>
    </xf>
    <xf numFmtId="3" fontId="30" fillId="0" borderId="0" xfId="12" applyFont="1" applyFill="1" applyBorder="1" applyAlignment="1">
      <alignment horizontal="center" vertical="center" wrapText="1"/>
    </xf>
    <xf numFmtId="3" fontId="30" fillId="0" borderId="0" xfId="12" applyFont="1" applyFill="1" applyBorder="1" applyAlignment="1">
      <alignment horizontal="center" vertical="center"/>
    </xf>
    <xf numFmtId="164" fontId="30" fillId="0" borderId="15" xfId="14" applyNumberFormat="1" applyFont="1" applyFill="1" applyBorder="1" applyAlignment="1">
      <alignment horizontal="center" vertical="center"/>
    </xf>
    <xf numFmtId="186" fontId="30" fillId="0" borderId="0" xfId="3" applyNumberFormat="1" applyFont="1" applyFill="1" applyBorder="1" applyAlignment="1">
      <alignment horizontal="center"/>
    </xf>
    <xf numFmtId="3" fontId="32" fillId="0" borderId="3" xfId="12" applyFont="1" applyFill="1" applyBorder="1"/>
    <xf numFmtId="3" fontId="30" fillId="0" borderId="9" xfId="12" applyFont="1" applyFill="1" applyBorder="1" applyAlignment="1">
      <alignment horizontal="center" vertical="center" wrapText="1"/>
    </xf>
    <xf numFmtId="3" fontId="30" fillId="0" borderId="14" xfId="12" applyFont="1" applyFill="1" applyBorder="1" applyAlignment="1">
      <alignment horizontal="center" vertical="center" wrapText="1"/>
    </xf>
    <xf numFmtId="3" fontId="29" fillId="0" borderId="8" xfId="12" applyFont="1" applyFill="1" applyBorder="1" applyAlignment="1">
      <alignment horizontal="center" vertical="center"/>
    </xf>
    <xf numFmtId="3" fontId="30" fillId="0" borderId="8" xfId="12" applyFont="1" applyFill="1" applyBorder="1" applyAlignment="1">
      <alignment horizontal="center" vertical="center" wrapText="1"/>
    </xf>
    <xf numFmtId="3" fontId="30" fillId="0" borderId="8" xfId="12" applyFont="1" applyFill="1" applyBorder="1" applyAlignment="1">
      <alignment horizontal="center" vertical="center"/>
    </xf>
    <xf numFmtId="164" fontId="30" fillId="0" borderId="0" xfId="14" applyNumberFormat="1" applyFont="1" applyFill="1" applyBorder="1" applyAlignment="1">
      <alignment horizontal="center" vertical="center"/>
    </xf>
    <xf numFmtId="3" fontId="32" fillId="0" borderId="9" xfId="12" applyFont="1" applyFill="1" applyBorder="1" applyAlignment="1">
      <alignment horizontal="center" vertical="center"/>
    </xf>
    <xf numFmtId="3" fontId="30" fillId="0" borderId="0" xfId="12" applyFont="1" applyAlignment="1">
      <alignment horizontal="right"/>
    </xf>
    <xf numFmtId="37" fontId="30" fillId="0" borderId="0" xfId="12" applyNumberFormat="1" applyFont="1"/>
    <xf numFmtId="43" fontId="30" fillId="0" borderId="2" xfId="12" applyNumberFormat="1" applyFont="1" applyBorder="1"/>
    <xf numFmtId="3" fontId="16" fillId="0" borderId="0" xfId="12" applyFont="1" applyFill="1"/>
    <xf numFmtId="164" fontId="13" fillId="0" borderId="0" xfId="14" applyNumberFormat="1" applyFont="1" applyFill="1" applyAlignment="1">
      <alignment horizontal="right" indent="1"/>
    </xf>
    <xf numFmtId="164" fontId="3" fillId="0" borderId="0" xfId="14" applyNumberFormat="1" applyFont="1" applyFill="1" applyAlignment="1">
      <alignment horizontal="right" indent="1"/>
    </xf>
    <xf numFmtId="164" fontId="13" fillId="0" borderId="0" xfId="14" applyNumberFormat="1" applyFont="1" applyFill="1" applyBorder="1" applyAlignment="1">
      <alignment horizontal="right" indent="1"/>
    </xf>
    <xf numFmtId="164" fontId="3" fillId="0" borderId="0" xfId="14" applyNumberFormat="1" applyFont="1" applyFill="1" applyBorder="1" applyAlignment="1">
      <alignment horizontal="right" indent="1"/>
    </xf>
    <xf numFmtId="164" fontId="13" fillId="0" borderId="3" xfId="14" applyNumberFormat="1" applyFont="1" applyFill="1" applyBorder="1" applyAlignment="1">
      <alignment horizontal="right" indent="1"/>
    </xf>
    <xf numFmtId="164" fontId="3" fillId="0" borderId="3" xfId="14" applyNumberFormat="1" applyFont="1" applyFill="1" applyBorder="1" applyAlignment="1">
      <alignment horizontal="right" indent="1"/>
    </xf>
    <xf numFmtId="164" fontId="3" fillId="0" borderId="8" xfId="14" applyNumberFormat="1" applyFont="1" applyFill="1" applyBorder="1" applyAlignment="1">
      <alignment horizontal="right" indent="1"/>
    </xf>
    <xf numFmtId="164" fontId="13" fillId="0" borderId="0" xfId="13" applyNumberFormat="1" applyFont="1" applyFill="1" applyAlignment="1">
      <alignment horizontal="right" indent="1"/>
    </xf>
    <xf numFmtId="164" fontId="13" fillId="0" borderId="3" xfId="13" applyNumberFormat="1" applyFont="1" applyFill="1" applyBorder="1" applyAlignment="1">
      <alignment horizontal="right" indent="1"/>
    </xf>
    <xf numFmtId="0" fontId="1" fillId="0" borderId="0" xfId="0" applyFont="1" applyAlignment="1">
      <alignment horizontal="right" vertical="top" wrapText="1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 indent="1"/>
    </xf>
    <xf numFmtId="3" fontId="1" fillId="0" borderId="0" xfId="12" quotePrefix="1" applyFont="1" applyAlignment="1">
      <alignment horizontal="center"/>
    </xf>
    <xf numFmtId="3" fontId="30" fillId="0" borderId="14" xfId="12" applyFont="1" applyFill="1" applyBorder="1" applyAlignment="1">
      <alignment horizontal="center" vertical="center" wrapText="1"/>
    </xf>
    <xf numFmtId="3" fontId="30" fillId="0" borderId="14" xfId="12" applyFont="1" applyBorder="1" applyAlignment="1">
      <alignment horizontal="center" vertical="center" wrapText="1"/>
    </xf>
    <xf numFmtId="0" fontId="1" fillId="0" borderId="0" xfId="17" applyFont="1" applyFill="1"/>
    <xf numFmtId="0" fontId="1" fillId="0" borderId="15" xfId="17" applyFont="1" applyBorder="1" applyAlignment="1">
      <alignment horizontal="center" vertical="center"/>
    </xf>
    <xf numFmtId="0" fontId="2" fillId="0" borderId="28" xfId="13" applyFont="1" applyBorder="1" applyAlignment="1">
      <alignment horizontal="left" vertical="center"/>
    </xf>
    <xf numFmtId="0" fontId="0" fillId="0" borderId="28" xfId="0" applyBorder="1"/>
    <xf numFmtId="3" fontId="16" fillId="0" borderId="0" xfId="12" applyFont="1" applyFill="1" applyAlignment="1">
      <alignment horizontal="right"/>
    </xf>
    <xf numFmtId="3" fontId="30" fillId="0" borderId="0" xfId="12" applyFont="1" applyFill="1" applyAlignment="1">
      <alignment horizontal="right"/>
    </xf>
    <xf numFmtId="3" fontId="47" fillId="0" borderId="0" xfId="12" applyFont="1"/>
    <xf numFmtId="167" fontId="10" fillId="8" borderId="2" xfId="3" applyNumberFormat="1" applyFont="1" applyFill="1" applyBorder="1"/>
    <xf numFmtId="182" fontId="48" fillId="0" borderId="0" xfId="4" applyNumberFormat="1" applyFont="1" applyFill="1" applyProtection="1">
      <alignment horizontal="right"/>
    </xf>
    <xf numFmtId="43" fontId="0" fillId="0" borderId="0" xfId="3" applyFont="1"/>
    <xf numFmtId="188" fontId="7" fillId="0" borderId="0" xfId="19" applyNumberFormat="1" applyFont="1" applyFill="1"/>
    <xf numFmtId="189" fontId="7" fillId="0" borderId="0" xfId="19" applyNumberFormat="1" applyFont="1" applyFill="1"/>
    <xf numFmtId="3" fontId="16" fillId="0" borderId="0" xfId="12" applyFont="1" applyFill="1" applyAlignment="1">
      <alignment horizontal="right"/>
    </xf>
    <xf numFmtId="3" fontId="30" fillId="0" borderId="0" xfId="12" applyFont="1" applyFill="1" applyAlignment="1">
      <alignment horizontal="right"/>
    </xf>
    <xf numFmtId="43" fontId="1" fillId="0" borderId="7" xfId="3" applyFont="1" applyFill="1" applyBorder="1" applyAlignment="1" applyProtection="1">
      <alignment horizontal="center" vertical="center" wrapText="1"/>
    </xf>
    <xf numFmtId="43" fontId="1" fillId="0" borderId="5" xfId="3" applyFont="1" applyFill="1" applyBorder="1" applyAlignment="1" applyProtection="1">
      <alignment horizontal="center" vertical="center" wrapText="1"/>
    </xf>
    <xf numFmtId="43" fontId="1" fillId="0" borderId="6" xfId="3" applyFont="1" applyFill="1" applyBorder="1" applyAlignment="1" applyProtection="1">
      <alignment horizontal="center" vertical="center" wrapText="1"/>
    </xf>
    <xf numFmtId="168" fontId="0" fillId="0" borderId="3" xfId="3" applyNumberFormat="1" applyFont="1" applyFill="1" applyBorder="1"/>
    <xf numFmtId="0" fontId="0" fillId="0" borderId="3" xfId="0" applyBorder="1"/>
    <xf numFmtId="171" fontId="13" fillId="0" borderId="0" xfId="4" applyNumberFormat="1" applyFont="1" applyFill="1" applyBorder="1" applyProtection="1">
      <alignment horizontal="right"/>
    </xf>
    <xf numFmtId="184" fontId="13" fillId="0" borderId="0" xfId="4" applyNumberFormat="1" applyFont="1" applyFill="1" applyBorder="1" applyProtection="1">
      <alignment horizontal="right"/>
    </xf>
    <xf numFmtId="0" fontId="1" fillId="0" borderId="0" xfId="0" applyFont="1" applyBorder="1"/>
    <xf numFmtId="169" fontId="30" fillId="0" borderId="0" xfId="3" applyNumberFormat="1" applyFont="1" applyFill="1"/>
    <xf numFmtId="169" fontId="30" fillId="0" borderId="0" xfId="3" applyNumberFormat="1" applyFont="1" applyFill="1" applyBorder="1"/>
    <xf numFmtId="186" fontId="5" fillId="0" borderId="0" xfId="0" applyNumberFormat="1" applyFont="1" applyFill="1" applyAlignment="1">
      <alignment horizontal="left"/>
    </xf>
    <xf numFmtId="37" fontId="5" fillId="0" borderId="0" xfId="0" applyNumberFormat="1" applyFont="1" applyFill="1"/>
    <xf numFmtId="179" fontId="7" fillId="0" borderId="0" xfId="0" applyNumberFormat="1" applyFont="1" applyFill="1"/>
    <xf numFmtId="37" fontId="7" fillId="0" borderId="0" xfId="0" applyNumberFormat="1" applyFont="1" applyFill="1"/>
    <xf numFmtId="186" fontId="1" fillId="0" borderId="0" xfId="0" applyNumberFormat="1" applyFont="1" applyFill="1" applyAlignment="1">
      <alignment horizontal="left"/>
    </xf>
    <xf numFmtId="0" fontId="10" fillId="0" borderId="3" xfId="0" applyFont="1" applyBorder="1" applyAlignment="1">
      <alignment horizontal="center"/>
    </xf>
    <xf numFmtId="41" fontId="0" fillId="0" borderId="0" xfId="0" applyNumberFormat="1" applyFill="1"/>
    <xf numFmtId="179" fontId="0" fillId="0" borderId="0" xfId="0" applyNumberFormat="1" applyFill="1"/>
    <xf numFmtId="37" fontId="0" fillId="0" borderId="0" xfId="0" applyNumberFormat="1" applyFill="1"/>
    <xf numFmtId="169" fontId="0" fillId="0" borderId="0" xfId="0" applyNumberFormat="1"/>
    <xf numFmtId="37" fontId="1" fillId="0" borderId="0" xfId="0" applyNumberFormat="1" applyFont="1" applyFill="1"/>
    <xf numFmtId="179" fontId="1" fillId="0" borderId="0" xfId="0" applyNumberFormat="1" applyFont="1" applyFill="1"/>
    <xf numFmtId="169" fontId="0" fillId="0" borderId="3" xfId="0" applyNumberFormat="1" applyBorder="1"/>
    <xf numFmtId="169" fontId="10" fillId="0" borderId="19" xfId="0" applyNumberFormat="1" applyFont="1" applyBorder="1"/>
    <xf numFmtId="49" fontId="10" fillId="0" borderId="0" xfId="0" applyNumberFormat="1" applyFont="1" applyAlignment="1">
      <alignment horizontal="left"/>
    </xf>
    <xf numFmtId="180" fontId="13" fillId="0" borderId="3" xfId="4" applyNumberFormat="1" applyFont="1" applyFill="1" applyBorder="1" applyProtection="1">
      <alignment horizontal="right"/>
    </xf>
    <xf numFmtId="3" fontId="30" fillId="0" borderId="29" xfId="12" applyFont="1" applyFill="1" applyBorder="1" applyAlignment="1">
      <alignment horizontal="center" wrapText="1"/>
    </xf>
    <xf numFmtId="3" fontId="30" fillId="0" borderId="8" xfId="12" applyFont="1" applyFill="1" applyBorder="1" applyAlignment="1">
      <alignment horizontal="center" wrapText="1"/>
    </xf>
    <xf numFmtId="40" fontId="3" fillId="0" borderId="0" xfId="0" applyNumberFormat="1" applyFont="1"/>
    <xf numFmtId="168" fontId="3" fillId="0" borderId="0" xfId="3" applyNumberFormat="1" applyFont="1" applyFill="1"/>
    <xf numFmtId="168" fontId="5" fillId="0" borderId="2" xfId="3" applyNumberFormat="1" applyFont="1" applyBorder="1"/>
    <xf numFmtId="168" fontId="0" fillId="0" borderId="2" xfId="3" applyNumberFormat="1" applyFont="1" applyBorder="1"/>
    <xf numFmtId="10" fontId="5" fillId="0" borderId="2" xfId="14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Fill="1" applyBorder="1"/>
    <xf numFmtId="49" fontId="3" fillId="0" borderId="3" xfId="12" applyNumberFormat="1" applyFont="1" applyFill="1" applyBorder="1" applyAlignment="1">
      <alignment horizontal="left"/>
    </xf>
    <xf numFmtId="168" fontId="20" fillId="0" borderId="0" xfId="3" applyNumberFormat="1" applyFont="1" applyFill="1" applyAlignment="1">
      <alignment horizontal="right"/>
    </xf>
    <xf numFmtId="172" fontId="19" fillId="0" borderId="0" xfId="12" applyNumberFormat="1" applyFill="1"/>
    <xf numFmtId="180" fontId="28" fillId="0" borderId="0" xfId="4" applyNumberFormat="1" applyFont="1" applyFill="1" applyProtection="1">
      <alignment horizontal="right"/>
    </xf>
    <xf numFmtId="41" fontId="3" fillId="0" borderId="3" xfId="4" applyNumberFormat="1" applyFont="1" applyFill="1" applyBorder="1" applyProtection="1">
      <alignment horizontal="right"/>
    </xf>
    <xf numFmtId="190" fontId="19" fillId="0" borderId="0" xfId="12" applyNumberFormat="1"/>
    <xf numFmtId="190" fontId="19" fillId="0" borderId="0" xfId="12" applyNumberFormat="1" applyAlignment="1">
      <alignment vertical="top"/>
    </xf>
    <xf numFmtId="182" fontId="13" fillId="0" borderId="0" xfId="4" applyNumberFormat="1" applyFont="1" applyFill="1" applyBorder="1" applyProtection="1">
      <alignment horizontal="right"/>
    </xf>
    <xf numFmtId="167" fontId="2" fillId="0" borderId="2" xfId="0" applyNumberFormat="1" applyFont="1" applyFill="1" applyBorder="1"/>
    <xf numFmtId="180" fontId="45" fillId="0" borderId="0" xfId="4" applyNumberFormat="1" applyFont="1" applyFill="1" applyProtection="1">
      <alignment horizontal="right"/>
    </xf>
    <xf numFmtId="0" fontId="15" fillId="0" borderId="0" xfId="0" applyFont="1" applyAlignment="1"/>
    <xf numFmtId="0" fontId="3" fillId="0" borderId="0" xfId="0" applyFont="1" applyAlignment="1" applyProtection="1">
      <alignment wrapText="1"/>
    </xf>
    <xf numFmtId="0" fontId="1" fillId="0" borderId="0" xfId="0" quotePrefix="1" applyFont="1" applyAlignment="1"/>
    <xf numFmtId="0" fontId="2" fillId="0" borderId="0" xfId="0" applyFont="1" applyAlignment="1"/>
    <xf numFmtId="0" fontId="3" fillId="0" borderId="0" xfId="0" applyFont="1" applyAlignment="1" applyProtection="1"/>
    <xf numFmtId="0" fontId="2" fillId="0" borderId="0" xfId="0" applyFont="1" applyAlignment="1">
      <alignment wrapText="1"/>
    </xf>
    <xf numFmtId="40" fontId="29" fillId="0" borderId="2" xfId="0" applyNumberFormat="1" applyFont="1" applyBorder="1" applyAlignment="1">
      <alignment horizontal="left" wrapText="1"/>
    </xf>
    <xf numFmtId="0" fontId="18" fillId="0" borderId="0" xfId="0" applyFont="1" applyAlignment="1">
      <alignment vertical="top" wrapText="1"/>
    </xf>
    <xf numFmtId="0" fontId="21" fillId="0" borderId="0" xfId="11" applyFont="1" applyAlignment="1" applyProtection="1">
      <alignment wrapText="1"/>
    </xf>
    <xf numFmtId="49" fontId="3" fillId="0" borderId="0" xfId="0" applyNumberFormat="1" applyFont="1" applyAlignment="1" applyProtection="1"/>
    <xf numFmtId="168" fontId="20" fillId="0" borderId="0" xfId="3" applyNumberFormat="1" applyFont="1" applyFill="1" applyBorder="1" applyAlignment="1">
      <alignment horizontal="right"/>
    </xf>
    <xf numFmtId="168" fontId="20" fillId="0" borderId="3" xfId="3" applyNumberFormat="1" applyFont="1" applyFill="1" applyBorder="1" applyAlignment="1">
      <alignment horizontal="right"/>
    </xf>
    <xf numFmtId="180" fontId="45" fillId="0" borderId="3" xfId="4" applyNumberFormat="1" applyFont="1" applyFill="1" applyBorder="1" applyProtection="1">
      <alignment horizontal="right"/>
    </xf>
    <xf numFmtId="182" fontId="3" fillId="0" borderId="3" xfId="4" applyNumberFormat="1" applyFont="1" applyFill="1" applyBorder="1" applyProtection="1">
      <alignment horizontal="right"/>
    </xf>
    <xf numFmtId="182" fontId="13" fillId="0" borderId="3" xfId="4" applyNumberFormat="1" applyFont="1" applyFill="1" applyBorder="1" applyProtection="1">
      <alignment horizontal="right"/>
    </xf>
    <xf numFmtId="182" fontId="45" fillId="0" borderId="3" xfId="4" applyNumberFormat="1" applyFont="1" applyFill="1" applyBorder="1" applyProtection="1">
      <alignment horizontal="right"/>
    </xf>
    <xf numFmtId="0" fontId="0" fillId="0" borderId="0" xfId="0" applyAlignment="1">
      <alignment wrapText="1"/>
    </xf>
    <xf numFmtId="3" fontId="30" fillId="0" borderId="14" xfId="12" applyFont="1" applyFill="1" applyBorder="1" applyAlignment="1">
      <alignment horizontal="center" vertical="center" wrapText="1"/>
    </xf>
    <xf numFmtId="3" fontId="16" fillId="0" borderId="0" xfId="12" applyFont="1" applyAlignment="1">
      <alignment horizontal="right"/>
    </xf>
    <xf numFmtId="3" fontId="30" fillId="0" borderId="0" xfId="12" applyFont="1" applyAlignment="1">
      <alignment horizontal="right"/>
    </xf>
    <xf numFmtId="0" fontId="2" fillId="0" borderId="0" xfId="0" applyFont="1" applyBorder="1" applyAlignment="1">
      <alignment horizontal="center"/>
    </xf>
    <xf numFmtId="0" fontId="3" fillId="0" borderId="0" xfId="13" applyFont="1" applyBorder="1" applyAlignment="1">
      <alignment horizontal="right"/>
    </xf>
    <xf numFmtId="0" fontId="3" fillId="0" borderId="0" xfId="13" applyFont="1" applyBorder="1" applyAlignment="1">
      <alignment horizontal="left" indent="6"/>
    </xf>
    <xf numFmtId="0" fontId="3" fillId="0" borderId="0" xfId="13" applyFont="1" applyBorder="1" applyAlignment="1">
      <alignment horizontal="left" indent="8"/>
    </xf>
    <xf numFmtId="0" fontId="3" fillId="0" borderId="0" xfId="13" applyFont="1" applyFill="1" applyBorder="1" applyAlignment="1">
      <alignment horizontal="right"/>
    </xf>
    <xf numFmtId="0" fontId="3" fillId="0" borderId="0" xfId="13" applyFont="1" applyFill="1" applyBorder="1" applyAlignment="1">
      <alignment horizontal="left" indent="6"/>
    </xf>
    <xf numFmtId="0" fontId="3" fillId="0" borderId="0" xfId="13" applyFont="1" applyFill="1" applyBorder="1" applyAlignment="1">
      <alignment horizontal="left" indent="8"/>
    </xf>
    <xf numFmtId="0" fontId="2" fillId="0" borderId="0" xfId="0" applyFont="1" applyFill="1" applyBorder="1" applyAlignment="1">
      <alignment horizontal="center"/>
    </xf>
    <xf numFmtId="0" fontId="0" fillId="0" borderId="9" xfId="0" applyBorder="1" applyAlignment="1">
      <alignment horizontal="left"/>
    </xf>
    <xf numFmtId="0" fontId="3" fillId="0" borderId="0" xfId="13" applyFont="1" applyBorder="1" applyAlignment="1">
      <alignment horizontal="left" wrapText="1"/>
    </xf>
    <xf numFmtId="164" fontId="45" fillId="0" borderId="0" xfId="13" applyNumberFormat="1" applyFont="1" applyFill="1" applyAlignment="1">
      <alignment horizontal="right" indent="1"/>
    </xf>
    <xf numFmtId="164" fontId="45" fillId="0" borderId="3" xfId="13" applyNumberFormat="1" applyFont="1" applyFill="1" applyBorder="1" applyAlignment="1">
      <alignment horizontal="right" indent="1"/>
    </xf>
    <xf numFmtId="0" fontId="3" fillId="0" borderId="0" xfId="0" applyFont="1" applyAlignment="1" applyProtection="1">
      <alignment horizontal="center"/>
    </xf>
    <xf numFmtId="0" fontId="1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0" xfId="0" applyFont="1" applyAlignment="1" applyProtection="1">
      <alignment horizontal="center" wrapText="1"/>
    </xf>
    <xf numFmtId="0" fontId="18" fillId="0" borderId="0" xfId="0" applyFont="1" applyAlignment="1">
      <alignment horizontal="left" wrapText="1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9" fontId="3" fillId="0" borderId="0" xfId="0" applyNumberFormat="1" applyFont="1" applyAlignment="1" applyProtection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4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2" fillId="0" borderId="0" xfId="17" applyFont="1" applyAlignment="1">
      <alignment horizontal="center"/>
    </xf>
    <xf numFmtId="0" fontId="3" fillId="0" borderId="0" xfId="17" applyFont="1" applyAlignment="1" applyProtection="1">
      <alignment horizontal="center"/>
    </xf>
    <xf numFmtId="0" fontId="3" fillId="0" borderId="0" xfId="17" quotePrefix="1" applyFont="1" applyAlignment="1" applyProtection="1">
      <alignment horizontal="center"/>
    </xf>
    <xf numFmtId="0" fontId="7" fillId="0" borderId="0" xfId="17" quotePrefix="1" applyFont="1" applyAlignment="1">
      <alignment horizontal="center"/>
    </xf>
    <xf numFmtId="3" fontId="2" fillId="0" borderId="0" xfId="12" applyFont="1" applyAlignment="1">
      <alignment horizontal="center"/>
    </xf>
    <xf numFmtId="3" fontId="19" fillId="0" borderId="0" xfId="12" applyFont="1" applyAlignment="1">
      <alignment horizontal="center" wrapText="1"/>
    </xf>
    <xf numFmtId="3" fontId="19" fillId="0" borderId="0" xfId="12" applyAlignment="1">
      <alignment horizontal="center"/>
    </xf>
    <xf numFmtId="49" fontId="3" fillId="0" borderId="0" xfId="12" applyNumberFormat="1" applyFont="1" applyAlignment="1">
      <alignment horizontal="center"/>
    </xf>
    <xf numFmtId="49" fontId="19" fillId="0" borderId="0" xfId="12" applyNumberFormat="1" applyAlignment="1">
      <alignment horizontal="center"/>
    </xf>
    <xf numFmtId="3" fontId="1" fillId="0" borderId="0" xfId="12" quotePrefix="1" applyFont="1" applyAlignment="1">
      <alignment horizontal="center"/>
    </xf>
    <xf numFmtId="3" fontId="19" fillId="0" borderId="0" xfId="12" applyFont="1" applyAlignment="1">
      <alignment horizontal="left" vertical="top" wrapText="1" indent="1"/>
    </xf>
    <xf numFmtId="3" fontId="19" fillId="0" borderId="14" xfId="12" applyFill="1" applyBorder="1" applyAlignment="1">
      <alignment horizontal="center" vertical="center"/>
    </xf>
    <xf numFmtId="3" fontId="19" fillId="0" borderId="15" xfId="12" applyFill="1" applyBorder="1" applyAlignment="1">
      <alignment horizontal="center" vertical="center"/>
    </xf>
    <xf numFmtId="3" fontId="19" fillId="0" borderId="14" xfId="12" applyFill="1" applyBorder="1" applyAlignment="1">
      <alignment horizontal="center" vertical="center" wrapText="1"/>
    </xf>
    <xf numFmtId="3" fontId="19" fillId="0" borderId="15" xfId="12" applyFill="1" applyBorder="1" applyAlignment="1">
      <alignment horizontal="center" vertical="center" wrapText="1"/>
    </xf>
    <xf numFmtId="3" fontId="19" fillId="0" borderId="14" xfId="12" applyFont="1" applyFill="1" applyBorder="1" applyAlignment="1">
      <alignment horizontal="center" vertical="center" wrapText="1"/>
    </xf>
    <xf numFmtId="3" fontId="19" fillId="0" borderId="15" xfId="12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3" fontId="19" fillId="0" borderId="0" xfId="12" applyAlignment="1">
      <alignment horizontal="center" wrapText="1"/>
    </xf>
    <xf numFmtId="3" fontId="19" fillId="0" borderId="14" xfId="12" applyFont="1" applyBorder="1" applyAlignment="1">
      <alignment horizontal="center" vertical="center" wrapText="1"/>
    </xf>
    <xf numFmtId="3" fontId="19" fillId="0" borderId="15" xfId="12" applyFont="1" applyBorder="1" applyAlignment="1">
      <alignment horizontal="center" vertical="center" wrapText="1"/>
    </xf>
    <xf numFmtId="3" fontId="3" fillId="0" borderId="14" xfId="12" applyFont="1" applyBorder="1" applyAlignment="1">
      <alignment horizontal="center" vertical="center"/>
    </xf>
    <xf numFmtId="3" fontId="3" fillId="0" borderId="15" xfId="12" applyFont="1" applyBorder="1" applyAlignment="1">
      <alignment horizontal="center" vertical="center"/>
    </xf>
    <xf numFmtId="3" fontId="19" fillId="0" borderId="0" xfId="12" applyFont="1" applyAlignment="1">
      <alignment horizontal="left" vertical="top" wrapText="1" indent="2"/>
    </xf>
    <xf numFmtId="3" fontId="19" fillId="0" borderId="14" xfId="12" applyBorder="1" applyAlignment="1">
      <alignment horizontal="center" vertical="center" wrapText="1"/>
    </xf>
    <xf numFmtId="3" fontId="19" fillId="0" borderId="15" xfId="12" applyBorder="1" applyAlignment="1">
      <alignment horizontal="center" vertical="center" wrapText="1"/>
    </xf>
    <xf numFmtId="3" fontId="3" fillId="0" borderId="0" xfId="12" applyFont="1" applyAlignment="1">
      <alignment horizontal="center" wrapText="1"/>
    </xf>
    <xf numFmtId="3" fontId="33" fillId="0" borderId="0" xfId="12" applyFont="1" applyFill="1" applyAlignment="1">
      <alignment horizontal="left"/>
    </xf>
    <xf numFmtId="3" fontId="16" fillId="0" borderId="0" xfId="12" applyFont="1" applyFill="1" applyAlignment="1">
      <alignment horizontal="right"/>
    </xf>
    <xf numFmtId="3" fontId="30" fillId="0" borderId="0" xfId="12" applyFont="1" applyFill="1" applyAlignment="1">
      <alignment horizontal="right"/>
    </xf>
    <xf numFmtId="3" fontId="15" fillId="0" borderId="19" xfId="12" applyFont="1" applyFill="1" applyBorder="1" applyAlignment="1">
      <alignment horizontal="center"/>
    </xf>
    <xf numFmtId="3" fontId="31" fillId="0" borderId="19" xfId="12" applyFont="1" applyFill="1" applyBorder="1" applyAlignment="1">
      <alignment horizontal="center"/>
    </xf>
    <xf numFmtId="3" fontId="29" fillId="0" borderId="14" xfId="12" applyFont="1" applyFill="1" applyBorder="1" applyAlignment="1">
      <alignment horizontal="center" vertical="center"/>
    </xf>
    <xf numFmtId="3" fontId="29" fillId="0" borderId="15" xfId="12" applyFont="1" applyFill="1" applyBorder="1" applyAlignment="1">
      <alignment horizontal="center" vertical="center"/>
    </xf>
    <xf numFmtId="3" fontId="30" fillId="0" borderId="14" xfId="12" applyFont="1" applyFill="1" applyBorder="1" applyAlignment="1">
      <alignment horizontal="center" vertical="center" wrapText="1"/>
    </xf>
    <xf numFmtId="3" fontId="30" fillId="0" borderId="15" xfId="12" applyFont="1" applyFill="1" applyBorder="1" applyAlignment="1">
      <alignment horizontal="center" vertical="center" wrapText="1"/>
    </xf>
    <xf numFmtId="3" fontId="30" fillId="0" borderId="15" xfId="12" applyFont="1" applyFill="1" applyBorder="1" applyAlignment="1">
      <alignment horizontal="center" vertical="center"/>
    </xf>
    <xf numFmtId="3" fontId="30" fillId="0" borderId="14" xfId="12" applyFont="1" applyFill="1" applyBorder="1" applyAlignment="1">
      <alignment horizontal="center" wrapText="1"/>
    </xf>
    <xf numFmtId="3" fontId="30" fillId="0" borderId="15" xfId="12" applyFont="1" applyFill="1" applyBorder="1" applyAlignment="1">
      <alignment horizontal="center" wrapText="1"/>
    </xf>
    <xf numFmtId="3" fontId="33" fillId="0" borderId="0" xfId="12" applyFont="1" applyAlignment="1">
      <alignment horizontal="left"/>
    </xf>
    <xf numFmtId="3" fontId="29" fillId="0" borderId="14" xfId="12" applyFont="1" applyBorder="1" applyAlignment="1">
      <alignment horizontal="center" vertical="center"/>
    </xf>
    <xf numFmtId="3" fontId="29" fillId="0" borderId="15" xfId="12" applyFont="1" applyBorder="1" applyAlignment="1">
      <alignment horizontal="center" vertical="center"/>
    </xf>
    <xf numFmtId="3" fontId="15" fillId="0" borderId="19" xfId="12" applyFont="1" applyBorder="1" applyAlignment="1">
      <alignment horizontal="center"/>
    </xf>
    <xf numFmtId="3" fontId="31" fillId="0" borderId="19" xfId="12" applyFont="1" applyBorder="1" applyAlignment="1">
      <alignment horizontal="center"/>
    </xf>
    <xf numFmtId="3" fontId="29" fillId="0" borderId="30" xfId="12" applyFont="1" applyFill="1" applyBorder="1" applyAlignment="1">
      <alignment horizontal="center" vertical="center"/>
    </xf>
    <xf numFmtId="3" fontId="30" fillId="0" borderId="30" xfId="12" applyFont="1" applyFill="1" applyBorder="1" applyAlignment="1">
      <alignment horizontal="center" vertical="center" wrapText="1"/>
    </xf>
    <xf numFmtId="3" fontId="30" fillId="0" borderId="30" xfId="12" applyFont="1" applyFill="1" applyBorder="1" applyAlignment="1">
      <alignment horizontal="center" vertical="center"/>
    </xf>
    <xf numFmtId="3" fontId="30" fillId="0" borderId="30" xfId="12" applyFont="1" applyFill="1" applyBorder="1" applyAlignment="1">
      <alignment horizontal="center" wrapText="1"/>
    </xf>
    <xf numFmtId="3" fontId="16" fillId="0" borderId="0" xfId="12" applyFont="1" applyAlignment="1">
      <alignment horizontal="right"/>
    </xf>
    <xf numFmtId="3" fontId="30" fillId="0" borderId="0" xfId="12" applyFont="1" applyAlignment="1">
      <alignment horizontal="right"/>
    </xf>
    <xf numFmtId="3" fontId="29" fillId="0" borderId="30" xfId="12" applyFont="1" applyBorder="1" applyAlignment="1">
      <alignment horizontal="center" vertical="center"/>
    </xf>
    <xf numFmtId="3" fontId="30" fillId="0" borderId="14" xfId="12" applyFont="1" applyBorder="1" applyAlignment="1">
      <alignment horizontal="center" vertical="center" wrapText="1"/>
    </xf>
    <xf numFmtId="3" fontId="30" fillId="0" borderId="30" xfId="12" applyFont="1" applyBorder="1" applyAlignment="1">
      <alignment horizontal="center" vertical="center" wrapText="1"/>
    </xf>
    <xf numFmtId="3" fontId="30" fillId="0" borderId="30" xfId="12" applyFont="1" applyBorder="1" applyAlignment="1">
      <alignment horizontal="center" vertical="center"/>
    </xf>
    <xf numFmtId="3" fontId="30" fillId="0" borderId="15" xfId="12" applyFont="1" applyBorder="1" applyAlignment="1">
      <alignment horizontal="center" vertical="center" wrapText="1"/>
    </xf>
    <xf numFmtId="3" fontId="30" fillId="0" borderId="15" xfId="12" applyFont="1" applyBorder="1" applyAlignment="1">
      <alignment horizontal="center" vertical="center"/>
    </xf>
    <xf numFmtId="3" fontId="1" fillId="0" borderId="0" xfId="12" applyFont="1" applyAlignment="1">
      <alignment horizontal="left"/>
    </xf>
    <xf numFmtId="3" fontId="29" fillId="0" borderId="9" xfId="12" applyFont="1" applyBorder="1" applyAlignment="1">
      <alignment horizontal="center" vertical="center"/>
    </xf>
    <xf numFmtId="3" fontId="30" fillId="0" borderId="9" xfId="12" applyFont="1" applyBorder="1" applyAlignment="1">
      <alignment horizontal="center" vertical="center" wrapText="1"/>
    </xf>
    <xf numFmtId="3" fontId="30" fillId="0" borderId="9" xfId="12" applyFont="1" applyBorder="1" applyAlignment="1">
      <alignment horizontal="center" vertical="center"/>
    </xf>
    <xf numFmtId="3" fontId="29" fillId="0" borderId="0" xfId="12" applyFont="1" applyAlignment="1">
      <alignment horizontal="center"/>
    </xf>
    <xf numFmtId="3" fontId="30" fillId="0" borderId="0" xfId="12" applyFont="1" applyAlignment="1">
      <alignment horizontal="center"/>
    </xf>
    <xf numFmtId="3" fontId="1" fillId="0" borderId="0" xfId="12" applyFont="1" applyFill="1" applyAlignment="1">
      <alignment horizontal="left"/>
    </xf>
    <xf numFmtId="3" fontId="30" fillId="0" borderId="9" xfId="12" applyFont="1" applyFill="1" applyBorder="1" applyAlignment="1">
      <alignment horizontal="center" wrapText="1"/>
    </xf>
    <xf numFmtId="0" fontId="10" fillId="9" borderId="26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0" fontId="10" fillId="9" borderId="27" xfId="0" applyFont="1" applyFill="1" applyBorder="1" applyAlignment="1">
      <alignment horizontal="center" vertical="center"/>
    </xf>
    <xf numFmtId="0" fontId="10" fillId="9" borderId="17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 vertical="center"/>
    </xf>
    <xf numFmtId="0" fontId="10" fillId="9" borderId="18" xfId="0" applyFont="1" applyFill="1" applyBorder="1" applyAlignment="1">
      <alignment horizontal="center" vertical="center"/>
    </xf>
    <xf numFmtId="0" fontId="10" fillId="10" borderId="26" xfId="0" applyFont="1" applyFill="1" applyBorder="1" applyAlignment="1">
      <alignment horizontal="center" vertical="center"/>
    </xf>
    <xf numFmtId="0" fontId="10" fillId="10" borderId="3" xfId="0" applyFont="1" applyFill="1" applyBorder="1" applyAlignment="1">
      <alignment horizontal="center" vertical="center"/>
    </xf>
    <xf numFmtId="0" fontId="10" fillId="10" borderId="27" xfId="0" applyFont="1" applyFill="1" applyBorder="1" applyAlignment="1">
      <alignment horizontal="center" vertical="center"/>
    </xf>
    <xf numFmtId="0" fontId="3" fillId="0" borderId="0" xfId="13" applyFont="1" applyBorder="1" applyAlignment="1">
      <alignment horizontal="left" wrapText="1"/>
    </xf>
    <xf numFmtId="0" fontId="0" fillId="0" borderId="0" xfId="0" applyBorder="1" applyAlignment="1">
      <alignment wrapText="1"/>
    </xf>
    <xf numFmtId="0" fontId="15" fillId="4" borderId="25" xfId="0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0" xfId="0" applyAlignment="1">
      <alignment horizontal="center"/>
    </xf>
    <xf numFmtId="49" fontId="3" fillId="0" borderId="0" xfId="0" quotePrefix="1" applyNumberFormat="1" applyFont="1" applyAlignment="1" applyProtection="1">
      <alignment horizontal="center"/>
    </xf>
    <xf numFmtId="0" fontId="3" fillId="0" borderId="0" xfId="0" quotePrefix="1" applyFont="1" applyAlignment="1" applyProtection="1">
      <alignment horizontal="center"/>
    </xf>
    <xf numFmtId="0" fontId="15" fillId="4" borderId="20" xfId="0" applyFont="1" applyFill="1" applyBorder="1" applyAlignment="1">
      <alignment horizontal="center"/>
    </xf>
    <xf numFmtId="0" fontId="6" fillId="0" borderId="0" xfId="0" quotePrefix="1" applyFont="1" applyAlignment="1" applyProtection="1">
      <alignment horizontal="center"/>
    </xf>
    <xf numFmtId="49" fontId="2" fillId="0" borderId="0" xfId="0" applyNumberFormat="1" applyFont="1" applyAlignment="1" applyProtection="1">
      <alignment horizontal="center"/>
    </xf>
    <xf numFmtId="0" fontId="2" fillId="0" borderId="0" xfId="0" quotePrefix="1" applyFont="1" applyAlignment="1" applyProtection="1">
      <alignment horizontal="center"/>
    </xf>
  </cellXfs>
  <cellStyles count="20">
    <cellStyle name="Actual Date" xfId="1"/>
    <cellStyle name="Cents" xfId="2"/>
    <cellStyle name="Comma" xfId="3" builtinId="3"/>
    <cellStyle name="Comma_2008 TY CWIP COS" xfId="4"/>
    <cellStyle name="Comma_CWIP Balancing Account September_v4" xfId="18"/>
    <cellStyle name="Currency" xfId="19" builtinId="4"/>
    <cellStyle name="Currency.00" xfId="5"/>
    <cellStyle name="Date" xfId="6"/>
    <cellStyle name="Decimal" xfId="7"/>
    <cellStyle name="Floating" xfId="8"/>
    <cellStyle name="Heading1" xfId="9"/>
    <cellStyle name="Heading2" xfId="10"/>
    <cellStyle name="Hyperlink" xfId="11" builtinId="8"/>
    <cellStyle name="Normal" xfId="0" builtinId="0"/>
    <cellStyle name="Normal_2008 TY CWIP COS" xfId="12"/>
    <cellStyle name="Normal_CWIP Balancing Account September_v4" xfId="17"/>
    <cellStyle name="Normal_FCR Rev Req" xfId="13"/>
    <cellStyle name="Percent" xfId="14" builtinId="5"/>
    <cellStyle name="Percent[0]" xfId="15"/>
    <cellStyle name="Total" xfId="16" builtinId="25" customBuiltin="1"/>
  </cellStyles>
  <dxfs count="0"/>
  <tableStyles count="0" defaultTableStyle="TableStyleMedium9" defaultPivotStyle="PivotStyleLight16"/>
  <colors>
    <mruColors>
      <color rgb="FF0000FF"/>
      <color rgb="FFFF99CC"/>
      <color rgb="FFCCFFCC"/>
      <color rgb="FF99CCFF"/>
      <color rgb="FFFFFF99"/>
      <color rgb="FF99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DESKTOP\FERC%20Case%20Two\Complian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1"/>
      <sheetName val="Exhibit"/>
      <sheetName val="Inc Stmt"/>
      <sheetName val="Rate Base"/>
      <sheetName val="Rev Tax"/>
      <sheetName val="O&amp;M "/>
      <sheetName val="ALF"/>
      <sheetName val="FF&amp;U"/>
      <sheetName val="Ann Chg"/>
      <sheetName val="Acct 928"/>
      <sheetName val="RR - IS"/>
      <sheetName val="SUMMARY"/>
      <sheetName val="Sheet1"/>
      <sheetName val="Compliance"/>
      <sheetName val="#REF"/>
      <sheetName val="COS"/>
      <sheetName val="T&amp;D ISO PERCENTAGE"/>
      <sheetName val="Sheet2"/>
      <sheetName val="Sheet3"/>
      <sheetName val="Sheet4"/>
      <sheetName val="Sheet5"/>
      <sheetName val="Sheet6"/>
      <sheetName val="Sheet7"/>
      <sheetName val="FERC SUMMARY"/>
    </sheetNames>
    <sheetDataSet>
      <sheetData sheetId="0" refreshError="1"/>
      <sheetData sheetId="1" refreshError="1">
        <row r="13">
          <cell r="B13" t="str">
            <v>Period II -- Year 2002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ferc.gov/legal/acct-matts/interest-rates.asp" TargetMode="External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</sheetPr>
  <dimension ref="A1:AX42"/>
  <sheetViews>
    <sheetView tabSelected="1" zoomScaleNormal="100" workbookViewId="0">
      <selection activeCell="B1" sqref="B1"/>
    </sheetView>
  </sheetViews>
  <sheetFormatPr defaultRowHeight="12.75" outlineLevelCol="1"/>
  <cols>
    <col min="1" max="1" width="2.5703125" style="38" bestFit="1" customWidth="1"/>
    <col min="2" max="2" width="55.85546875" customWidth="1"/>
    <col min="3" max="3" width="7.42578125" customWidth="1" outlineLevel="1"/>
    <col min="4" max="4" width="8.28515625" customWidth="1" outlineLevel="1"/>
    <col min="5" max="5" width="10.28515625" customWidth="1" outlineLevel="1" collapsed="1"/>
    <col min="6" max="25" width="10.28515625" customWidth="1" outlineLevel="1"/>
    <col min="26" max="26" width="11.140625" bestFit="1" customWidth="1"/>
    <col min="27" max="27" width="11.140625" customWidth="1" collapsed="1"/>
    <col min="28" max="29" width="11.140625" customWidth="1"/>
    <col min="30" max="31" width="12.140625" customWidth="1"/>
    <col min="32" max="32" width="11.140625" customWidth="1"/>
    <col min="33" max="36" width="10.85546875" customWidth="1"/>
    <col min="37" max="38" width="11.140625" customWidth="1"/>
    <col min="39" max="43" width="11.140625" bestFit="1" customWidth="1"/>
    <col min="44" max="46" width="12.140625" bestFit="1" customWidth="1"/>
    <col min="47" max="47" width="12.140625" customWidth="1"/>
    <col min="48" max="49" width="12.28515625" bestFit="1" customWidth="1"/>
    <col min="50" max="50" width="12.140625" bestFit="1" customWidth="1"/>
  </cols>
  <sheetData>
    <row r="1" spans="1:50" ht="15.75">
      <c r="A1" s="597"/>
      <c r="B1" s="597"/>
      <c r="C1" s="628" t="s">
        <v>0</v>
      </c>
      <c r="D1" s="628"/>
      <c r="E1" s="628"/>
      <c r="F1" s="628"/>
      <c r="G1" s="628"/>
      <c r="H1" s="628"/>
      <c r="I1" s="628"/>
      <c r="J1" s="628"/>
      <c r="K1" s="628"/>
      <c r="L1" s="628"/>
      <c r="M1" s="628"/>
      <c r="N1" s="628"/>
      <c r="O1" s="628" t="s">
        <v>0</v>
      </c>
      <c r="P1" s="628"/>
      <c r="Q1" s="628"/>
      <c r="R1" s="628"/>
      <c r="S1" s="628"/>
      <c r="T1" s="628"/>
      <c r="U1" s="628"/>
      <c r="V1" s="628"/>
      <c r="W1" s="628"/>
      <c r="X1" s="628"/>
      <c r="Y1" s="628"/>
      <c r="Z1" s="628"/>
      <c r="AA1" s="628" t="s">
        <v>0</v>
      </c>
      <c r="AB1" s="628"/>
      <c r="AC1" s="628"/>
      <c r="AD1" s="628"/>
      <c r="AE1" s="628"/>
      <c r="AF1" s="628"/>
      <c r="AG1" s="628"/>
      <c r="AH1" s="628"/>
      <c r="AI1" s="628"/>
      <c r="AJ1" s="628"/>
      <c r="AK1" s="628"/>
      <c r="AL1" s="628"/>
      <c r="AM1" s="628" t="s">
        <v>0</v>
      </c>
      <c r="AN1" s="628"/>
      <c r="AO1" s="628"/>
      <c r="AP1" s="628"/>
      <c r="AQ1" s="628"/>
      <c r="AR1" s="628"/>
      <c r="AS1" s="628"/>
      <c r="AT1" s="628"/>
      <c r="AU1" s="628"/>
      <c r="AV1" s="628"/>
      <c r="AW1" s="628"/>
      <c r="AX1" s="628"/>
    </row>
    <row r="2" spans="1:50" ht="15">
      <c r="A2" s="598"/>
      <c r="B2" s="598"/>
      <c r="C2" s="626" t="s">
        <v>6</v>
      </c>
      <c r="D2" s="626"/>
      <c r="E2" s="626"/>
      <c r="F2" s="626"/>
      <c r="G2" s="626"/>
      <c r="H2" s="626"/>
      <c r="I2" s="626"/>
      <c r="J2" s="626"/>
      <c r="K2" s="626"/>
      <c r="L2" s="626"/>
      <c r="M2" s="626"/>
      <c r="N2" s="626"/>
      <c r="O2" s="626" t="s">
        <v>6</v>
      </c>
      <c r="P2" s="626"/>
      <c r="Q2" s="626"/>
      <c r="R2" s="626"/>
      <c r="S2" s="626"/>
      <c r="T2" s="626"/>
      <c r="U2" s="626"/>
      <c r="V2" s="626"/>
      <c r="W2" s="626"/>
      <c r="X2" s="626"/>
      <c r="Y2" s="626"/>
      <c r="Z2" s="626"/>
      <c r="AA2" s="626" t="s">
        <v>6</v>
      </c>
      <c r="AB2" s="626"/>
      <c r="AC2" s="626"/>
      <c r="AD2" s="626"/>
      <c r="AE2" s="626"/>
      <c r="AF2" s="626"/>
      <c r="AG2" s="626"/>
      <c r="AH2" s="626"/>
      <c r="AI2" s="626"/>
      <c r="AJ2" s="626"/>
      <c r="AK2" s="626"/>
      <c r="AL2" s="626"/>
      <c r="AM2" s="626" t="s">
        <v>6</v>
      </c>
      <c r="AN2" s="626"/>
      <c r="AO2" s="626"/>
      <c r="AP2" s="626"/>
      <c r="AQ2" s="626"/>
      <c r="AR2" s="626"/>
      <c r="AS2" s="626"/>
      <c r="AT2" s="626"/>
      <c r="AU2" s="626"/>
      <c r="AV2" s="626"/>
      <c r="AW2" s="626"/>
      <c r="AX2" s="626"/>
    </row>
    <row r="3" spans="1:50" ht="15">
      <c r="A3" s="598"/>
      <c r="B3" s="598"/>
      <c r="C3" s="626">
        <v>2008</v>
      </c>
      <c r="D3" s="626"/>
      <c r="E3" s="626"/>
      <c r="F3" s="626"/>
      <c r="G3" s="626"/>
      <c r="H3" s="626"/>
      <c r="I3" s="626"/>
      <c r="J3" s="626"/>
      <c r="K3" s="626"/>
      <c r="L3" s="626"/>
      <c r="M3" s="626"/>
      <c r="N3" s="626"/>
      <c r="O3" s="626">
        <v>2009</v>
      </c>
      <c r="P3" s="626"/>
      <c r="Q3" s="626"/>
      <c r="R3" s="626"/>
      <c r="S3" s="626"/>
      <c r="T3" s="626"/>
      <c r="U3" s="626"/>
      <c r="V3" s="626"/>
      <c r="W3" s="626"/>
      <c r="X3" s="626"/>
      <c r="Y3" s="626"/>
      <c r="Z3" s="626"/>
      <c r="AA3" s="626">
        <v>2010</v>
      </c>
      <c r="AB3" s="626"/>
      <c r="AC3" s="626"/>
      <c r="AD3" s="626"/>
      <c r="AE3" s="626"/>
      <c r="AF3" s="626"/>
      <c r="AG3" s="626"/>
      <c r="AH3" s="626"/>
      <c r="AI3" s="626"/>
      <c r="AJ3" s="626"/>
      <c r="AK3" s="626"/>
      <c r="AL3" s="626"/>
      <c r="AM3" s="626">
        <v>2011</v>
      </c>
      <c r="AN3" s="626"/>
      <c r="AO3" s="626"/>
      <c r="AP3" s="626"/>
      <c r="AQ3" s="626"/>
      <c r="AR3" s="626"/>
      <c r="AS3" s="626"/>
      <c r="AT3" s="626"/>
      <c r="AU3" s="626"/>
      <c r="AV3" s="626"/>
      <c r="AW3" s="626"/>
      <c r="AX3" s="626"/>
    </row>
    <row r="4" spans="1:50">
      <c r="A4" s="596"/>
      <c r="B4" s="596"/>
      <c r="C4" s="627" t="s">
        <v>1</v>
      </c>
      <c r="D4" s="627"/>
      <c r="E4" s="627"/>
      <c r="F4" s="627"/>
      <c r="G4" s="627"/>
      <c r="H4" s="627"/>
      <c r="I4" s="627"/>
      <c r="J4" s="627"/>
      <c r="K4" s="627"/>
      <c r="L4" s="627"/>
      <c r="M4" s="627"/>
      <c r="N4" s="627"/>
      <c r="O4" s="627" t="s">
        <v>1</v>
      </c>
      <c r="P4" s="627"/>
      <c r="Q4" s="627"/>
      <c r="R4" s="627"/>
      <c r="S4" s="627"/>
      <c r="T4" s="627"/>
      <c r="U4" s="627"/>
      <c r="V4" s="627"/>
      <c r="W4" s="627"/>
      <c r="X4" s="627"/>
      <c r="Y4" s="627"/>
      <c r="Z4" s="627"/>
      <c r="AA4" s="627" t="s">
        <v>1</v>
      </c>
      <c r="AB4" s="627"/>
      <c r="AC4" s="627"/>
      <c r="AD4" s="627"/>
      <c r="AE4" s="627"/>
      <c r="AF4" s="627"/>
      <c r="AG4" s="627"/>
      <c r="AH4" s="627"/>
      <c r="AI4" s="627"/>
      <c r="AJ4" s="627"/>
      <c r="AK4" s="627"/>
      <c r="AL4" s="627"/>
      <c r="AM4" s="627" t="s">
        <v>1</v>
      </c>
      <c r="AN4" s="627"/>
      <c r="AO4" s="627"/>
      <c r="AP4" s="627"/>
      <c r="AQ4" s="627"/>
      <c r="AR4" s="627"/>
      <c r="AS4" s="627"/>
      <c r="AT4" s="627"/>
      <c r="AU4" s="627"/>
      <c r="AV4" s="627"/>
      <c r="AW4" s="627"/>
      <c r="AX4" s="627"/>
    </row>
    <row r="5" spans="1:50" ht="15.75">
      <c r="A5" s="597"/>
      <c r="B5" s="597"/>
      <c r="C5" s="628" t="s">
        <v>7</v>
      </c>
      <c r="D5" s="628"/>
      <c r="E5" s="628"/>
      <c r="F5" s="628"/>
      <c r="G5" s="628"/>
      <c r="H5" s="628"/>
      <c r="I5" s="628"/>
      <c r="J5" s="628"/>
      <c r="K5" s="628"/>
      <c r="L5" s="628"/>
      <c r="M5" s="628"/>
      <c r="N5" s="628"/>
      <c r="O5" s="628" t="s">
        <v>7</v>
      </c>
      <c r="P5" s="628"/>
      <c r="Q5" s="628"/>
      <c r="R5" s="628"/>
      <c r="S5" s="628"/>
      <c r="T5" s="628"/>
      <c r="U5" s="628"/>
      <c r="V5" s="628"/>
      <c r="W5" s="628"/>
      <c r="X5" s="628"/>
      <c r="Y5" s="628"/>
      <c r="Z5" s="628"/>
      <c r="AA5" s="628" t="s">
        <v>7</v>
      </c>
      <c r="AB5" s="628"/>
      <c r="AC5" s="628"/>
      <c r="AD5" s="628"/>
      <c r="AE5" s="628"/>
      <c r="AF5" s="628"/>
      <c r="AG5" s="628"/>
      <c r="AH5" s="628"/>
      <c r="AI5" s="628"/>
      <c r="AJ5" s="628"/>
      <c r="AK5" s="628"/>
      <c r="AL5" s="628"/>
      <c r="AM5" s="628" t="s">
        <v>7</v>
      </c>
      <c r="AN5" s="628"/>
      <c r="AO5" s="628"/>
      <c r="AP5" s="628"/>
      <c r="AQ5" s="628"/>
      <c r="AR5" s="628"/>
      <c r="AS5" s="628"/>
      <c r="AT5" s="628"/>
      <c r="AU5" s="628"/>
      <c r="AV5" s="628"/>
      <c r="AW5" s="628"/>
      <c r="AX5" s="628"/>
    </row>
    <row r="6" spans="1:50" ht="15.75">
      <c r="A6" s="6"/>
      <c r="B6" s="6"/>
      <c r="C6" s="6"/>
      <c r="D6" s="6"/>
      <c r="E6" s="6"/>
    </row>
    <row r="7" spans="1:50" ht="15.75">
      <c r="A7" s="6"/>
      <c r="B7" s="6"/>
      <c r="C7" s="6"/>
      <c r="D7" s="6"/>
      <c r="E7" s="6"/>
    </row>
    <row r="8" spans="1:50" ht="15.75">
      <c r="A8" s="6"/>
      <c r="B8" s="6"/>
      <c r="C8" s="6"/>
      <c r="D8" s="6"/>
      <c r="E8" s="6"/>
    </row>
    <row r="9" spans="1:50" ht="15.75">
      <c r="A9" s="6"/>
      <c r="B9" s="6"/>
      <c r="C9" s="6"/>
      <c r="D9" s="6"/>
      <c r="E9" s="6"/>
    </row>
    <row r="11" spans="1:50" ht="36.75" customHeight="1">
      <c r="A11" s="629" t="s">
        <v>8</v>
      </c>
      <c r="B11" s="630"/>
      <c r="C11" s="599"/>
      <c r="D11" s="599"/>
      <c r="E11" s="599"/>
      <c r="F11" s="599"/>
      <c r="G11" s="599"/>
      <c r="H11" s="599"/>
      <c r="I11" s="599"/>
      <c r="J11" s="599"/>
      <c r="K11" s="599"/>
      <c r="L11" s="599"/>
      <c r="M11" s="599"/>
      <c r="N11" s="599"/>
      <c r="O11" s="599"/>
    </row>
    <row r="12" spans="1:50" ht="17.25" customHeight="1">
      <c r="A12" s="70" t="s">
        <v>69</v>
      </c>
      <c r="B12" s="56" t="s">
        <v>71</v>
      </c>
    </row>
    <row r="13" spans="1:50">
      <c r="A13" s="70" t="s">
        <v>70</v>
      </c>
      <c r="B13" s="56" t="s">
        <v>72</v>
      </c>
    </row>
    <row r="14" spans="1:50">
      <c r="A14" s="70"/>
      <c r="C14" s="631">
        <v>2008</v>
      </c>
      <c r="D14" s="632"/>
      <c r="E14" s="632"/>
      <c r="F14" s="632"/>
      <c r="G14" s="632"/>
      <c r="H14" s="632"/>
      <c r="I14" s="632"/>
      <c r="J14" s="632"/>
      <c r="K14" s="632"/>
      <c r="L14" s="632"/>
      <c r="M14" s="632"/>
      <c r="N14" s="633"/>
      <c r="O14" s="631">
        <v>2009</v>
      </c>
      <c r="P14" s="632"/>
      <c r="Q14" s="632"/>
      <c r="R14" s="632"/>
      <c r="S14" s="632"/>
      <c r="T14" s="632"/>
      <c r="U14" s="632"/>
      <c r="V14" s="632"/>
      <c r="W14" s="632"/>
      <c r="X14" s="632"/>
      <c r="Y14" s="632"/>
      <c r="Z14" s="633"/>
      <c r="AA14" s="631">
        <v>2010</v>
      </c>
      <c r="AB14" s="632"/>
      <c r="AC14" s="632"/>
      <c r="AD14" s="632"/>
      <c r="AE14" s="632"/>
      <c r="AF14" s="632"/>
      <c r="AG14" s="632"/>
      <c r="AH14" s="632"/>
      <c r="AI14" s="632"/>
      <c r="AJ14" s="632"/>
      <c r="AK14" s="632"/>
      <c r="AL14" s="633"/>
      <c r="AM14" s="631">
        <v>2011</v>
      </c>
      <c r="AN14" s="632"/>
      <c r="AO14" s="632"/>
      <c r="AP14" s="632"/>
      <c r="AQ14" s="632"/>
      <c r="AR14" s="632"/>
      <c r="AS14" s="632"/>
      <c r="AT14" s="632"/>
      <c r="AU14" s="632"/>
      <c r="AV14" s="632"/>
      <c r="AW14" s="632"/>
      <c r="AX14" s="633"/>
    </row>
    <row r="15" spans="1:50" ht="23.25" customHeight="1">
      <c r="A15" s="634" t="s">
        <v>74</v>
      </c>
      <c r="B15" s="635"/>
      <c r="C15" s="97" t="s">
        <v>100</v>
      </c>
      <c r="D15" s="97" t="s">
        <v>76</v>
      </c>
      <c r="E15" s="97" t="s">
        <v>77</v>
      </c>
      <c r="F15" s="97" t="s">
        <v>78</v>
      </c>
      <c r="G15" s="97" t="s">
        <v>75</v>
      </c>
      <c r="H15" s="97" t="s">
        <v>79</v>
      </c>
      <c r="I15" s="97" t="s">
        <v>80</v>
      </c>
      <c r="J15" s="97" t="s">
        <v>81</v>
      </c>
      <c r="K15" s="97" t="s">
        <v>82</v>
      </c>
      <c r="L15" s="97" t="s">
        <v>83</v>
      </c>
      <c r="M15" s="97" t="s">
        <v>84</v>
      </c>
      <c r="N15" s="97" t="s">
        <v>101</v>
      </c>
      <c r="O15" s="97" t="s">
        <v>100</v>
      </c>
      <c r="P15" s="97" t="s">
        <v>76</v>
      </c>
      <c r="Q15" s="97" t="s">
        <v>77</v>
      </c>
      <c r="R15" s="97" t="s">
        <v>78</v>
      </c>
      <c r="S15" s="97" t="s">
        <v>75</v>
      </c>
      <c r="T15" s="97" t="s">
        <v>79</v>
      </c>
      <c r="U15" s="97" t="s">
        <v>80</v>
      </c>
      <c r="V15" s="97" t="s">
        <v>81</v>
      </c>
      <c r="W15" s="97" t="s">
        <v>82</v>
      </c>
      <c r="X15" s="97" t="s">
        <v>83</v>
      </c>
      <c r="Y15" s="97" t="s">
        <v>84</v>
      </c>
      <c r="Z15" s="97" t="s">
        <v>101</v>
      </c>
      <c r="AA15" s="97" t="s">
        <v>100</v>
      </c>
      <c r="AB15" s="97" t="s">
        <v>76</v>
      </c>
      <c r="AC15" s="97" t="s">
        <v>77</v>
      </c>
      <c r="AD15" s="97" t="s">
        <v>78</v>
      </c>
      <c r="AE15" s="97" t="s">
        <v>75</v>
      </c>
      <c r="AF15" s="97" t="s">
        <v>79</v>
      </c>
      <c r="AG15" s="97" t="s">
        <v>80</v>
      </c>
      <c r="AH15" s="97" t="s">
        <v>81</v>
      </c>
      <c r="AI15" s="97" t="s">
        <v>82</v>
      </c>
      <c r="AJ15" s="97" t="s">
        <v>83</v>
      </c>
      <c r="AK15" s="97" t="s">
        <v>84</v>
      </c>
      <c r="AL15" s="97" t="s">
        <v>101</v>
      </c>
      <c r="AM15" s="97" t="s">
        <v>100</v>
      </c>
      <c r="AN15" s="97" t="s">
        <v>76</v>
      </c>
      <c r="AO15" s="97" t="s">
        <v>77</v>
      </c>
      <c r="AP15" s="97" t="s">
        <v>78</v>
      </c>
      <c r="AQ15" s="97" t="s">
        <v>75</v>
      </c>
      <c r="AR15" s="97" t="s">
        <v>79</v>
      </c>
      <c r="AS15" s="97" t="s">
        <v>80</v>
      </c>
      <c r="AT15" s="97" t="s">
        <v>81</v>
      </c>
      <c r="AU15" s="97" t="s">
        <v>82</v>
      </c>
      <c r="AV15" s="97" t="s">
        <v>83</v>
      </c>
      <c r="AW15" s="97" t="s">
        <v>84</v>
      </c>
      <c r="AX15" s="97" t="s">
        <v>101</v>
      </c>
    </row>
    <row r="16" spans="1:50" ht="41.25" customHeight="1">
      <c r="B16" s="326" t="s">
        <v>324</v>
      </c>
      <c r="C16" s="60"/>
    </row>
    <row r="17" spans="1:50">
      <c r="A17" s="70"/>
      <c r="B17" s="3" t="s">
        <v>3</v>
      </c>
      <c r="C17" s="60">
        <f>'DPV2 Rev Req'!C69</f>
        <v>0</v>
      </c>
      <c r="D17" s="60">
        <f>'DPV2 Rev Req'!D69</f>
        <v>0</v>
      </c>
      <c r="E17" s="162">
        <f>'DPV2 Rev Req'!E69</f>
        <v>252.01880046476043</v>
      </c>
      <c r="F17" s="162">
        <f>'DPV2 Rev Req'!F69</f>
        <v>255.31760871466008</v>
      </c>
      <c r="G17" s="162">
        <f>'DPV2 Rev Req'!G69</f>
        <v>259.98651771171694</v>
      </c>
      <c r="H17" s="162">
        <f>'DPV2 Rev Req'!H69</f>
        <v>264.96180661531804</v>
      </c>
      <c r="I17" s="162">
        <f>'DPV2 Rev Req'!I69</f>
        <v>269.33074676958006</v>
      </c>
      <c r="J17" s="162">
        <f>'DPV2 Rev Req'!J69</f>
        <v>272.78467194877351</v>
      </c>
      <c r="K17" s="162">
        <f>'DPV2 Rev Req'!K69</f>
        <v>278.83771587345802</v>
      </c>
      <c r="L17" s="162">
        <f>'DPV2 Rev Req'!L69</f>
        <v>284.66909582011863</v>
      </c>
      <c r="M17" s="162">
        <f>'DPV2 Rev Req'!M69</f>
        <v>287.44083576476339</v>
      </c>
      <c r="N17" s="162">
        <f>'DPV2 Rev Req'!N69</f>
        <v>294.48718326007622</v>
      </c>
      <c r="O17" s="162">
        <f>'DPV2 Rev Req'!O69</f>
        <v>298.05754769528022</v>
      </c>
      <c r="P17" s="162">
        <f>'DPV2 Rev Req'!P69</f>
        <v>302.8907823752001</v>
      </c>
      <c r="Q17" s="162">
        <f>'DPV2 Rev Req'!Q69</f>
        <v>311.25128512819424</v>
      </c>
      <c r="R17" s="162">
        <f>'DPV2 Rev Req'!R69</f>
        <v>323.75376236677295</v>
      </c>
      <c r="S17" s="162">
        <f>'DPV2 Rev Req'!S69</f>
        <v>343.60148174118427</v>
      </c>
      <c r="T17" s="162">
        <f>'DPV2 Rev Req'!T69</f>
        <v>354.5994249284621</v>
      </c>
      <c r="U17" s="162">
        <f>'DPV2 Rev Req'!U69</f>
        <v>369.48815249004713</v>
      </c>
      <c r="V17" s="162">
        <f>'DPV2 Rev Req'!V69</f>
        <v>401.92019447677228</v>
      </c>
      <c r="W17" s="162">
        <f>'DPV2 Rev Req'!W69</f>
        <v>433.7735346755619</v>
      </c>
      <c r="X17" s="162">
        <f>'DPV2 Rev Req'!X69</f>
        <v>440.01013046963476</v>
      </c>
      <c r="Y17" s="162">
        <f>'DPV2 Rev Req'!Y69</f>
        <v>417.86532030188869</v>
      </c>
      <c r="Z17" s="162">
        <f>'DPV2 Rev Req'!Z69</f>
        <v>422.87275980356429</v>
      </c>
      <c r="AA17" s="162">
        <f>'DPV2 Rev Req'!AA69</f>
        <v>439.38696248615133</v>
      </c>
      <c r="AB17" s="162">
        <f>'DPV2 Rev Req'!AB69</f>
        <v>439.8359552959347</v>
      </c>
      <c r="AC17" s="162">
        <f>'DPV2 Rev Req'!AC69</f>
        <v>448.0070316414388</v>
      </c>
      <c r="AD17" s="162">
        <f>'DPV2 Rev Req'!AD69</f>
        <v>460.02733922302502</v>
      </c>
      <c r="AE17" s="162">
        <f>'DPV2 Rev Req'!AE69</f>
        <v>472.65688408063443</v>
      </c>
      <c r="AF17" s="162">
        <f>'DPV2 Rev Req'!AF69</f>
        <v>437.81538350472977</v>
      </c>
      <c r="AG17" s="162">
        <f>'DPV2 Rev Req'!AG69</f>
        <v>404.47382117633225</v>
      </c>
      <c r="AH17" s="162">
        <f>'DPV2 Rev Req'!AH69</f>
        <v>416.54476798849538</v>
      </c>
      <c r="AI17" s="162">
        <f>'DPV2 Rev Req'!AI69</f>
        <v>433.86454791682581</v>
      </c>
      <c r="AJ17" s="162">
        <f>'DPV2 Rev Req'!AJ69</f>
        <v>464.65393898989669</v>
      </c>
      <c r="AK17" s="162">
        <f>'DPV2 Rev Req'!AK69</f>
        <v>488.88769318290053</v>
      </c>
      <c r="AL17" s="162">
        <f>'DPV2 Rev Req'!AL69</f>
        <v>508.6159458249179</v>
      </c>
      <c r="AM17" s="422">
        <f>'DPV2 Rev Req'!AM69</f>
        <v>526.76461224395462</v>
      </c>
      <c r="AN17" s="422">
        <f>'DPV2 Rev Req'!AN69</f>
        <v>544.83172941674343</v>
      </c>
      <c r="AO17" s="422">
        <f>'DPV2 Rev Req'!AO69</f>
        <v>572.44567726966613</v>
      </c>
      <c r="AP17" s="422">
        <f>'DPV2 Rev Req'!AP69</f>
        <v>599.25929633561873</v>
      </c>
      <c r="AQ17" s="422">
        <f>'DPV2 Rev Req'!AQ69</f>
        <v>624.76976334428741</v>
      </c>
      <c r="AR17" s="422">
        <f>'DPV2 Rev Req'!AR69</f>
        <v>670.94583682286179</v>
      </c>
      <c r="AS17" s="422">
        <f>'DPV2 Rev Req'!AS69</f>
        <v>726.03864059924263</v>
      </c>
      <c r="AT17" s="422">
        <f>'DPV2 Rev Req'!AT69</f>
        <v>786.79794065768613</v>
      </c>
      <c r="AU17" s="422">
        <f>'DPV2 Rev Req'!AU69</f>
        <v>893.56244983667239</v>
      </c>
      <c r="AV17" s="422">
        <f>'DPV2 Rev Req'!AV69</f>
        <v>1049.8787395887553</v>
      </c>
      <c r="AW17" s="422">
        <f>'DPV2 Rev Req'!AW69</f>
        <v>1263.6070931816168</v>
      </c>
      <c r="AX17" s="422">
        <f>'DPV2 Rev Req'!AX69</f>
        <v>1530.0862715130772</v>
      </c>
    </row>
    <row r="18" spans="1:50">
      <c r="A18" s="70"/>
      <c r="B18" s="3" t="s">
        <v>4</v>
      </c>
      <c r="C18" s="60">
        <f>'Tehachapi Rev Req'!C69</f>
        <v>0</v>
      </c>
      <c r="D18" s="60">
        <f>'Tehachapi Rev Req'!D69</f>
        <v>0</v>
      </c>
      <c r="E18" s="162">
        <f>'Tehachapi Rev Req'!E69</f>
        <v>642.06584513755547</v>
      </c>
      <c r="F18" s="162">
        <f>'Tehachapi Rev Req'!F69</f>
        <v>733.35355708335146</v>
      </c>
      <c r="G18" s="162">
        <f>'Tehachapi Rev Req'!G69</f>
        <v>849.06681052480963</v>
      </c>
      <c r="H18" s="162">
        <f>'Tehachapi Rev Req'!H69</f>
        <v>1033.1198980218207</v>
      </c>
      <c r="I18" s="162">
        <f>'Tehachapi Rev Req'!I69</f>
        <v>1219.7220967723272</v>
      </c>
      <c r="J18" s="162">
        <f>'Tehachapi Rev Req'!J69</f>
        <v>1411.3970372870442</v>
      </c>
      <c r="K18" s="162">
        <f>'Tehachapi Rev Req'!K69</f>
        <v>1579.2766631021721</v>
      </c>
      <c r="L18" s="162">
        <f>'Tehachapi Rev Req'!L69</f>
        <v>1769.4941940741937</v>
      </c>
      <c r="M18" s="162">
        <f>'Tehachapi Rev Req'!M69</f>
        <v>1951.2913528798122</v>
      </c>
      <c r="N18" s="162">
        <f>'Tehachapi Rev Req'!N69</f>
        <v>2181.0113625977342</v>
      </c>
      <c r="O18" s="162">
        <f>'Tehachapi Rev Req'!O69</f>
        <v>2359.2341213066666</v>
      </c>
      <c r="P18" s="162">
        <f>'Tehachapi Rev Req'!P69</f>
        <v>2402.3207812112232</v>
      </c>
      <c r="Q18" s="162">
        <f>'Tehachapi Rev Req'!Q69</f>
        <v>2531.1692691645394</v>
      </c>
      <c r="R18" s="162">
        <f>'Tehachapi Rev Req'!R69</f>
        <v>2760.353363284552</v>
      </c>
      <c r="S18" s="162">
        <f>'Tehachapi Rev Req'!S69</f>
        <v>3031.9643691606461</v>
      </c>
      <c r="T18" s="162">
        <f>'Tehachapi Rev Req'!T69</f>
        <v>3333.3691372482349</v>
      </c>
      <c r="U18" s="162">
        <f>'Tehachapi Rev Req'!U69</f>
        <v>3622.3024960655384</v>
      </c>
      <c r="V18" s="162">
        <f>'Tehachapi Rev Req'!V69</f>
        <v>3811.6990372145287</v>
      </c>
      <c r="W18" s="162">
        <f>'Tehachapi Rev Req'!W69</f>
        <v>3978.1286796146414</v>
      </c>
      <c r="X18" s="162">
        <f>'Tehachapi Rev Req'!X69</f>
        <v>3428.6977101678085</v>
      </c>
      <c r="Y18" s="162">
        <f>'Tehachapi Rev Req'!Y69</f>
        <v>2318.4661998706038</v>
      </c>
      <c r="Z18" s="162">
        <f>'Tehachapi Rev Req'!Z69</f>
        <v>1557.2973162934363</v>
      </c>
      <c r="AA18" s="162">
        <f>'Tehachapi Rev Req'!AA69</f>
        <v>1306.2648858177292</v>
      </c>
      <c r="AB18" s="162">
        <f>'Tehachapi Rev Req'!AB69</f>
        <v>1496.4126002171024</v>
      </c>
      <c r="AC18" s="162">
        <f>'Tehachapi Rev Req'!AC69</f>
        <v>1703.1887892227321</v>
      </c>
      <c r="AD18" s="352">
        <f>'Tehachapi Rev Req'!AD69</f>
        <v>1942.5076494051705</v>
      </c>
      <c r="AE18" s="352">
        <f>'Tehachapi Rev Req'!AE69</f>
        <v>2277.3806618934586</v>
      </c>
      <c r="AF18" s="352">
        <f>'Tehachapi Rev Req'!AF69</f>
        <v>2613.0047366004342</v>
      </c>
      <c r="AG18" s="352">
        <f>'Tehachapi Rev Req'!AG69</f>
        <v>3065.6223393745831</v>
      </c>
      <c r="AH18" s="352">
        <f>'Tehachapi Rev Req'!AH69</f>
        <v>3578.9027375913884</v>
      </c>
      <c r="AI18" s="352">
        <f>'Tehachapi Rev Req'!AI69</f>
        <v>3964.7049788588301</v>
      </c>
      <c r="AJ18" s="352">
        <f>'Tehachapi Rev Req'!AJ69</f>
        <v>4364.5369346540865</v>
      </c>
      <c r="AK18" s="352">
        <f>'Tehachapi Rev Req'!AK69</f>
        <v>4889.3703985961165</v>
      </c>
      <c r="AL18" s="352">
        <f>'Tehachapi Rev Req'!AL69</f>
        <v>5735.4844218005528</v>
      </c>
      <c r="AM18" s="422">
        <f>'Tehachapi Rev Req'!AM69</f>
        <v>6365.1573590107655</v>
      </c>
      <c r="AN18" s="422">
        <f>'Tehachapi Rev Req'!AN69</f>
        <v>6760.018646875822</v>
      </c>
      <c r="AO18" s="422">
        <f>'Tehachapi Rev Req'!AO69</f>
        <v>7293.1902419412527</v>
      </c>
      <c r="AP18" s="421">
        <f>'Tehachapi Rev Req'!AP69</f>
        <v>7832.3985520704127</v>
      </c>
      <c r="AQ18" s="421">
        <f>'Tehachapi Rev Req'!AQ69</f>
        <v>8361.4632134521871</v>
      </c>
      <c r="AR18" s="421">
        <f>'Tehachapi Rev Req'!AR69</f>
        <v>8730.0756279053894</v>
      </c>
      <c r="AS18" s="421">
        <f>'Tehachapi Rev Req'!AS69</f>
        <v>9025.7263711499036</v>
      </c>
      <c r="AT18" s="421">
        <f>'Tehachapi Rev Req'!AT69</f>
        <v>9423.2379203396013</v>
      </c>
      <c r="AU18" s="421">
        <f>'Tehachapi Rev Req'!AU69</f>
        <v>9897.8984650179045</v>
      </c>
      <c r="AV18" s="421">
        <f>'Tehachapi Rev Req'!AV69</f>
        <v>10399.867800166388</v>
      </c>
      <c r="AW18" s="421">
        <f>'Tehachapi Rev Req'!AW69</f>
        <v>10908.512376607032</v>
      </c>
      <c r="AX18" s="421">
        <f>'Tehachapi Rev Req'!AX69</f>
        <v>11509.896032543547</v>
      </c>
    </row>
    <row r="19" spans="1:50">
      <c r="A19" s="70"/>
      <c r="B19" s="3" t="s">
        <v>5</v>
      </c>
      <c r="C19" s="93">
        <f>'Rancho Vista Rev Req'!C69</f>
        <v>0</v>
      </c>
      <c r="D19" s="93">
        <f>'Rancho Vista Rev Req'!D69</f>
        <v>0</v>
      </c>
      <c r="E19" s="352">
        <f>'Rancho Vista Rev Req'!E69</f>
        <v>541.82577183599949</v>
      </c>
      <c r="F19" s="352">
        <f>'Rancho Vista Rev Req'!F69</f>
        <v>761.67840969031704</v>
      </c>
      <c r="G19" s="352">
        <f>'Rancho Vista Rev Req'!G69</f>
        <v>813.807607196248</v>
      </c>
      <c r="H19" s="352">
        <f>'Rancho Vista Rev Req'!H69</f>
        <v>972.86066352782598</v>
      </c>
      <c r="I19" s="352">
        <f>'Rancho Vista Rev Req'!I69</f>
        <v>1341.7652610575863</v>
      </c>
      <c r="J19" s="352">
        <f>'Rancho Vista Rev Req'!J69</f>
        <v>1437.1323551561813</v>
      </c>
      <c r="K19" s="352">
        <f>'Rancho Vista Rev Req'!K69</f>
        <v>1314.7046482704841</v>
      </c>
      <c r="L19" s="352">
        <f>'Rancho Vista Rev Req'!L69</f>
        <v>1349.2415070202569</v>
      </c>
      <c r="M19" s="352">
        <f>'Rancho Vista Rev Req'!M69</f>
        <v>1448.8025716587445</v>
      </c>
      <c r="N19" s="352">
        <f>'Rancho Vista Rev Req'!N69</f>
        <v>1599.7365777070995</v>
      </c>
      <c r="O19" s="352">
        <f>'Rancho Vista Rev Req'!O69</f>
        <v>1660.266718914887</v>
      </c>
      <c r="P19" s="352">
        <f>'Rancho Vista Rev Req'!P69</f>
        <v>1707.4717989891985</v>
      </c>
      <c r="Q19" s="352">
        <f>'Rancho Vista Rev Req'!Q69</f>
        <v>1742.5566817136498</v>
      </c>
      <c r="R19" s="352">
        <f>'Rancho Vista Rev Req'!R69</f>
        <v>1811.1392156101535</v>
      </c>
      <c r="S19" s="352">
        <f>'Rancho Vista Rev Req'!S69</f>
        <v>3.5936343185648988E-4</v>
      </c>
      <c r="T19" s="352">
        <f>'Rancho Vista Rev Req'!T69</f>
        <v>0</v>
      </c>
      <c r="U19" s="352">
        <f>'Rancho Vista Rev Req'!U69</f>
        <v>0</v>
      </c>
      <c r="V19" s="352">
        <f>'Rancho Vista Rev Req'!V69</f>
        <v>0</v>
      </c>
      <c r="W19" s="352">
        <f>'Rancho Vista Rev Req'!W69</f>
        <v>0</v>
      </c>
      <c r="X19" s="352">
        <f>'Rancho Vista Rev Req'!X69</f>
        <v>0</v>
      </c>
      <c r="Y19" s="352">
        <f>'Rancho Vista Rev Req'!Y69</f>
        <v>0</v>
      </c>
      <c r="Z19" s="352">
        <f>'Rancho Vista Rev Req'!Z69</f>
        <v>0</v>
      </c>
      <c r="AA19" s="352">
        <f>'Rancho Vista Rev Req'!AA69</f>
        <v>0</v>
      </c>
      <c r="AB19" s="352">
        <f>'Rancho Vista Rev Req'!AB69</f>
        <v>0</v>
      </c>
      <c r="AC19" s="352">
        <f>'Rancho Vista Rev Req'!AC69</f>
        <v>0</v>
      </c>
      <c r="AD19" s="352">
        <f>'Rancho Vista Rev Req'!AD69</f>
        <v>0</v>
      </c>
      <c r="AE19" s="352">
        <f>'Rancho Vista Rev Req'!AE69</f>
        <v>0</v>
      </c>
      <c r="AF19" s="352">
        <f>'Rancho Vista Rev Req'!AF69</f>
        <v>0</v>
      </c>
      <c r="AG19" s="352">
        <f>'Rancho Vista Rev Req'!AG69</f>
        <v>0</v>
      </c>
      <c r="AH19" s="352">
        <f>'Rancho Vista Rev Req'!AH69</f>
        <v>0</v>
      </c>
      <c r="AI19" s="352">
        <f>'Rancho Vista Rev Req'!AI69</f>
        <v>0</v>
      </c>
      <c r="AJ19" s="352">
        <f>'Rancho Vista Rev Req'!AJ69</f>
        <v>0</v>
      </c>
      <c r="AK19" s="352">
        <f>'Rancho Vista Rev Req'!AK69</f>
        <v>0</v>
      </c>
      <c r="AL19" s="352">
        <f>'Rancho Vista Rev Req'!AL69</f>
        <v>0</v>
      </c>
      <c r="AM19" s="421">
        <f>'Rancho Vista Rev Req'!AM69</f>
        <v>0</v>
      </c>
      <c r="AN19" s="421">
        <f>'Rancho Vista Rev Req'!AN69</f>
        <v>0</v>
      </c>
      <c r="AO19" s="421">
        <f>'Rancho Vista Rev Req'!AO69</f>
        <v>0</v>
      </c>
      <c r="AP19" s="421">
        <f>'Rancho Vista Rev Req'!AP69</f>
        <v>0</v>
      </c>
      <c r="AQ19" s="421">
        <f>'Rancho Vista Rev Req'!AQ69</f>
        <v>0</v>
      </c>
      <c r="AR19" s="421">
        <f>'Rancho Vista Rev Req'!AR69</f>
        <v>0</v>
      </c>
      <c r="AS19" s="421">
        <f>'Rancho Vista Rev Req'!AS69</f>
        <v>0</v>
      </c>
      <c r="AT19" s="421">
        <f>'Rancho Vista Rev Req'!AT69</f>
        <v>0</v>
      </c>
      <c r="AU19" s="421">
        <f>'Rancho Vista Rev Req'!AU69</f>
        <v>0</v>
      </c>
      <c r="AV19" s="421">
        <f>'Rancho Vista Rev Req'!AV69</f>
        <v>0</v>
      </c>
      <c r="AW19" s="421">
        <f>'Rancho Vista Rev Req'!AW69</f>
        <v>0</v>
      </c>
      <c r="AX19" s="421">
        <f>'Rancho Vista Rev Req'!AX69</f>
        <v>0</v>
      </c>
    </row>
    <row r="20" spans="1:50">
      <c r="A20" s="70"/>
      <c r="B20" s="3" t="s">
        <v>252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93">
        <v>0</v>
      </c>
      <c r="Z20" s="93">
        <v>0</v>
      </c>
      <c r="AA20" s="352">
        <f>'Rancho Vista Rev Req'!AA70</f>
        <v>0</v>
      </c>
      <c r="AB20" s="352">
        <f>'Rancho Vista Rev Req'!AB70</f>
        <v>0</v>
      </c>
      <c r="AC20" s="352">
        <f>'Rancho Vista Rev Req'!AC70</f>
        <v>0</v>
      </c>
      <c r="AD20" s="352">
        <f>'Rancho Vista Rev Req'!AD70</f>
        <v>0</v>
      </c>
      <c r="AE20" s="352">
        <f>'Rancho Vista Rev Req'!AE70</f>
        <v>0</v>
      </c>
      <c r="AF20" s="352">
        <f>'Rancho Vista Rev Req'!AF70</f>
        <v>0</v>
      </c>
      <c r="AG20" s="352">
        <f>'Rancho Vista Rev Req'!AG70</f>
        <v>0</v>
      </c>
      <c r="AH20" s="352">
        <f>'Rancho Vista Rev Req'!AH70</f>
        <v>0</v>
      </c>
      <c r="AI20" s="352">
        <f>'Rancho Vista Rev Req'!AI70</f>
        <v>0</v>
      </c>
      <c r="AJ20" s="352">
        <f>'Rancho Vista Rev Req'!AJ70</f>
        <v>0</v>
      </c>
      <c r="AK20" s="352">
        <f>'Rancho Vista Rev Req'!AK70</f>
        <v>0</v>
      </c>
      <c r="AL20" s="421">
        <f>'Eldorado Ivanpah Rev Req'!C69</f>
        <v>94.778909801449231</v>
      </c>
      <c r="AM20" s="421">
        <f>'Eldorado Ivanpah Rev Req'!D69</f>
        <v>98.834416787154169</v>
      </c>
      <c r="AN20" s="421">
        <f>'Eldorado Ivanpah Rev Req'!E69</f>
        <v>103.49979749521786</v>
      </c>
      <c r="AO20" s="421">
        <f>'Eldorado Ivanpah Rev Req'!F69</f>
        <v>110.83821984299531</v>
      </c>
      <c r="AP20" s="421">
        <f>'Eldorado Ivanpah Rev Req'!G69</f>
        <v>123.79356124719061</v>
      </c>
      <c r="AQ20" s="421">
        <f>'Eldorado Ivanpah Rev Req'!H69</f>
        <v>136.51540875521127</v>
      </c>
      <c r="AR20" s="421">
        <f>'Eldorado Ivanpah Rev Req'!I69</f>
        <v>146.70252595588238</v>
      </c>
      <c r="AS20" s="421">
        <f>'Eldorado Ivanpah Rev Req'!J69</f>
        <v>158.42925467897504</v>
      </c>
      <c r="AT20" s="421">
        <f>'Eldorado Ivanpah Rev Req'!K69</f>
        <v>171.64382519533837</v>
      </c>
      <c r="AU20" s="421">
        <f>'Eldorado Ivanpah Rev Req'!L69</f>
        <v>185.99105084619876</v>
      </c>
      <c r="AV20" s="421">
        <f>'Eldorado Ivanpah Rev Req'!M69</f>
        <v>219.83724571044314</v>
      </c>
      <c r="AW20" s="421">
        <f>'Eldorado Ivanpah Rev Req'!N69</f>
        <v>232.70814559832849</v>
      </c>
      <c r="AX20" s="421">
        <f>'Eldorado Ivanpah Rev Req'!O69</f>
        <v>267.40629785499948</v>
      </c>
    </row>
    <row r="21" spans="1:50">
      <c r="A21" s="70"/>
      <c r="B21" s="86" t="s">
        <v>250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 s="93">
        <v>0</v>
      </c>
      <c r="I21" s="93">
        <v>0</v>
      </c>
      <c r="J21" s="93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93">
        <v>0</v>
      </c>
      <c r="Y21" s="93">
        <v>0</v>
      </c>
      <c r="Z21" s="93">
        <v>0</v>
      </c>
      <c r="AA21" s="352">
        <f>'Rancho Vista Rev Req'!AA71</f>
        <v>0</v>
      </c>
      <c r="AB21" s="352">
        <f>'Rancho Vista Rev Req'!AB71</f>
        <v>0</v>
      </c>
      <c r="AC21" s="352">
        <f>'Rancho Vista Rev Req'!AC71</f>
        <v>0</v>
      </c>
      <c r="AD21" s="352">
        <f>'Rancho Vista Rev Req'!AD71</f>
        <v>0</v>
      </c>
      <c r="AE21" s="352">
        <f>'Rancho Vista Rev Req'!AE71</f>
        <v>0</v>
      </c>
      <c r="AF21" s="352">
        <f>'Rancho Vista Rev Req'!AF71</f>
        <v>0</v>
      </c>
      <c r="AG21" s="352">
        <f>'Rancho Vista Rev Req'!AG71</f>
        <v>0</v>
      </c>
      <c r="AH21" s="352">
        <f>'Rancho Vista Rev Req'!AH71</f>
        <v>0</v>
      </c>
      <c r="AI21" s="352">
        <f>'Rancho Vista Rev Req'!AI71</f>
        <v>0</v>
      </c>
      <c r="AJ21" s="352">
        <f>'Rancho Vista Rev Req'!AJ71</f>
        <v>0</v>
      </c>
      <c r="AK21" s="352">
        <f>'Rancho Vista Rev Req'!AK71</f>
        <v>0</v>
      </c>
      <c r="AL21" s="421">
        <f>'Lugo-Pisgah Rev Req'!C69</f>
        <v>-2.3973450914178711</v>
      </c>
      <c r="AM21" s="421">
        <f>'Lugo-Pisgah Rev Req'!D69</f>
        <v>-1.0005651596052521</v>
      </c>
      <c r="AN21" s="421">
        <f>'Lugo-Pisgah Rev Req'!E69</f>
        <v>-0.29203434303367148</v>
      </c>
      <c r="AO21" s="421">
        <f>'Lugo-Pisgah Rev Req'!F69</f>
        <v>0.36140586698917149</v>
      </c>
      <c r="AP21" s="421">
        <f>'Lugo-Pisgah Rev Req'!G69</f>
        <v>-0.56800076403317745</v>
      </c>
      <c r="AQ21" s="421">
        <f>'Lugo-Pisgah Rev Req'!H69</f>
        <v>-1.8176458520993561</v>
      </c>
      <c r="AR21" s="421">
        <f>'Lugo-Pisgah Rev Req'!I69</f>
        <v>-0.25865162426508942</v>
      </c>
      <c r="AS21" s="421">
        <f>'Lugo-Pisgah Rev Req'!J69</f>
        <v>0.68760254533199061</v>
      </c>
      <c r="AT21" s="421">
        <f>'Lugo-Pisgah Rev Req'!K69</f>
        <v>0.38847150940758801</v>
      </c>
      <c r="AU21" s="421">
        <f>'Lugo-Pisgah Rev Req'!L69</f>
        <v>-0.72589400931719306</v>
      </c>
      <c r="AV21" s="421">
        <f>'Lugo-Pisgah Rev Req'!M69</f>
        <v>-1.98834760325615</v>
      </c>
      <c r="AW21" s="421">
        <f>'Lugo-Pisgah Rev Req'!N69</f>
        <v>-1.5179987481496235</v>
      </c>
      <c r="AX21" s="421">
        <f>'Lugo-Pisgah Rev Req'!O69</f>
        <v>-0.9374577285133725</v>
      </c>
    </row>
    <row r="22" spans="1:50">
      <c r="A22" s="70"/>
      <c r="B22" s="3" t="s">
        <v>251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  <c r="W22" s="93">
        <v>0</v>
      </c>
      <c r="X22" s="93">
        <v>0</v>
      </c>
      <c r="Y22" s="93">
        <v>0</v>
      </c>
      <c r="Z22" s="93">
        <v>0</v>
      </c>
      <c r="AA22" s="352">
        <f>'Rancho Vista Rev Req'!AA72</f>
        <v>0</v>
      </c>
      <c r="AB22" s="352">
        <f>'Rancho Vista Rev Req'!AB72</f>
        <v>0</v>
      </c>
      <c r="AC22" s="352">
        <f>'Rancho Vista Rev Req'!AC72</f>
        <v>0</v>
      </c>
      <c r="AD22" s="352">
        <f>'Rancho Vista Rev Req'!AD72</f>
        <v>0</v>
      </c>
      <c r="AE22" s="352">
        <f>'Rancho Vista Rev Req'!AE72</f>
        <v>0</v>
      </c>
      <c r="AF22" s="352">
        <f>'Rancho Vista Rev Req'!AF72</f>
        <v>0</v>
      </c>
      <c r="AG22" s="352">
        <f>'Rancho Vista Rev Req'!AG72</f>
        <v>0</v>
      </c>
      <c r="AH22" s="352">
        <f>'Rancho Vista Rev Req'!AH72</f>
        <v>0</v>
      </c>
      <c r="AI22" s="352">
        <f>'Rancho Vista Rev Req'!AI72</f>
        <v>0</v>
      </c>
      <c r="AJ22" s="352">
        <f>'Rancho Vista Rev Req'!AJ72</f>
        <v>0</v>
      </c>
      <c r="AK22" s="352">
        <f>'Rancho Vista Rev Req'!AK72</f>
        <v>0</v>
      </c>
      <c r="AL22" s="421">
        <f>'Red Bluff Rev Req'!C69</f>
        <v>6.417293172208403</v>
      </c>
      <c r="AM22" s="421">
        <f>'Red Bluff Rev Req'!D69</f>
        <v>8.9673372907985858</v>
      </c>
      <c r="AN22" s="421">
        <f>'Red Bluff Rev Req'!E69</f>
        <v>10.801594663770373</v>
      </c>
      <c r="AO22" s="421">
        <f>'Red Bluff Rev Req'!F69</f>
        <v>13.731726702288688</v>
      </c>
      <c r="AP22" s="421">
        <f>'Red Bluff Rev Req'!G69</f>
        <v>18.135041346504064</v>
      </c>
      <c r="AQ22" s="421">
        <f>'Red Bluff Rev Req'!H69</f>
        <v>25.201263525488365</v>
      </c>
      <c r="AR22" s="421">
        <f>'Red Bluff Rev Req'!I69</f>
        <v>33.044333849517258</v>
      </c>
      <c r="AS22" s="421">
        <f>'Red Bluff Rev Req'!J69</f>
        <v>44.331028928199473</v>
      </c>
      <c r="AT22" s="421">
        <f>'Red Bluff Rev Req'!K69</f>
        <v>57.721253200462179</v>
      </c>
      <c r="AU22" s="421">
        <f>'Red Bluff Rev Req'!L69</f>
        <v>66.485161262341535</v>
      </c>
      <c r="AV22" s="421">
        <f>'Red Bluff Rev Req'!M69</f>
        <v>78.075422244675593</v>
      </c>
      <c r="AW22" s="421">
        <f>'Red Bluff Rev Req'!N69</f>
        <v>93.011492971941294</v>
      </c>
      <c r="AX22" s="421">
        <f>'Red Bluff Rev Req'!O69</f>
        <v>128.72942526967006</v>
      </c>
    </row>
    <row r="23" spans="1:50" s="344" customFormat="1">
      <c r="A23" s="529"/>
      <c r="B23" s="530" t="s">
        <v>287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59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421">
        <v>0</v>
      </c>
      <c r="AB23" s="421">
        <v>0</v>
      </c>
      <c r="AC23" s="421">
        <v>0</v>
      </c>
      <c r="AD23" s="421">
        <v>0</v>
      </c>
      <c r="AE23" s="421">
        <v>0</v>
      </c>
      <c r="AF23" s="421">
        <v>0</v>
      </c>
      <c r="AG23" s="421">
        <v>0</v>
      </c>
      <c r="AH23" s="421">
        <v>0</v>
      </c>
      <c r="AI23" s="421">
        <v>0</v>
      </c>
      <c r="AJ23" s="421">
        <v>0</v>
      </c>
      <c r="AK23" s="421">
        <v>0</v>
      </c>
      <c r="AL23" s="421">
        <v>0</v>
      </c>
      <c r="AM23" s="421">
        <v>0</v>
      </c>
      <c r="AN23" s="421">
        <v>0</v>
      </c>
      <c r="AO23" s="421">
        <v>0</v>
      </c>
      <c r="AP23" s="421">
        <f>'Whirlwind Rev Req'!C69</f>
        <v>0.34240508438994177</v>
      </c>
      <c r="AQ23" s="421">
        <f>'Whirlwind Rev Req'!D69</f>
        <v>0.82104694484448826</v>
      </c>
      <c r="AR23" s="421">
        <f>'Whirlwind Rev Req'!E69</f>
        <v>1.7261963976702961</v>
      </c>
      <c r="AS23" s="421">
        <f>'Whirlwind Rev Req'!F69</f>
        <v>2.3225490420870831</v>
      </c>
      <c r="AT23" s="421">
        <f>'Whirlwind Rev Req'!G69</f>
        <v>3.1075173475851576</v>
      </c>
      <c r="AU23" s="421">
        <f>'Whirlwind Rev Req'!H69</f>
        <v>5.1180572179361352</v>
      </c>
      <c r="AV23" s="421">
        <f>'Whirlwind Rev Req'!I69</f>
        <v>13.58978750325738</v>
      </c>
      <c r="AW23" s="421">
        <f>'Whirlwind Rev Req'!J69</f>
        <v>27.240789872407163</v>
      </c>
      <c r="AX23" s="421">
        <f>'Whirlwind Rev Req'!K69</f>
        <v>37.49381088889529</v>
      </c>
    </row>
    <row r="24" spans="1:50" s="344" customFormat="1">
      <c r="A24" s="529"/>
      <c r="B24" s="530" t="s">
        <v>288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421">
        <v>0</v>
      </c>
      <c r="AB24" s="421">
        <v>0</v>
      </c>
      <c r="AC24" s="421">
        <v>0</v>
      </c>
      <c r="AD24" s="421">
        <v>0</v>
      </c>
      <c r="AE24" s="421">
        <v>0</v>
      </c>
      <c r="AF24" s="421">
        <v>0</v>
      </c>
      <c r="AG24" s="421">
        <v>0</v>
      </c>
      <c r="AH24" s="421">
        <v>0</v>
      </c>
      <c r="AI24" s="421">
        <v>0</v>
      </c>
      <c r="AJ24" s="421">
        <v>0</v>
      </c>
      <c r="AK24" s="421">
        <v>0</v>
      </c>
      <c r="AL24" s="421">
        <v>0</v>
      </c>
      <c r="AM24" s="421">
        <v>0</v>
      </c>
      <c r="AN24" s="421">
        <v>0</v>
      </c>
      <c r="AO24" s="421">
        <v>0</v>
      </c>
      <c r="AP24" s="421">
        <f>'CR Rev Req'!C69</f>
        <v>9.1213273295005433</v>
      </c>
      <c r="AQ24" s="421">
        <f>'CR Rev Req'!D69</f>
        <v>16.14759536438266</v>
      </c>
      <c r="AR24" s="421">
        <f>'CR Rev Req'!E69</f>
        <v>18.440928702398914</v>
      </c>
      <c r="AS24" s="421">
        <f>'CR Rev Req'!F69</f>
        <v>20.154306067826109</v>
      </c>
      <c r="AT24" s="421">
        <f>'CR Rev Req'!G69</f>
        <v>20.988452371765948</v>
      </c>
      <c r="AU24" s="421">
        <f>'CR Rev Req'!H69</f>
        <v>22.179905633934212</v>
      </c>
      <c r="AV24" s="421">
        <f>'CR Rev Req'!I69</f>
        <v>39.772651585763143</v>
      </c>
      <c r="AW24" s="421">
        <f>'CR Rev Req'!J69</f>
        <v>74.034831671071203</v>
      </c>
      <c r="AX24" s="421">
        <f>'CR Rev Req'!K69</f>
        <v>101.78323088122009</v>
      </c>
    </row>
    <row r="25" spans="1:50" s="344" customFormat="1">
      <c r="A25" s="529"/>
      <c r="B25" s="530" t="s">
        <v>289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59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421">
        <v>0</v>
      </c>
      <c r="AB25" s="421">
        <v>0</v>
      </c>
      <c r="AC25" s="421">
        <v>0</v>
      </c>
      <c r="AD25" s="421">
        <v>0</v>
      </c>
      <c r="AE25" s="421">
        <v>0</v>
      </c>
      <c r="AF25" s="421">
        <v>0</v>
      </c>
      <c r="AG25" s="421">
        <v>0</v>
      </c>
      <c r="AH25" s="421">
        <v>0</v>
      </c>
      <c r="AI25" s="421">
        <v>0</v>
      </c>
      <c r="AJ25" s="421">
        <v>0</v>
      </c>
      <c r="AK25" s="421">
        <v>0</v>
      </c>
      <c r="AL25" s="421">
        <v>0</v>
      </c>
      <c r="AM25" s="421">
        <v>0</v>
      </c>
      <c r="AN25" s="421">
        <v>0</v>
      </c>
      <c r="AO25" s="421">
        <v>0</v>
      </c>
      <c r="AP25" s="421">
        <f>'S of Kramer Rev Req'!C69</f>
        <v>3.0921981241487617</v>
      </c>
      <c r="AQ25" s="421">
        <f>'S of Kramer Rev Req'!D69</f>
        <v>3.996550585818087</v>
      </c>
      <c r="AR25" s="421">
        <f>'S of Kramer Rev Req'!E69</f>
        <v>5.1862868275063878</v>
      </c>
      <c r="AS25" s="421">
        <f>'S of Kramer Rev Req'!F69</f>
        <v>6.5951452724593764</v>
      </c>
      <c r="AT25" s="421">
        <f>'S of Kramer Rev Req'!G69</f>
        <v>8.5065310095369586</v>
      </c>
      <c r="AU25" s="421">
        <f>'S of Kramer Rev Req'!H69</f>
        <v>11.21521020330888</v>
      </c>
      <c r="AV25" s="421">
        <f>'S of Kramer Rev Req'!I69</f>
        <v>14.18273191732073</v>
      </c>
      <c r="AW25" s="421">
        <f>'S of Kramer Rev Req'!J69</f>
        <v>17.006499568373478</v>
      </c>
      <c r="AX25" s="421">
        <f>'S of Kramer Rev Req'!K69</f>
        <v>20.125387337490437</v>
      </c>
    </row>
    <row r="26" spans="1:50" s="344" customFormat="1">
      <c r="A26" s="529"/>
      <c r="B26" s="530" t="s">
        <v>290</v>
      </c>
      <c r="C26" s="551">
        <v>0</v>
      </c>
      <c r="D26" s="551">
        <v>0</v>
      </c>
      <c r="E26" s="551">
        <v>0</v>
      </c>
      <c r="F26" s="551">
        <v>0</v>
      </c>
      <c r="G26" s="551">
        <v>0</v>
      </c>
      <c r="H26" s="551">
        <v>0</v>
      </c>
      <c r="I26" s="551">
        <v>0</v>
      </c>
      <c r="J26" s="551">
        <v>0</v>
      </c>
      <c r="K26" s="551">
        <v>0</v>
      </c>
      <c r="L26" s="551">
        <v>0</v>
      </c>
      <c r="M26" s="551">
        <v>0</v>
      </c>
      <c r="N26" s="551">
        <v>0</v>
      </c>
      <c r="O26" s="551">
        <v>0</v>
      </c>
      <c r="P26" s="551">
        <v>0</v>
      </c>
      <c r="Q26" s="551">
        <v>0</v>
      </c>
      <c r="R26" s="551">
        <v>0</v>
      </c>
      <c r="S26" s="551">
        <v>0</v>
      </c>
      <c r="T26" s="551">
        <v>0</v>
      </c>
      <c r="U26" s="551">
        <v>0</v>
      </c>
      <c r="V26" s="551">
        <v>0</v>
      </c>
      <c r="W26" s="551">
        <v>0</v>
      </c>
      <c r="X26" s="551">
        <v>0</v>
      </c>
      <c r="Y26" s="551">
        <v>0</v>
      </c>
      <c r="Z26" s="551">
        <v>0</v>
      </c>
      <c r="AA26" s="421">
        <v>0</v>
      </c>
      <c r="AB26" s="421">
        <v>0</v>
      </c>
      <c r="AC26" s="421">
        <v>0</v>
      </c>
      <c r="AD26" s="421">
        <v>0</v>
      </c>
      <c r="AE26" s="421">
        <v>0</v>
      </c>
      <c r="AF26" s="421">
        <v>0</v>
      </c>
      <c r="AG26" s="421">
        <v>0</v>
      </c>
      <c r="AH26" s="421">
        <v>0</v>
      </c>
      <c r="AI26" s="421">
        <v>0</v>
      </c>
      <c r="AJ26" s="421">
        <v>0</v>
      </c>
      <c r="AK26" s="421">
        <v>0</v>
      </c>
      <c r="AL26" s="421">
        <v>0</v>
      </c>
      <c r="AM26" s="421">
        <v>0</v>
      </c>
      <c r="AN26" s="421">
        <v>0</v>
      </c>
      <c r="AO26" s="421">
        <v>0</v>
      </c>
      <c r="AP26" s="421">
        <f>'W of Devers Rev Req'!C69</f>
        <v>16.818943945902092</v>
      </c>
      <c r="AQ26" s="421">
        <f>'W of Devers Rev Req'!D69</f>
        <v>17.711732924763819</v>
      </c>
      <c r="AR26" s="421">
        <f>'W of Devers Rev Req'!E69</f>
        <v>18.82409364557191</v>
      </c>
      <c r="AS26" s="421">
        <f>'W of Devers Rev Req'!F69</f>
        <v>20.454570228408116</v>
      </c>
      <c r="AT26" s="421">
        <f>'W of Devers Rev Req'!G69</f>
        <v>22.75713212160062</v>
      </c>
      <c r="AU26" s="421">
        <f>'W of Devers Rev Req'!H69</f>
        <v>25.674001025388094</v>
      </c>
      <c r="AV26" s="421">
        <f>'W of Devers Rev Req'!I69</f>
        <v>28.730280276489196</v>
      </c>
      <c r="AW26" s="421">
        <f>'W of Devers Rev Req'!J69</f>
        <v>31.823439762080273</v>
      </c>
      <c r="AX26" s="421">
        <f>'W of Devers Rev Req'!K69</f>
        <v>37.197784004647943</v>
      </c>
    </row>
    <row r="27" spans="1:50" ht="19.5" customHeight="1" thickBot="1">
      <c r="B27" s="3" t="s">
        <v>73</v>
      </c>
      <c r="C27" s="189">
        <f>SUM(C17:C19)</f>
        <v>0</v>
      </c>
      <c r="D27" s="189">
        <f t="shared" ref="D27:N27" si="0">SUM(D17:D19)</f>
        <v>0</v>
      </c>
      <c r="E27" s="190">
        <f>SUM(E17:E19)</f>
        <v>1435.9104174383156</v>
      </c>
      <c r="F27" s="190">
        <f t="shared" si="0"/>
        <v>1750.3495754883286</v>
      </c>
      <c r="G27" s="190">
        <f t="shared" si="0"/>
        <v>1922.8609354327746</v>
      </c>
      <c r="H27" s="190">
        <f t="shared" si="0"/>
        <v>2270.9423681649646</v>
      </c>
      <c r="I27" s="190">
        <f t="shared" si="0"/>
        <v>2830.8181045994934</v>
      </c>
      <c r="J27" s="190">
        <f t="shared" si="0"/>
        <v>3121.3140643919992</v>
      </c>
      <c r="K27" s="190">
        <f t="shared" si="0"/>
        <v>3172.8190272461143</v>
      </c>
      <c r="L27" s="190">
        <f t="shared" si="0"/>
        <v>3403.4047969145695</v>
      </c>
      <c r="M27" s="190">
        <f t="shared" si="0"/>
        <v>3687.5347603033201</v>
      </c>
      <c r="N27" s="190">
        <f t="shared" si="0"/>
        <v>4075.2351235649098</v>
      </c>
      <c r="O27" s="190">
        <f t="shared" ref="O27:Z27" si="1">SUM(O17:O19)</f>
        <v>4317.5583879168335</v>
      </c>
      <c r="P27" s="190">
        <f t="shared" si="1"/>
        <v>4412.6833625756217</v>
      </c>
      <c r="Q27" s="190">
        <f t="shared" si="1"/>
        <v>4584.9772360063835</v>
      </c>
      <c r="R27" s="190">
        <f t="shared" si="1"/>
        <v>4895.2463412614788</v>
      </c>
      <c r="S27" s="190">
        <f t="shared" si="1"/>
        <v>3375.5662102652623</v>
      </c>
      <c r="T27" s="190">
        <f t="shared" si="1"/>
        <v>3687.9685621766971</v>
      </c>
      <c r="U27" s="190">
        <f t="shared" si="1"/>
        <v>3991.7906485555854</v>
      </c>
      <c r="V27" s="190">
        <f t="shared" si="1"/>
        <v>4213.6192316913011</v>
      </c>
      <c r="W27" s="190">
        <f t="shared" si="1"/>
        <v>4411.9022142902031</v>
      </c>
      <c r="X27" s="190">
        <f t="shared" si="1"/>
        <v>3868.707840637443</v>
      </c>
      <c r="Y27" s="190">
        <f t="shared" si="1"/>
        <v>2736.3315201724927</v>
      </c>
      <c r="Z27" s="190">
        <f t="shared" si="1"/>
        <v>1980.1700760970007</v>
      </c>
      <c r="AA27" s="353">
        <f>SUM(AA17:AA22)</f>
        <v>1745.6518483038806</v>
      </c>
      <c r="AB27" s="353">
        <f t="shared" ref="AB27:AL27" si="2">SUM(AB17:AB22)</f>
        <v>1936.248555513037</v>
      </c>
      <c r="AC27" s="353">
        <f t="shared" si="2"/>
        <v>2151.1958208641709</v>
      </c>
      <c r="AD27" s="353">
        <f t="shared" si="2"/>
        <v>2402.5349886281956</v>
      </c>
      <c r="AE27" s="353">
        <f t="shared" si="2"/>
        <v>2750.0375459740931</v>
      </c>
      <c r="AF27" s="353">
        <f t="shared" si="2"/>
        <v>3050.8201201051638</v>
      </c>
      <c r="AG27" s="353">
        <f t="shared" si="2"/>
        <v>3470.0961605509156</v>
      </c>
      <c r="AH27" s="353">
        <f t="shared" si="2"/>
        <v>3995.4475055798839</v>
      </c>
      <c r="AI27" s="353">
        <f t="shared" si="2"/>
        <v>4398.5695267756564</v>
      </c>
      <c r="AJ27" s="353">
        <f t="shared" si="2"/>
        <v>4829.1908736439837</v>
      </c>
      <c r="AK27" s="353">
        <f t="shared" si="2"/>
        <v>5378.2580917790174</v>
      </c>
      <c r="AL27" s="353">
        <f t="shared" si="2"/>
        <v>6342.8992255077101</v>
      </c>
      <c r="AM27" s="353">
        <f>SUM(AM17:AM22)</f>
        <v>6998.7231601730673</v>
      </c>
      <c r="AN27" s="353">
        <f t="shared" ref="AN27" si="3">SUM(AN17:AN22)</f>
        <v>7418.8597341085206</v>
      </c>
      <c r="AO27" s="353">
        <f>SUM(AO17:AO22)</f>
        <v>7990.567271623192</v>
      </c>
      <c r="AP27" s="541">
        <f>SUM(AP17:AP26)</f>
        <v>8602.3933247196328</v>
      </c>
      <c r="AQ27" s="541">
        <f t="shared" ref="AQ27:AX27" si="4">SUM(AQ17:AQ26)</f>
        <v>9184.8089290448825</v>
      </c>
      <c r="AR27" s="541">
        <f t="shared" si="4"/>
        <v>9624.6871784825344</v>
      </c>
      <c r="AS27" s="541">
        <f t="shared" si="4"/>
        <v>10004.739468512435</v>
      </c>
      <c r="AT27" s="541">
        <f t="shared" si="4"/>
        <v>10495.149043752986</v>
      </c>
      <c r="AU27" s="541">
        <f t="shared" si="4"/>
        <v>11107.398407034369</v>
      </c>
      <c r="AV27" s="541">
        <f t="shared" si="4"/>
        <v>11841.946311389838</v>
      </c>
      <c r="AW27" s="541">
        <f t="shared" si="4"/>
        <v>12646.426670484701</v>
      </c>
      <c r="AX27" s="541">
        <f t="shared" si="4"/>
        <v>13631.780782565032</v>
      </c>
    </row>
    <row r="28" spans="1:50" ht="13.5" thickTop="1">
      <c r="C28" s="60"/>
      <c r="E28" s="60"/>
    </row>
    <row r="29" spans="1:50">
      <c r="C29" s="60"/>
      <c r="E29" s="60"/>
      <c r="H29" s="552"/>
      <c r="I29" s="552"/>
      <c r="J29" s="552"/>
      <c r="K29" s="552"/>
      <c r="L29" s="552"/>
      <c r="M29" s="552"/>
      <c r="N29" s="552"/>
      <c r="O29" s="552"/>
      <c r="P29" s="552"/>
      <c r="Q29" s="552"/>
      <c r="R29" s="552"/>
      <c r="S29" s="552"/>
      <c r="T29" s="552"/>
      <c r="U29" s="552"/>
      <c r="V29" s="552"/>
      <c r="W29" s="552"/>
      <c r="X29" s="552"/>
      <c r="Y29" s="552"/>
      <c r="Z29" s="552"/>
      <c r="AA29" s="552"/>
      <c r="AB29" s="552"/>
      <c r="AC29" s="552"/>
      <c r="AD29" s="552"/>
      <c r="AE29" s="552"/>
      <c r="AF29" s="552"/>
      <c r="AG29" s="552"/>
      <c r="AH29" s="552"/>
      <c r="AI29" s="552"/>
      <c r="AJ29" s="552"/>
      <c r="AK29" s="552"/>
      <c r="AL29" s="552"/>
      <c r="AM29" s="552"/>
      <c r="AN29" s="552"/>
      <c r="AO29" s="552"/>
      <c r="AP29" s="552"/>
      <c r="AQ29" s="552"/>
      <c r="AR29" s="552"/>
    </row>
    <row r="30" spans="1:50" ht="28.5" customHeight="1" thickBot="1">
      <c r="A30" s="71" t="s">
        <v>70</v>
      </c>
      <c r="B30" s="195" t="s">
        <v>166</v>
      </c>
      <c r="C30" s="220">
        <v>0</v>
      </c>
      <c r="D30" s="220">
        <v>0</v>
      </c>
      <c r="E30" s="220">
        <f>-Revenue!E22</f>
        <v>-1522.4872963041378</v>
      </c>
      <c r="F30" s="220">
        <f>-Revenue!F22</f>
        <v>-3535.0560460265428</v>
      </c>
      <c r="G30" s="220">
        <f>-Revenue!G22</f>
        <v>-3563.6539699785012</v>
      </c>
      <c r="H30" s="191">
        <f>-Revenue!H22</f>
        <v>-3770.4015648452951</v>
      </c>
      <c r="I30" s="191">
        <f>-Revenue!I22</f>
        <v>-4490.6212996953054</v>
      </c>
      <c r="J30" s="191">
        <f>-Revenue!J22</f>
        <v>-4182.2284553284117</v>
      </c>
      <c r="K30" s="191">
        <f>-Revenue!K22</f>
        <v>-4322.6176822805464</v>
      </c>
      <c r="L30" s="191">
        <f>-Revenue!L22</f>
        <v>-4005.4483417789525</v>
      </c>
      <c r="M30" s="191">
        <f>-Revenue!M22</f>
        <v>-3142.8565994851542</v>
      </c>
      <c r="N30" s="191">
        <f>-Revenue!N22</f>
        <v>-3864.5406323973439</v>
      </c>
      <c r="O30" s="191">
        <f>-Revenue!O22</f>
        <v>-3094.8015891045202</v>
      </c>
      <c r="P30" s="191">
        <f>-Revenue!P22</f>
        <v>-2632.4130647701486</v>
      </c>
      <c r="Q30" s="191">
        <f>-Revenue!Q22</f>
        <v>-2908.2523809327045</v>
      </c>
      <c r="R30" s="191">
        <f>-Revenue!R22</f>
        <v>-2893.6218767368605</v>
      </c>
      <c r="S30" s="191">
        <f>-Revenue!S22</f>
        <v>-2930.9854632287238</v>
      </c>
      <c r="T30" s="191">
        <f>-Revenue!T22</f>
        <v>-3199.3216614813232</v>
      </c>
      <c r="U30" s="191">
        <f>-Revenue!U22</f>
        <v>-3553.5945230154034</v>
      </c>
      <c r="V30" s="191">
        <f>-Revenue!V22</f>
        <v>-3612.4271687541045</v>
      </c>
      <c r="W30" s="191">
        <f>-Revenue!W22</f>
        <v>-3756.2779714840167</v>
      </c>
      <c r="X30" s="191">
        <f>-Revenue!X22</f>
        <v>-3379.6825463192822</v>
      </c>
      <c r="Y30" s="191">
        <f>-Revenue!Y22</f>
        <v>-2784.8069689534486</v>
      </c>
      <c r="Z30" s="191">
        <f>-Revenue!Z22</f>
        <v>-3251.4114011854545</v>
      </c>
      <c r="AA30" s="191">
        <f>-Revenue!AA22</f>
        <v>-3117.2143429592365</v>
      </c>
      <c r="AB30" s="191">
        <f>-Revenue!AB22</f>
        <v>-3210.5058258502095</v>
      </c>
      <c r="AC30" s="191">
        <f>-Revenue!AC22</f>
        <v>-3464.2803064906984</v>
      </c>
      <c r="AD30" s="191">
        <f>-Revenue!AD22</f>
        <v>-3072.7159996231239</v>
      </c>
      <c r="AE30" s="191">
        <f>-Revenue!AE22</f>
        <v>-2829.2243977352714</v>
      </c>
      <c r="AF30" s="191">
        <f>-Revenue!AF22</f>
        <v>-3638.1393160542507</v>
      </c>
      <c r="AG30" s="191">
        <f>-Revenue!AG22</f>
        <v>-4136.310295168757</v>
      </c>
      <c r="AH30" s="191">
        <f>-Revenue!AH22</f>
        <v>-4533.0934107670582</v>
      </c>
      <c r="AI30" s="191">
        <f>-Revenue!AI22</f>
        <v>-4369.5610247064014</v>
      </c>
      <c r="AJ30" s="191">
        <f>-Revenue!AJ22</f>
        <v>-4092.1948246837296</v>
      </c>
      <c r="AK30" s="191">
        <f>-Revenue!AK22</f>
        <v>-3679.1031200306984</v>
      </c>
      <c r="AL30" s="191">
        <f>-Revenue!AL22</f>
        <v>-4010.3813261490859</v>
      </c>
      <c r="AM30" s="191">
        <f>-Revenue!AM22</f>
        <v>-3838.5161152407459</v>
      </c>
      <c r="AN30" s="191">
        <f>-Revenue!AN22</f>
        <v>-3306.787341589586</v>
      </c>
      <c r="AO30" s="191">
        <f>-Revenue!AO22</f>
        <v>-7155.9659581712913</v>
      </c>
      <c r="AP30" s="191">
        <f>-Revenue!AP22</f>
        <v>-11377.313933885458</v>
      </c>
      <c r="AQ30" s="191">
        <f>-Revenue!AQ22</f>
        <v>-11530.567623764948</v>
      </c>
      <c r="AR30" s="191">
        <f>-Revenue!AR22</f>
        <v>-12211.147480213171</v>
      </c>
      <c r="AS30" s="220">
        <f>-Revenue!AS22</f>
        <v>-12825.371887868165</v>
      </c>
      <c r="AT30" s="220">
        <f>-Revenue!AT22</f>
        <v>-14932.213283492547</v>
      </c>
      <c r="AU30" s="220">
        <f>-Revenue!AU22</f>
        <v>-14332.527497107649</v>
      </c>
      <c r="AV30" s="220">
        <f>-Revenue!AV22</f>
        <v>-11821.888398275194</v>
      </c>
      <c r="AW30" s="220">
        <f>-Revenue!AW22</f>
        <v>-6364.7361786401216</v>
      </c>
      <c r="AX30" s="220">
        <f>-Revenue!AX22</f>
        <v>-12372.637668586422</v>
      </c>
    </row>
    <row r="31" spans="1:50" ht="13.5" thickTop="1"/>
    <row r="32" spans="1:50" hidden="1"/>
    <row r="33" spans="2:38" ht="25.5" hidden="1">
      <c r="B33" s="324" t="s">
        <v>244</v>
      </c>
    </row>
    <row r="34" spans="2:38" hidden="1">
      <c r="B34" s="3" t="s">
        <v>3</v>
      </c>
      <c r="C34" s="60" t="e">
        <f>'DPV2 Rev Req'!#REF!</f>
        <v>#REF!</v>
      </c>
      <c r="D34" s="60" t="e">
        <f>'DPV2 Rev Req'!#REF!</f>
        <v>#REF!</v>
      </c>
      <c r="E34" s="162" t="e">
        <f>'DPV2 Rev Req'!#REF!</f>
        <v>#REF!</v>
      </c>
      <c r="F34" s="162" t="e">
        <f>'DPV2 Rev Req'!#REF!</f>
        <v>#REF!</v>
      </c>
      <c r="G34" s="162" t="e">
        <f>'DPV2 Rev Req'!#REF!</f>
        <v>#REF!</v>
      </c>
      <c r="H34" s="162" t="e">
        <f>'DPV2 Rev Req'!#REF!</f>
        <v>#REF!</v>
      </c>
      <c r="I34" s="162" t="e">
        <f>'DPV2 Rev Req'!#REF!</f>
        <v>#REF!</v>
      </c>
      <c r="J34" s="162" t="e">
        <f>'DPV2 Rev Req'!#REF!</f>
        <v>#REF!</v>
      </c>
      <c r="K34" s="162" t="e">
        <f>'DPV2 Rev Req'!#REF!</f>
        <v>#REF!</v>
      </c>
      <c r="L34" s="162" t="e">
        <f>'DPV2 Rev Req'!#REF!</f>
        <v>#REF!</v>
      </c>
      <c r="M34" s="162" t="e">
        <f>'DPV2 Rev Req'!#REF!</f>
        <v>#REF!</v>
      </c>
      <c r="N34" s="162" t="e">
        <f>'DPV2 Rev Req'!#REF!</f>
        <v>#REF!</v>
      </c>
      <c r="O34" s="162" t="e">
        <f>'DPV2 Rev Req'!#REF!</f>
        <v>#REF!</v>
      </c>
      <c r="P34" s="162" t="e">
        <f>'DPV2 Rev Req'!#REF!</f>
        <v>#REF!</v>
      </c>
      <c r="Q34" s="162" t="e">
        <f>'DPV2 Rev Req'!#REF!</f>
        <v>#REF!</v>
      </c>
      <c r="R34" s="162" t="e">
        <f>'DPV2 Rev Req'!#REF!</f>
        <v>#REF!</v>
      </c>
      <c r="S34" s="162" t="e">
        <f>'DPV2 Rev Req'!#REF!</f>
        <v>#REF!</v>
      </c>
      <c r="T34" s="162" t="e">
        <f>'DPV2 Rev Req'!#REF!</f>
        <v>#REF!</v>
      </c>
      <c r="U34" s="162" t="e">
        <f>'DPV2 Rev Req'!#REF!</f>
        <v>#REF!</v>
      </c>
      <c r="V34" s="162" t="e">
        <f>'DPV2 Rev Req'!#REF!</f>
        <v>#REF!</v>
      </c>
      <c r="W34" s="162" t="e">
        <f>'DPV2 Rev Req'!#REF!</f>
        <v>#REF!</v>
      </c>
      <c r="X34" s="162" t="e">
        <f>'DPV2 Rev Req'!#REF!</f>
        <v>#REF!</v>
      </c>
      <c r="Y34" s="162" t="e">
        <f>'DPV2 Rev Req'!#REF!</f>
        <v>#REF!</v>
      </c>
      <c r="Z34" s="162" t="e">
        <f>'DPV2 Rev Req'!#REF!</f>
        <v>#REF!</v>
      </c>
      <c r="AA34" s="162" t="e">
        <f>'DPV2 Rev Req'!#REF!</f>
        <v>#REF!</v>
      </c>
      <c r="AB34" s="162" t="e">
        <f>'DPV2 Rev Req'!#REF!</f>
        <v>#REF!</v>
      </c>
      <c r="AC34" s="162" t="e">
        <f>'DPV2 Rev Req'!#REF!</f>
        <v>#REF!</v>
      </c>
      <c r="AD34" s="162" t="e">
        <f>'DPV2 Rev Req'!#REF!</f>
        <v>#REF!</v>
      </c>
      <c r="AE34" s="162" t="e">
        <f>'DPV2 Rev Req'!#REF!</f>
        <v>#REF!</v>
      </c>
      <c r="AF34" s="162" t="e">
        <f>'DPV2 Rev Req'!#REF!</f>
        <v>#REF!</v>
      </c>
      <c r="AG34" s="162" t="e">
        <f>'DPV2 Rev Req'!#REF!</f>
        <v>#REF!</v>
      </c>
      <c r="AH34" s="162" t="e">
        <f>'DPV2 Rev Req'!#REF!</f>
        <v>#REF!</v>
      </c>
      <c r="AI34" s="162" t="e">
        <f>'DPV2 Rev Req'!#REF!</f>
        <v>#REF!</v>
      </c>
      <c r="AJ34" s="162" t="e">
        <f>'DPV2 Rev Req'!#REF!</f>
        <v>#REF!</v>
      </c>
      <c r="AK34" s="162" t="e">
        <f>'DPV2 Rev Req'!#REF!</f>
        <v>#REF!</v>
      </c>
      <c r="AL34" s="162" t="e">
        <f>'DPV2 Rev Req'!#REF!</f>
        <v>#REF!</v>
      </c>
    </row>
    <row r="35" spans="2:38" hidden="1">
      <c r="B35" s="3" t="s">
        <v>4</v>
      </c>
      <c r="C35" s="60" t="e">
        <f>'Tehachapi Rev Req'!#REF!</f>
        <v>#REF!</v>
      </c>
      <c r="D35" s="60" t="e">
        <f>'Tehachapi Rev Req'!#REF!</f>
        <v>#REF!</v>
      </c>
      <c r="E35" s="162" t="e">
        <f>'Tehachapi Rev Req'!#REF!</f>
        <v>#REF!</v>
      </c>
      <c r="F35" s="162" t="e">
        <f>'Tehachapi Rev Req'!#REF!</f>
        <v>#REF!</v>
      </c>
      <c r="G35" s="162" t="e">
        <f>'Tehachapi Rev Req'!#REF!</f>
        <v>#REF!</v>
      </c>
      <c r="H35" s="162" t="e">
        <f>'Tehachapi Rev Req'!#REF!</f>
        <v>#REF!</v>
      </c>
      <c r="I35" s="162" t="e">
        <f>'Tehachapi Rev Req'!#REF!</f>
        <v>#REF!</v>
      </c>
      <c r="J35" s="162" t="e">
        <f>'Tehachapi Rev Req'!#REF!</f>
        <v>#REF!</v>
      </c>
      <c r="K35" s="162" t="e">
        <f>'Tehachapi Rev Req'!#REF!</f>
        <v>#REF!</v>
      </c>
      <c r="L35" s="162" t="e">
        <f>'Tehachapi Rev Req'!#REF!</f>
        <v>#REF!</v>
      </c>
      <c r="M35" s="162" t="e">
        <f>'Tehachapi Rev Req'!#REF!</f>
        <v>#REF!</v>
      </c>
      <c r="N35" s="162" t="e">
        <f>'Tehachapi Rev Req'!#REF!</f>
        <v>#REF!</v>
      </c>
      <c r="O35" s="162" t="e">
        <f>'Tehachapi Rev Req'!#REF!</f>
        <v>#REF!</v>
      </c>
      <c r="P35" s="162" t="e">
        <f>'Tehachapi Rev Req'!#REF!</f>
        <v>#REF!</v>
      </c>
      <c r="Q35" s="162" t="e">
        <f>'Tehachapi Rev Req'!#REF!</f>
        <v>#REF!</v>
      </c>
      <c r="R35" s="162" t="e">
        <f>'Tehachapi Rev Req'!#REF!</f>
        <v>#REF!</v>
      </c>
      <c r="S35" s="162" t="e">
        <f>'Tehachapi Rev Req'!#REF!</f>
        <v>#REF!</v>
      </c>
      <c r="T35" s="162" t="e">
        <f>'Tehachapi Rev Req'!#REF!</f>
        <v>#REF!</v>
      </c>
      <c r="U35" s="162" t="e">
        <f>'Tehachapi Rev Req'!#REF!</f>
        <v>#REF!</v>
      </c>
      <c r="V35" s="162" t="e">
        <f>'Tehachapi Rev Req'!#REF!</f>
        <v>#REF!</v>
      </c>
      <c r="W35" s="162" t="e">
        <f>'Tehachapi Rev Req'!#REF!</f>
        <v>#REF!</v>
      </c>
      <c r="X35" s="162" t="e">
        <f>'Tehachapi Rev Req'!#REF!</f>
        <v>#REF!</v>
      </c>
      <c r="Y35" s="162" t="e">
        <f>'Tehachapi Rev Req'!#REF!</f>
        <v>#REF!</v>
      </c>
      <c r="Z35" s="162" t="e">
        <f>'Tehachapi Rev Req'!#REF!</f>
        <v>#REF!</v>
      </c>
      <c r="AA35" s="162" t="e">
        <f>'Tehachapi Rev Req'!#REF!</f>
        <v>#REF!</v>
      </c>
      <c r="AB35" s="162" t="e">
        <f>'Tehachapi Rev Req'!#REF!</f>
        <v>#REF!</v>
      </c>
      <c r="AC35" s="162" t="e">
        <f>'Tehachapi Rev Req'!#REF!</f>
        <v>#REF!</v>
      </c>
      <c r="AD35" s="162" t="e">
        <f>'Tehachapi Rev Req'!#REF!</f>
        <v>#REF!</v>
      </c>
      <c r="AE35" s="162" t="e">
        <f>'Tehachapi Rev Req'!#REF!</f>
        <v>#REF!</v>
      </c>
      <c r="AF35" s="162" t="e">
        <f>'Tehachapi Rev Req'!#REF!</f>
        <v>#REF!</v>
      </c>
      <c r="AG35" s="162" t="e">
        <f>'Tehachapi Rev Req'!#REF!</f>
        <v>#REF!</v>
      </c>
      <c r="AH35" s="162" t="e">
        <f>'Tehachapi Rev Req'!#REF!</f>
        <v>#REF!</v>
      </c>
      <c r="AI35" s="162" t="e">
        <f>'Tehachapi Rev Req'!#REF!</f>
        <v>#REF!</v>
      </c>
      <c r="AJ35" s="162" t="e">
        <f>'Tehachapi Rev Req'!#REF!</f>
        <v>#REF!</v>
      </c>
      <c r="AK35" s="162" t="e">
        <f>'Tehachapi Rev Req'!#REF!</f>
        <v>#REF!</v>
      </c>
      <c r="AL35" s="162" t="e">
        <f>'Tehachapi Rev Req'!#REF!</f>
        <v>#REF!</v>
      </c>
    </row>
    <row r="36" spans="2:38" hidden="1">
      <c r="B36" s="3" t="s">
        <v>5</v>
      </c>
      <c r="C36" s="162" t="e">
        <f>'Rancho Vista Rev Req'!#REF!</f>
        <v>#REF!</v>
      </c>
      <c r="D36" s="162" t="e">
        <f>'Rancho Vista Rev Req'!#REF!</f>
        <v>#REF!</v>
      </c>
      <c r="E36" s="162" t="e">
        <f>'Rancho Vista Rev Req'!#REF!</f>
        <v>#REF!</v>
      </c>
      <c r="F36" s="162" t="e">
        <f>'Rancho Vista Rev Req'!#REF!</f>
        <v>#REF!</v>
      </c>
      <c r="G36" s="162" t="e">
        <f>'Rancho Vista Rev Req'!#REF!</f>
        <v>#REF!</v>
      </c>
      <c r="H36" s="162" t="e">
        <f>'Rancho Vista Rev Req'!#REF!</f>
        <v>#REF!</v>
      </c>
      <c r="I36" s="162" t="e">
        <f>'Rancho Vista Rev Req'!#REF!</f>
        <v>#REF!</v>
      </c>
      <c r="J36" s="162" t="e">
        <f>'Rancho Vista Rev Req'!#REF!</f>
        <v>#REF!</v>
      </c>
      <c r="K36" s="162" t="e">
        <f>'Rancho Vista Rev Req'!#REF!</f>
        <v>#REF!</v>
      </c>
      <c r="L36" s="162" t="e">
        <f>'Rancho Vista Rev Req'!#REF!</f>
        <v>#REF!</v>
      </c>
      <c r="M36" s="162" t="e">
        <f>'Rancho Vista Rev Req'!#REF!</f>
        <v>#REF!</v>
      </c>
      <c r="N36" s="162" t="e">
        <f>'Rancho Vista Rev Req'!#REF!</f>
        <v>#REF!</v>
      </c>
      <c r="O36" s="162" t="e">
        <f>'Rancho Vista Rev Req'!#REF!</f>
        <v>#REF!</v>
      </c>
      <c r="P36" s="162" t="e">
        <f>'Rancho Vista Rev Req'!#REF!</f>
        <v>#REF!</v>
      </c>
      <c r="Q36" s="162" t="e">
        <f>'Rancho Vista Rev Req'!#REF!</f>
        <v>#REF!</v>
      </c>
      <c r="R36" s="162" t="e">
        <f>'Rancho Vista Rev Req'!#REF!</f>
        <v>#REF!</v>
      </c>
      <c r="S36" s="162" t="e">
        <f>'Rancho Vista Rev Req'!#REF!</f>
        <v>#REF!</v>
      </c>
      <c r="T36" s="162" t="e">
        <f>'Rancho Vista Rev Req'!#REF!</f>
        <v>#REF!</v>
      </c>
      <c r="U36" s="162" t="e">
        <f>'Rancho Vista Rev Req'!#REF!</f>
        <v>#REF!</v>
      </c>
      <c r="V36" s="162" t="e">
        <f>'Rancho Vista Rev Req'!#REF!</f>
        <v>#REF!</v>
      </c>
      <c r="W36" s="162" t="e">
        <f>'Rancho Vista Rev Req'!#REF!</f>
        <v>#REF!</v>
      </c>
      <c r="X36" s="162" t="e">
        <f>'Rancho Vista Rev Req'!#REF!</f>
        <v>#REF!</v>
      </c>
      <c r="Y36" s="162" t="e">
        <f>'Rancho Vista Rev Req'!#REF!</f>
        <v>#REF!</v>
      </c>
      <c r="Z36" s="162" t="e">
        <f>'Rancho Vista Rev Req'!#REF!</f>
        <v>#REF!</v>
      </c>
      <c r="AA36" s="162" t="e">
        <f>'Rancho Vista Rev Req'!#REF!</f>
        <v>#REF!</v>
      </c>
      <c r="AB36" s="162" t="e">
        <f>'Rancho Vista Rev Req'!#REF!</f>
        <v>#REF!</v>
      </c>
      <c r="AC36" s="162" t="e">
        <f>'Rancho Vista Rev Req'!#REF!</f>
        <v>#REF!</v>
      </c>
      <c r="AD36" s="162" t="e">
        <f>'Rancho Vista Rev Req'!#REF!</f>
        <v>#REF!</v>
      </c>
      <c r="AE36" s="162" t="e">
        <f>'Rancho Vista Rev Req'!#REF!</f>
        <v>#REF!</v>
      </c>
      <c r="AF36" s="162" t="e">
        <f>'Rancho Vista Rev Req'!#REF!</f>
        <v>#REF!</v>
      </c>
      <c r="AG36" s="162" t="e">
        <f>'Rancho Vista Rev Req'!#REF!</f>
        <v>#REF!</v>
      </c>
      <c r="AH36" s="162" t="e">
        <f>'Rancho Vista Rev Req'!#REF!</f>
        <v>#REF!</v>
      </c>
      <c r="AI36" s="162" t="e">
        <f>'Rancho Vista Rev Req'!#REF!</f>
        <v>#REF!</v>
      </c>
      <c r="AJ36" s="162" t="e">
        <f>'Rancho Vista Rev Req'!#REF!</f>
        <v>#REF!</v>
      </c>
      <c r="AK36" s="162" t="e">
        <f>'Rancho Vista Rev Req'!#REF!</f>
        <v>#REF!</v>
      </c>
      <c r="AL36" s="162" t="e">
        <f>'Rancho Vista Rev Req'!#REF!</f>
        <v>#REF!</v>
      </c>
    </row>
    <row r="37" spans="2:38" ht="17.45" hidden="1" customHeight="1" thickBot="1">
      <c r="B37" s="3" t="s">
        <v>73</v>
      </c>
      <c r="C37" s="325" t="e">
        <f>SUM(C34:C36)</f>
        <v>#REF!</v>
      </c>
      <c r="D37" s="325" t="e">
        <f t="shared" ref="D37:AL37" si="5">SUM(D34:D36)</f>
        <v>#REF!</v>
      </c>
      <c r="E37" s="325" t="e">
        <f t="shared" si="5"/>
        <v>#REF!</v>
      </c>
      <c r="F37" s="325" t="e">
        <f t="shared" si="5"/>
        <v>#REF!</v>
      </c>
      <c r="G37" s="325" t="e">
        <f t="shared" si="5"/>
        <v>#REF!</v>
      </c>
      <c r="H37" s="325" t="e">
        <f t="shared" si="5"/>
        <v>#REF!</v>
      </c>
      <c r="I37" s="325" t="e">
        <f t="shared" si="5"/>
        <v>#REF!</v>
      </c>
      <c r="J37" s="325" t="e">
        <f t="shared" si="5"/>
        <v>#REF!</v>
      </c>
      <c r="K37" s="325" t="e">
        <f t="shared" si="5"/>
        <v>#REF!</v>
      </c>
      <c r="L37" s="325" t="e">
        <f t="shared" si="5"/>
        <v>#REF!</v>
      </c>
      <c r="M37" s="325" t="e">
        <f t="shared" si="5"/>
        <v>#REF!</v>
      </c>
      <c r="N37" s="325" t="e">
        <f t="shared" si="5"/>
        <v>#REF!</v>
      </c>
      <c r="O37" s="325" t="e">
        <f t="shared" si="5"/>
        <v>#REF!</v>
      </c>
      <c r="P37" s="325" t="e">
        <f t="shared" si="5"/>
        <v>#REF!</v>
      </c>
      <c r="Q37" s="325" t="e">
        <f t="shared" si="5"/>
        <v>#REF!</v>
      </c>
      <c r="R37" s="325" t="e">
        <f t="shared" si="5"/>
        <v>#REF!</v>
      </c>
      <c r="S37" s="325" t="e">
        <f t="shared" si="5"/>
        <v>#REF!</v>
      </c>
      <c r="T37" s="325" t="e">
        <f t="shared" si="5"/>
        <v>#REF!</v>
      </c>
      <c r="U37" s="325" t="e">
        <f t="shared" si="5"/>
        <v>#REF!</v>
      </c>
      <c r="V37" s="325" t="e">
        <f t="shared" si="5"/>
        <v>#REF!</v>
      </c>
      <c r="W37" s="325" t="e">
        <f t="shared" si="5"/>
        <v>#REF!</v>
      </c>
      <c r="X37" s="325" t="e">
        <f t="shared" si="5"/>
        <v>#REF!</v>
      </c>
      <c r="Y37" s="325" t="e">
        <f t="shared" si="5"/>
        <v>#REF!</v>
      </c>
      <c r="Z37" s="325" t="e">
        <f t="shared" si="5"/>
        <v>#REF!</v>
      </c>
      <c r="AA37" s="325" t="e">
        <f t="shared" si="5"/>
        <v>#REF!</v>
      </c>
      <c r="AB37" s="325" t="e">
        <f t="shared" si="5"/>
        <v>#REF!</v>
      </c>
      <c r="AC37" s="325" t="e">
        <f t="shared" si="5"/>
        <v>#REF!</v>
      </c>
      <c r="AD37" s="325" t="e">
        <f t="shared" si="5"/>
        <v>#REF!</v>
      </c>
      <c r="AE37" s="325" t="e">
        <f t="shared" si="5"/>
        <v>#REF!</v>
      </c>
      <c r="AF37" s="325" t="e">
        <f t="shared" si="5"/>
        <v>#REF!</v>
      </c>
      <c r="AG37" s="325" t="e">
        <f t="shared" si="5"/>
        <v>#REF!</v>
      </c>
      <c r="AH37" s="325" t="e">
        <f t="shared" si="5"/>
        <v>#REF!</v>
      </c>
      <c r="AI37" s="325" t="e">
        <f t="shared" si="5"/>
        <v>#REF!</v>
      </c>
      <c r="AJ37" s="325" t="e">
        <f t="shared" si="5"/>
        <v>#REF!</v>
      </c>
      <c r="AK37" s="325" t="e">
        <f t="shared" si="5"/>
        <v>#REF!</v>
      </c>
      <c r="AL37" s="325" t="e">
        <f t="shared" si="5"/>
        <v>#REF!</v>
      </c>
    </row>
    <row r="38" spans="2:38" ht="14.25" hidden="1" thickTop="1" thickBot="1">
      <c r="AE38" s="336"/>
      <c r="AF38" s="336"/>
      <c r="AG38" s="336"/>
      <c r="AH38" s="336"/>
      <c r="AI38" s="336"/>
      <c r="AJ38" s="336"/>
      <c r="AK38" s="336"/>
      <c r="AL38" s="336"/>
    </row>
    <row r="39" spans="2:38" ht="17.25" hidden="1" thickTop="1" thickBot="1">
      <c r="B39" s="327" t="s">
        <v>239</v>
      </c>
      <c r="C39" s="328" t="e">
        <f t="shared" ref="C39:AL39" si="6">C27-C37</f>
        <v>#REF!</v>
      </c>
      <c r="D39" s="328" t="e">
        <f t="shared" si="6"/>
        <v>#REF!</v>
      </c>
      <c r="E39" s="328" t="e">
        <f t="shared" si="6"/>
        <v>#REF!</v>
      </c>
      <c r="F39" s="328" t="e">
        <f t="shared" si="6"/>
        <v>#REF!</v>
      </c>
      <c r="G39" s="328" t="e">
        <f t="shared" si="6"/>
        <v>#REF!</v>
      </c>
      <c r="H39" s="328" t="e">
        <f t="shared" si="6"/>
        <v>#REF!</v>
      </c>
      <c r="I39" s="328" t="e">
        <f t="shared" si="6"/>
        <v>#REF!</v>
      </c>
      <c r="J39" s="328" t="e">
        <f t="shared" si="6"/>
        <v>#REF!</v>
      </c>
      <c r="K39" s="328" t="e">
        <f t="shared" si="6"/>
        <v>#REF!</v>
      </c>
      <c r="L39" s="328" t="e">
        <f t="shared" si="6"/>
        <v>#REF!</v>
      </c>
      <c r="M39" s="328" t="e">
        <f t="shared" si="6"/>
        <v>#REF!</v>
      </c>
      <c r="N39" s="328" t="e">
        <f t="shared" si="6"/>
        <v>#REF!</v>
      </c>
      <c r="O39" s="328" t="e">
        <f t="shared" si="6"/>
        <v>#REF!</v>
      </c>
      <c r="P39" s="328" t="e">
        <f t="shared" si="6"/>
        <v>#REF!</v>
      </c>
      <c r="Q39" s="328" t="e">
        <f t="shared" si="6"/>
        <v>#REF!</v>
      </c>
      <c r="R39" s="328" t="e">
        <f t="shared" si="6"/>
        <v>#REF!</v>
      </c>
      <c r="S39" s="328" t="e">
        <f t="shared" si="6"/>
        <v>#REF!</v>
      </c>
      <c r="T39" s="328" t="e">
        <f t="shared" si="6"/>
        <v>#REF!</v>
      </c>
      <c r="U39" s="328" t="e">
        <f t="shared" si="6"/>
        <v>#REF!</v>
      </c>
      <c r="V39" s="328" t="e">
        <f t="shared" si="6"/>
        <v>#REF!</v>
      </c>
      <c r="W39" s="328" t="e">
        <f t="shared" si="6"/>
        <v>#REF!</v>
      </c>
      <c r="X39" s="328" t="e">
        <f t="shared" si="6"/>
        <v>#REF!</v>
      </c>
      <c r="Y39" s="328" t="e">
        <f t="shared" si="6"/>
        <v>#REF!</v>
      </c>
      <c r="Z39" s="328" t="e">
        <f t="shared" si="6"/>
        <v>#REF!</v>
      </c>
      <c r="AA39" s="328" t="e">
        <f t="shared" si="6"/>
        <v>#REF!</v>
      </c>
      <c r="AB39" s="328" t="e">
        <f t="shared" si="6"/>
        <v>#REF!</v>
      </c>
      <c r="AC39" s="328" t="e">
        <f t="shared" si="6"/>
        <v>#REF!</v>
      </c>
      <c r="AD39" s="328" t="e">
        <f t="shared" si="6"/>
        <v>#REF!</v>
      </c>
      <c r="AE39" s="335" t="e">
        <f t="shared" si="6"/>
        <v>#REF!</v>
      </c>
      <c r="AF39" s="335" t="e">
        <f t="shared" si="6"/>
        <v>#REF!</v>
      </c>
      <c r="AG39" s="335" t="e">
        <f t="shared" si="6"/>
        <v>#REF!</v>
      </c>
      <c r="AH39" s="335" t="e">
        <f t="shared" si="6"/>
        <v>#REF!</v>
      </c>
      <c r="AI39" s="335" t="e">
        <f t="shared" si="6"/>
        <v>#REF!</v>
      </c>
      <c r="AJ39" s="335" t="e">
        <f t="shared" si="6"/>
        <v>#REF!</v>
      </c>
      <c r="AK39" s="335" t="e">
        <f t="shared" si="6"/>
        <v>#REF!</v>
      </c>
      <c r="AL39" s="335" t="e">
        <f t="shared" si="6"/>
        <v>#REF!</v>
      </c>
    </row>
    <row r="40" spans="2:38" ht="14.25" hidden="1" thickTop="1" thickBot="1">
      <c r="AE40" s="337"/>
      <c r="AF40" s="337"/>
      <c r="AG40" s="337"/>
      <c r="AH40" s="337"/>
      <c r="AI40" s="337"/>
      <c r="AJ40" s="337"/>
      <c r="AK40" s="337"/>
      <c r="AL40" s="337"/>
    </row>
    <row r="41" spans="2:38" ht="17.25" hidden="1" thickTop="1" thickBot="1">
      <c r="B41" s="327" t="s">
        <v>238</v>
      </c>
      <c r="C41" s="328" t="e">
        <f>C29-C39</f>
        <v>#REF!</v>
      </c>
      <c r="D41" s="328" t="e">
        <f>D29-D39</f>
        <v>#REF!</v>
      </c>
      <c r="E41" s="328" t="e">
        <f>D41+E39</f>
        <v>#REF!</v>
      </c>
      <c r="F41" s="328" t="e">
        <f t="shared" ref="F41:AE41" si="7">E41+F39</f>
        <v>#REF!</v>
      </c>
      <c r="G41" s="328" t="e">
        <f t="shared" si="7"/>
        <v>#REF!</v>
      </c>
      <c r="H41" s="328" t="e">
        <f t="shared" si="7"/>
        <v>#REF!</v>
      </c>
      <c r="I41" s="328" t="e">
        <f t="shared" si="7"/>
        <v>#REF!</v>
      </c>
      <c r="J41" s="328" t="e">
        <f t="shared" si="7"/>
        <v>#REF!</v>
      </c>
      <c r="K41" s="328" t="e">
        <f t="shared" si="7"/>
        <v>#REF!</v>
      </c>
      <c r="L41" s="328" t="e">
        <f t="shared" si="7"/>
        <v>#REF!</v>
      </c>
      <c r="M41" s="328" t="e">
        <f t="shared" si="7"/>
        <v>#REF!</v>
      </c>
      <c r="N41" s="328" t="e">
        <f t="shared" si="7"/>
        <v>#REF!</v>
      </c>
      <c r="O41" s="328" t="e">
        <f t="shared" si="7"/>
        <v>#REF!</v>
      </c>
      <c r="P41" s="328" t="e">
        <f t="shared" si="7"/>
        <v>#REF!</v>
      </c>
      <c r="Q41" s="328" t="e">
        <f t="shared" si="7"/>
        <v>#REF!</v>
      </c>
      <c r="R41" s="328" t="e">
        <f t="shared" si="7"/>
        <v>#REF!</v>
      </c>
      <c r="S41" s="328" t="e">
        <f t="shared" si="7"/>
        <v>#REF!</v>
      </c>
      <c r="T41" s="328" t="e">
        <f t="shared" si="7"/>
        <v>#REF!</v>
      </c>
      <c r="U41" s="328" t="e">
        <f t="shared" si="7"/>
        <v>#REF!</v>
      </c>
      <c r="V41" s="328" t="e">
        <f t="shared" si="7"/>
        <v>#REF!</v>
      </c>
      <c r="W41" s="328" t="e">
        <f t="shared" si="7"/>
        <v>#REF!</v>
      </c>
      <c r="X41" s="328" t="e">
        <f t="shared" si="7"/>
        <v>#REF!</v>
      </c>
      <c r="Y41" s="328" t="e">
        <f t="shared" si="7"/>
        <v>#REF!</v>
      </c>
      <c r="Z41" s="328" t="e">
        <f t="shared" si="7"/>
        <v>#REF!</v>
      </c>
      <c r="AA41" s="328" t="e">
        <f t="shared" si="7"/>
        <v>#REF!</v>
      </c>
      <c r="AB41" s="328" t="e">
        <f t="shared" si="7"/>
        <v>#REF!</v>
      </c>
      <c r="AC41" s="328" t="e">
        <f t="shared" si="7"/>
        <v>#REF!</v>
      </c>
      <c r="AD41" s="328" t="e">
        <f t="shared" si="7"/>
        <v>#REF!</v>
      </c>
      <c r="AE41" s="328" t="e">
        <f t="shared" si="7"/>
        <v>#REF!</v>
      </c>
      <c r="AF41" s="328" t="e">
        <f t="shared" ref="AF41:AL41" si="8">AF29-AF39</f>
        <v>#REF!</v>
      </c>
      <c r="AG41" s="328" t="e">
        <f t="shared" si="8"/>
        <v>#REF!</v>
      </c>
      <c r="AH41" s="328" t="e">
        <f t="shared" si="8"/>
        <v>#REF!</v>
      </c>
      <c r="AI41" s="328" t="e">
        <f t="shared" si="8"/>
        <v>#REF!</v>
      </c>
      <c r="AJ41" s="328" t="e">
        <f t="shared" si="8"/>
        <v>#REF!</v>
      </c>
      <c r="AK41" s="328" t="e">
        <f t="shared" si="8"/>
        <v>#REF!</v>
      </c>
      <c r="AL41" s="328" t="e">
        <f t="shared" si="8"/>
        <v>#REF!</v>
      </c>
    </row>
    <row r="42" spans="2:38" ht="13.5" hidden="1" thickTop="1"/>
  </sheetData>
  <mergeCells count="26">
    <mergeCell ref="A11:B11"/>
    <mergeCell ref="AM14:AX14"/>
    <mergeCell ref="A15:B15"/>
    <mergeCell ref="C14:N14"/>
    <mergeCell ref="AA14:AL14"/>
    <mergeCell ref="O14:Z14"/>
    <mergeCell ref="O1:Z1"/>
    <mergeCell ref="O2:Z2"/>
    <mergeCell ref="O3:Z3"/>
    <mergeCell ref="O4:Z4"/>
    <mergeCell ref="O5:Z5"/>
    <mergeCell ref="C1:N1"/>
    <mergeCell ref="C2:N2"/>
    <mergeCell ref="C3:N3"/>
    <mergeCell ref="C4:N4"/>
    <mergeCell ref="C5:N5"/>
    <mergeCell ref="AA2:AL2"/>
    <mergeCell ref="AA3:AL3"/>
    <mergeCell ref="AA4:AL4"/>
    <mergeCell ref="AA5:AL5"/>
    <mergeCell ref="AM1:AX1"/>
    <mergeCell ref="AM2:AX2"/>
    <mergeCell ref="AM3:AX3"/>
    <mergeCell ref="AM4:AX4"/>
    <mergeCell ref="AM5:AX5"/>
    <mergeCell ref="AA1:AL1"/>
  </mergeCells>
  <phoneticPr fontId="4" type="noConversion"/>
  <printOptions horizontalCentered="1"/>
  <pageMargins left="0.38" right="0.37" top="1" bottom="1" header="0.5" footer="0.5"/>
  <pageSetup scale="56" fitToWidth="0" orientation="landscape" r:id="rId1"/>
  <headerFooter alignWithMargins="0">
    <oddHeader>&amp;RTO9 Annual Update
Attachment 4
WP-Schedule 3-CWIPBA Model
Page &amp;P of &amp;N</oddHeader>
    <oddFooter>&amp;R&amp;A</oddFooter>
  </headerFooter>
  <colBreaks count="3" manualBreakCount="3">
    <brk id="14" max="29" man="1"/>
    <brk id="26" max="29" man="1"/>
    <brk id="38" max="2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3"/>
  <sheetViews>
    <sheetView zoomScaleNormal="100" workbookViewId="0">
      <selection sqref="A1:K1"/>
    </sheetView>
  </sheetViews>
  <sheetFormatPr defaultRowHeight="12.75"/>
  <cols>
    <col min="1" max="1" width="3.85546875" bestFit="1" customWidth="1"/>
    <col min="2" max="2" width="47.140625" customWidth="1"/>
    <col min="3" max="7" width="10.140625" bestFit="1" customWidth="1"/>
    <col min="8" max="8" width="10.85546875" bestFit="1" customWidth="1"/>
    <col min="9" max="9" width="9.140625" customWidth="1"/>
    <col min="10" max="10" width="9.28515625" bestFit="1" customWidth="1"/>
    <col min="11" max="11" width="9.140625" customWidth="1"/>
  </cols>
  <sheetData>
    <row r="1" spans="1:11" ht="15.75">
      <c r="A1" s="647" t="s">
        <v>0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</row>
    <row r="2" spans="1:11" ht="15">
      <c r="A2" s="648" t="s">
        <v>6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</row>
    <row r="3" spans="1:11" ht="15">
      <c r="A3" s="649" t="s">
        <v>326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</row>
    <row r="4" spans="1:11">
      <c r="A4" s="650" t="s">
        <v>1</v>
      </c>
      <c r="B4" s="650"/>
      <c r="C4" s="650"/>
      <c r="D4" s="650"/>
      <c r="E4" s="650"/>
      <c r="F4" s="650"/>
      <c r="G4" s="650"/>
      <c r="H4" s="650"/>
      <c r="I4" s="650"/>
      <c r="J4" s="650"/>
      <c r="K4" s="650"/>
    </row>
    <row r="5" spans="1:11" ht="15.75">
      <c r="A5" s="647" t="s">
        <v>7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</row>
    <row r="6" spans="1:11">
      <c r="A6" s="354"/>
      <c r="B6" s="355"/>
      <c r="C6" s="355"/>
      <c r="D6" s="355"/>
      <c r="E6" s="355"/>
      <c r="F6" s="355"/>
      <c r="G6" s="355"/>
      <c r="H6" s="355"/>
      <c r="I6" s="355"/>
      <c r="J6" s="355"/>
      <c r="K6" s="355"/>
    </row>
    <row r="7" spans="1:11">
      <c r="A7" s="354"/>
      <c r="B7" s="355"/>
      <c r="C7" s="355"/>
      <c r="D7" s="355"/>
      <c r="E7" s="355"/>
      <c r="F7" s="355"/>
      <c r="G7" s="355"/>
      <c r="H7" s="355"/>
      <c r="I7" s="355"/>
      <c r="J7" s="355"/>
      <c r="K7" s="355"/>
    </row>
    <row r="8" spans="1:11">
      <c r="A8" s="356" t="s">
        <v>2</v>
      </c>
      <c r="B8" s="357"/>
      <c r="C8" s="355"/>
      <c r="D8" s="355"/>
      <c r="E8" s="355"/>
      <c r="F8" s="355"/>
      <c r="G8" s="355"/>
      <c r="H8" s="355"/>
      <c r="I8" s="355"/>
      <c r="J8" s="355"/>
      <c r="K8" s="355"/>
    </row>
    <row r="9" spans="1:11">
      <c r="A9" s="354">
        <v>1</v>
      </c>
      <c r="B9" s="358" t="s">
        <v>110</v>
      </c>
      <c r="C9" s="355"/>
      <c r="D9" s="355"/>
      <c r="E9" s="355"/>
      <c r="F9" s="355"/>
      <c r="G9" s="355"/>
      <c r="H9" s="355"/>
      <c r="I9" s="355"/>
      <c r="J9" s="355"/>
      <c r="K9" s="355"/>
    </row>
    <row r="10" spans="1:11">
      <c r="A10" s="359">
        <v>2</v>
      </c>
      <c r="B10" s="355" t="s">
        <v>61</v>
      </c>
      <c r="C10" s="355"/>
      <c r="D10" s="355"/>
      <c r="E10" s="355"/>
      <c r="F10" s="355"/>
      <c r="G10" s="355"/>
      <c r="H10" s="355"/>
      <c r="I10" s="355"/>
      <c r="J10" s="355"/>
      <c r="K10" s="355"/>
    </row>
    <row r="11" spans="1:11" ht="15.75">
      <c r="A11" s="354">
        <v>3</v>
      </c>
      <c r="B11" s="360" t="s">
        <v>95</v>
      </c>
      <c r="C11" s="355"/>
      <c r="D11" s="355"/>
      <c r="E11" s="355"/>
      <c r="F11" s="355"/>
      <c r="G11" s="355"/>
      <c r="H11" s="355"/>
      <c r="I11" s="355"/>
      <c r="J11" s="355"/>
      <c r="K11" s="355"/>
    </row>
    <row r="12" spans="1:11">
      <c r="A12" s="359">
        <v>4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</row>
    <row r="13" spans="1:11">
      <c r="A13" s="354">
        <v>5</v>
      </c>
      <c r="B13" s="361" t="s">
        <v>62</v>
      </c>
      <c r="C13" s="355"/>
      <c r="D13" s="355"/>
      <c r="E13" s="355"/>
      <c r="F13" s="355"/>
      <c r="G13" s="355"/>
      <c r="H13" s="355"/>
      <c r="I13" s="355"/>
      <c r="J13" s="355"/>
      <c r="K13" s="355"/>
    </row>
    <row r="14" spans="1:11" ht="15.75">
      <c r="A14" s="359">
        <v>6</v>
      </c>
      <c r="B14" s="360" t="s">
        <v>66</v>
      </c>
      <c r="C14" s="355"/>
      <c r="D14" s="355"/>
      <c r="E14" s="355"/>
      <c r="F14" s="355"/>
      <c r="G14" s="355"/>
      <c r="H14" s="355"/>
      <c r="I14" s="355"/>
      <c r="J14" s="355"/>
      <c r="K14" s="355"/>
    </row>
    <row r="15" spans="1:11">
      <c r="A15" s="354">
        <v>7</v>
      </c>
      <c r="B15" s="361"/>
      <c r="C15" s="355"/>
      <c r="D15" s="355"/>
      <c r="E15" s="355"/>
      <c r="F15" s="355"/>
      <c r="G15" s="355"/>
      <c r="H15" s="355"/>
      <c r="I15" s="355"/>
      <c r="J15" s="355"/>
      <c r="K15" s="355"/>
    </row>
    <row r="16" spans="1:11" ht="15.75">
      <c r="A16" s="359">
        <v>8</v>
      </c>
      <c r="B16" s="362" t="s">
        <v>97</v>
      </c>
      <c r="C16" s="646">
        <v>2011</v>
      </c>
      <c r="D16" s="646"/>
      <c r="E16" s="646"/>
      <c r="F16" s="646"/>
      <c r="G16" s="646"/>
      <c r="H16" s="646"/>
      <c r="I16" s="646"/>
      <c r="J16" s="646"/>
      <c r="K16" s="646"/>
    </row>
    <row r="17" spans="1:14" ht="21" thickBot="1">
      <c r="A17" s="354">
        <v>9</v>
      </c>
      <c r="B17" s="363" t="s">
        <v>333</v>
      </c>
      <c r="C17" s="535" t="s">
        <v>78</v>
      </c>
      <c r="D17" s="535" t="s">
        <v>75</v>
      </c>
      <c r="E17" s="535" t="s">
        <v>79</v>
      </c>
      <c r="F17" s="535" t="s">
        <v>80</v>
      </c>
      <c r="G17" s="535" t="s">
        <v>81</v>
      </c>
      <c r="H17" s="535" t="s">
        <v>82</v>
      </c>
      <c r="I17" s="535" t="s">
        <v>83</v>
      </c>
      <c r="J17" s="535" t="s">
        <v>84</v>
      </c>
      <c r="K17" s="535" t="s">
        <v>101</v>
      </c>
    </row>
    <row r="18" spans="1:14" ht="42" thickTop="1">
      <c r="A18" s="359">
        <v>10</v>
      </c>
      <c r="B18" s="472" t="s">
        <v>17</v>
      </c>
      <c r="C18" s="366"/>
      <c r="D18" s="355"/>
      <c r="E18" s="355"/>
      <c r="F18" s="355"/>
      <c r="G18" s="355"/>
      <c r="H18" s="355"/>
      <c r="I18" s="355"/>
      <c r="J18" s="355"/>
      <c r="K18" s="355"/>
    </row>
    <row r="19" spans="1:14">
      <c r="A19" s="367">
        <v>11</v>
      </c>
      <c r="B19" s="368" t="s">
        <v>146</v>
      </c>
      <c r="C19" s="369">
        <f>'Whirlwind CWIP Balance'!E15+'Def Tax'!F775</f>
        <v>26.16413</v>
      </c>
      <c r="D19" s="370">
        <f t="shared" ref="D19:K19" si="0">C20</f>
        <v>40.885031342229162</v>
      </c>
      <c r="E19" s="370">
        <f t="shared" si="0"/>
        <v>119.89148007596589</v>
      </c>
      <c r="F19" s="370">
        <f t="shared" si="0"/>
        <v>218.12955539948905</v>
      </c>
      <c r="G19" s="370">
        <f t="shared" si="0"/>
        <v>236.66687912631181</v>
      </c>
      <c r="H19" s="370">
        <f t="shared" si="0"/>
        <v>371.84167887350679</v>
      </c>
      <c r="I19" s="370">
        <f t="shared" si="0"/>
        <v>630.36769384682179</v>
      </c>
      <c r="J19" s="370">
        <f t="shared" si="0"/>
        <v>1603.9510735493784</v>
      </c>
      <c r="K19" s="370">
        <f t="shared" si="0"/>
        <v>2618.6882952642441</v>
      </c>
      <c r="L19" s="370"/>
      <c r="M19" s="370"/>
      <c r="N19" s="370"/>
    </row>
    <row r="20" spans="1:14">
      <c r="A20" s="371">
        <v>12</v>
      </c>
      <c r="B20" s="368" t="s">
        <v>147</v>
      </c>
      <c r="C20" s="372">
        <f>'Whirlwind CWIP Balance'!$E$16+'Def Tax'!$F$776</f>
        <v>40.885031342229162</v>
      </c>
      <c r="D20" s="372">
        <f>'Whirlwind CWIP Balance'!$E$17+'Def Tax'!$F$777</f>
        <v>119.89148007596589</v>
      </c>
      <c r="E20" s="372">
        <f>'Whirlwind CWIP Balance'!$E$18+'Def Tax'!$F$778</f>
        <v>218.12955539948905</v>
      </c>
      <c r="F20" s="372">
        <f>'Whirlwind CWIP Balance'!$E$19+'Def Tax'!$F$779</f>
        <v>236.66687912631181</v>
      </c>
      <c r="G20" s="372">
        <f>'Whirlwind CWIP Balance'!$E$20+'Def Tax'!$F$780</f>
        <v>371.84167887350679</v>
      </c>
      <c r="H20" s="372">
        <f>'Whirlwind CWIP Balance'!$E$21+'Def Tax'!$F$781</f>
        <v>630.36769384682179</v>
      </c>
      <c r="I20" s="372">
        <f>'Whirlwind CWIP Balance'!$E$22+'Def Tax'!$F$782</f>
        <v>1603.9510735493784</v>
      </c>
      <c r="J20" s="372">
        <f>'Whirlwind CWIP Balance'!$E$23+'Def Tax'!$F$783</f>
        <v>2618.6882952642441</v>
      </c>
      <c r="K20" s="372">
        <f>'Whirlwind CWIP Balance'!$E$24+'Def Tax'!$F$784</f>
        <v>2894.4977152642441</v>
      </c>
    </row>
    <row r="21" spans="1:14">
      <c r="A21" s="367">
        <v>13</v>
      </c>
      <c r="B21" s="368" t="s">
        <v>12</v>
      </c>
      <c r="C21" s="452">
        <f>SUM(C19:C20)</f>
        <v>67.049161342229155</v>
      </c>
      <c r="D21" s="452">
        <f>SUM(D19:D20)</f>
        <v>160.77651141819504</v>
      </c>
      <c r="E21" s="452">
        <f t="shared" ref="E21:K21" si="1">SUM(E19:E20)</f>
        <v>338.02103547545494</v>
      </c>
      <c r="F21" s="452">
        <f t="shared" si="1"/>
        <v>454.79643452580086</v>
      </c>
      <c r="G21" s="452">
        <f t="shared" si="1"/>
        <v>608.50855799981855</v>
      </c>
      <c r="H21" s="452">
        <f t="shared" si="1"/>
        <v>1002.2093727203286</v>
      </c>
      <c r="I21" s="452">
        <f t="shared" si="1"/>
        <v>2234.3187673962002</v>
      </c>
      <c r="J21" s="452">
        <f t="shared" si="1"/>
        <v>4222.6393688136222</v>
      </c>
      <c r="K21" s="452">
        <f t="shared" si="1"/>
        <v>5513.1860105284886</v>
      </c>
    </row>
    <row r="22" spans="1:14">
      <c r="A22" s="359">
        <v>14</v>
      </c>
      <c r="B22" s="466" t="s">
        <v>13</v>
      </c>
      <c r="C22" s="460">
        <f>C21/2</f>
        <v>33.524580671114578</v>
      </c>
      <c r="D22" s="460">
        <f>D21/2</f>
        <v>80.388255709097521</v>
      </c>
      <c r="E22" s="460">
        <f t="shared" ref="E22:K22" si="2">E21/2</f>
        <v>169.01051773772747</v>
      </c>
      <c r="F22" s="460">
        <f t="shared" si="2"/>
        <v>227.39821726290043</v>
      </c>
      <c r="G22" s="460">
        <f t="shared" si="2"/>
        <v>304.25427899990927</v>
      </c>
      <c r="H22" s="460">
        <f t="shared" si="2"/>
        <v>501.10468636016429</v>
      </c>
      <c r="I22" s="460">
        <f t="shared" si="2"/>
        <v>1117.1593836981001</v>
      </c>
      <c r="J22" s="460">
        <f t="shared" si="2"/>
        <v>2111.3196844068111</v>
      </c>
      <c r="K22" s="460">
        <f t="shared" si="2"/>
        <v>2756.5930052642443</v>
      </c>
    </row>
    <row r="23" spans="1:14">
      <c r="A23" s="354">
        <v>15</v>
      </c>
      <c r="B23" s="368"/>
      <c r="C23" s="453"/>
      <c r="D23" s="453"/>
      <c r="E23" s="453"/>
      <c r="F23" s="453"/>
      <c r="G23" s="453"/>
      <c r="H23" s="453"/>
      <c r="I23" s="453"/>
      <c r="J23" s="453"/>
      <c r="K23" s="453"/>
    </row>
    <row r="24" spans="1:14" ht="28.5">
      <c r="A24" s="359">
        <v>16</v>
      </c>
      <c r="B24" s="472" t="s">
        <v>14</v>
      </c>
      <c r="C24" s="453"/>
      <c r="D24" s="453"/>
      <c r="E24" s="453"/>
      <c r="F24" s="453"/>
      <c r="G24" s="453"/>
      <c r="H24" s="453"/>
      <c r="I24" s="453"/>
      <c r="J24" s="453"/>
      <c r="K24" s="453"/>
    </row>
    <row r="25" spans="1:14">
      <c r="A25" s="367">
        <v>17</v>
      </c>
      <c r="B25" s="374" t="s">
        <v>47</v>
      </c>
      <c r="C25" s="375">
        <f>'Cost of Capital'!$D$169</f>
        <v>8.3139999999999992E-2</v>
      </c>
      <c r="D25" s="375">
        <f>'Cost of Capital'!$D$169</f>
        <v>8.3139999999999992E-2</v>
      </c>
      <c r="E25" s="375">
        <f>'Cost of Capital'!$D$169</f>
        <v>8.3139999999999992E-2</v>
      </c>
      <c r="F25" s="375">
        <f>'Cost of Capital'!$D$169</f>
        <v>8.3139999999999992E-2</v>
      </c>
      <c r="G25" s="375">
        <f>'Cost of Capital'!$D$169</f>
        <v>8.3139999999999992E-2</v>
      </c>
      <c r="H25" s="375">
        <f>'Cost of Capital'!$D$169</f>
        <v>8.3139999999999992E-2</v>
      </c>
      <c r="I25" s="375">
        <f>'Cost of Capital'!$D$169</f>
        <v>8.3139999999999992E-2</v>
      </c>
      <c r="J25" s="375">
        <f>'Cost of Capital'!$D$169</f>
        <v>8.3139999999999992E-2</v>
      </c>
      <c r="K25" s="375">
        <f>'Cost of Capital'!$D$169</f>
        <v>8.3139999999999992E-2</v>
      </c>
    </row>
    <row r="26" spans="1:14">
      <c r="A26" s="359">
        <v>18</v>
      </c>
      <c r="B26" s="466" t="s">
        <v>48</v>
      </c>
      <c r="C26" s="441">
        <f>'Cost of Capital'!$D$170</f>
        <v>6.9283333333333324E-3</v>
      </c>
      <c r="D26" s="441">
        <f>'Cost of Capital'!$D$170</f>
        <v>6.9283333333333324E-3</v>
      </c>
      <c r="E26" s="441">
        <f>'Cost of Capital'!$D$170</f>
        <v>6.9283333333333324E-3</v>
      </c>
      <c r="F26" s="441">
        <f>'Cost of Capital'!$D$170</f>
        <v>6.9283333333333324E-3</v>
      </c>
      <c r="G26" s="441">
        <f>'Cost of Capital'!$D$170</f>
        <v>6.9283333333333324E-3</v>
      </c>
      <c r="H26" s="441">
        <f>'Cost of Capital'!$D$170</f>
        <v>6.9283333333333324E-3</v>
      </c>
      <c r="I26" s="441">
        <f>'Cost of Capital'!$D$170</f>
        <v>6.9283333333333324E-3</v>
      </c>
      <c r="J26" s="441">
        <f>'Cost of Capital'!$D$170</f>
        <v>6.9283333333333324E-3</v>
      </c>
      <c r="K26" s="441">
        <f>'Cost of Capital'!$D$170</f>
        <v>6.9283333333333324E-3</v>
      </c>
    </row>
    <row r="27" spans="1:14">
      <c r="A27" s="354">
        <v>19</v>
      </c>
      <c r="B27" s="368"/>
      <c r="C27" s="453"/>
      <c r="D27" s="453"/>
      <c r="E27" s="453"/>
      <c r="F27" s="453"/>
      <c r="G27" s="453"/>
      <c r="H27" s="453"/>
      <c r="I27" s="453"/>
      <c r="J27" s="453"/>
      <c r="K27" s="453"/>
    </row>
    <row r="28" spans="1:14" ht="15.75">
      <c r="A28" s="359">
        <v>20</v>
      </c>
      <c r="B28" s="473" t="s">
        <v>65</v>
      </c>
      <c r="C28" s="453"/>
      <c r="D28" s="453"/>
      <c r="E28" s="453"/>
      <c r="F28" s="453"/>
      <c r="G28" s="453"/>
      <c r="H28" s="453"/>
      <c r="I28" s="453"/>
      <c r="J28" s="453"/>
      <c r="K28" s="453"/>
    </row>
    <row r="29" spans="1:14">
      <c r="A29" s="354">
        <v>21</v>
      </c>
      <c r="B29" s="474" t="s">
        <v>91</v>
      </c>
      <c r="C29" s="453"/>
      <c r="D29" s="453"/>
      <c r="E29" s="453"/>
      <c r="F29" s="453"/>
      <c r="G29" s="453"/>
      <c r="H29" s="453"/>
      <c r="I29" s="453"/>
      <c r="J29" s="453"/>
      <c r="K29" s="453"/>
    </row>
    <row r="30" spans="1:14">
      <c r="A30" s="359">
        <v>22</v>
      </c>
      <c r="B30" s="475" t="s">
        <v>15</v>
      </c>
      <c r="C30" s="453"/>
      <c r="D30" s="453"/>
      <c r="E30" s="453"/>
      <c r="F30" s="453"/>
      <c r="G30" s="453"/>
      <c r="H30" s="453"/>
      <c r="I30" s="453"/>
      <c r="J30" s="453"/>
      <c r="K30" s="453"/>
    </row>
    <row r="31" spans="1:14" ht="25.5">
      <c r="A31" s="354">
        <v>23</v>
      </c>
      <c r="B31" s="476" t="s">
        <v>92</v>
      </c>
      <c r="C31" s="453"/>
      <c r="D31" s="453"/>
      <c r="E31" s="453"/>
      <c r="F31" s="453"/>
      <c r="G31" s="453"/>
      <c r="H31" s="453"/>
      <c r="I31" s="453"/>
      <c r="J31" s="453"/>
      <c r="K31" s="453"/>
    </row>
    <row r="32" spans="1:14" ht="25.5">
      <c r="A32" s="359">
        <v>24</v>
      </c>
      <c r="B32" s="477" t="s">
        <v>19</v>
      </c>
      <c r="C32" s="453"/>
      <c r="D32" s="453"/>
      <c r="E32" s="453"/>
      <c r="F32" s="453"/>
      <c r="G32" s="453"/>
      <c r="H32" s="453"/>
      <c r="I32" s="453"/>
      <c r="J32" s="453"/>
      <c r="K32" s="453"/>
    </row>
    <row r="33" spans="1:11">
      <c r="A33" s="367">
        <v>25</v>
      </c>
      <c r="B33" s="368" t="s">
        <v>20</v>
      </c>
      <c r="C33" s="381">
        <f>'Cost of Capital'!$D$166</f>
        <v>2.58E-2</v>
      </c>
      <c r="D33" s="381">
        <f>'Cost of Capital'!$D$166</f>
        <v>2.58E-2</v>
      </c>
      <c r="E33" s="381">
        <f>'Cost of Capital'!$D$166</f>
        <v>2.58E-2</v>
      </c>
      <c r="F33" s="381">
        <f>'Cost of Capital'!$D$166</f>
        <v>2.58E-2</v>
      </c>
      <c r="G33" s="381">
        <f>'Cost of Capital'!$D$166</f>
        <v>2.58E-2</v>
      </c>
      <c r="H33" s="381">
        <f>'Cost of Capital'!$D$166</f>
        <v>2.58E-2</v>
      </c>
      <c r="I33" s="381">
        <f>'Cost of Capital'!$D$166</f>
        <v>2.58E-2</v>
      </c>
      <c r="J33" s="381">
        <f>'Cost of Capital'!$D$166</f>
        <v>2.58E-2</v>
      </c>
      <c r="K33" s="381">
        <f>'Cost of Capital'!$D$166</f>
        <v>2.58E-2</v>
      </c>
    </row>
    <row r="34" spans="1:11">
      <c r="A34" s="359">
        <v>26</v>
      </c>
      <c r="B34" s="368" t="s">
        <v>21</v>
      </c>
      <c r="C34" s="461">
        <f>C33/12</f>
        <v>2.15E-3</v>
      </c>
      <c r="D34" s="461">
        <f>D33/12</f>
        <v>2.15E-3</v>
      </c>
      <c r="E34" s="461">
        <f t="shared" ref="E34:K34" si="3">E33/12</f>
        <v>2.15E-3</v>
      </c>
      <c r="F34" s="461">
        <f t="shared" si="3"/>
        <v>2.15E-3</v>
      </c>
      <c r="G34" s="461">
        <f t="shared" si="3"/>
        <v>2.15E-3</v>
      </c>
      <c r="H34" s="461">
        <f t="shared" si="3"/>
        <v>2.15E-3</v>
      </c>
      <c r="I34" s="461">
        <f t="shared" si="3"/>
        <v>2.15E-3</v>
      </c>
      <c r="J34" s="461">
        <f t="shared" si="3"/>
        <v>2.15E-3</v>
      </c>
      <c r="K34" s="461">
        <f t="shared" si="3"/>
        <v>2.15E-3</v>
      </c>
    </row>
    <row r="35" spans="1:11" ht="25.5">
      <c r="A35" s="354">
        <v>27</v>
      </c>
      <c r="B35" s="477" t="s">
        <v>22</v>
      </c>
      <c r="C35" s="453"/>
      <c r="D35" s="453"/>
      <c r="E35" s="453"/>
      <c r="F35" s="453"/>
      <c r="G35" s="453"/>
      <c r="H35" s="453"/>
      <c r="I35" s="453"/>
      <c r="J35" s="453"/>
      <c r="K35" s="453"/>
    </row>
    <row r="36" spans="1:11">
      <c r="A36" s="359">
        <v>28</v>
      </c>
      <c r="B36" s="368" t="s">
        <v>18</v>
      </c>
      <c r="C36" s="462">
        <f>'Def Tax'!$E758</f>
        <v>0.13627151041666666</v>
      </c>
      <c r="D36" s="462">
        <f>'Def Tax'!$E759</f>
        <v>0.21345985161675346</v>
      </c>
      <c r="E36" s="462">
        <f>'Def Tax'!$E760</f>
        <v>0.62579933001059074</v>
      </c>
      <c r="F36" s="462">
        <f>'Def Tax'!$E761</f>
        <v>1.1400514098543959</v>
      </c>
      <c r="G36" s="462">
        <f>'Def Tax'!$E762</f>
        <v>1.2415298026140542</v>
      </c>
      <c r="H36" s="462">
        <f>'Def Tax'!$E763</f>
        <v>1.9511533953360023</v>
      </c>
      <c r="I36" s="462">
        <f>'Def Tax'!$E764</f>
        <v>3.306770288020044</v>
      </c>
      <c r="J36" s="462">
        <f>'Def Tax'!$E765</f>
        <v>8.3935703936868151</v>
      </c>
      <c r="K36" s="462">
        <f>'Def Tax'!$E766</f>
        <v>13.720892426987266</v>
      </c>
    </row>
    <row r="37" spans="1:11">
      <c r="A37" s="354">
        <v>29</v>
      </c>
      <c r="B37" s="478" t="s">
        <v>23</v>
      </c>
      <c r="C37" s="453"/>
      <c r="D37" s="453"/>
      <c r="E37" s="453"/>
      <c r="F37" s="453"/>
      <c r="G37" s="453"/>
      <c r="H37" s="453"/>
      <c r="I37" s="453"/>
      <c r="J37" s="453"/>
      <c r="K37" s="453"/>
    </row>
    <row r="38" spans="1:11">
      <c r="A38" s="371">
        <v>30</v>
      </c>
      <c r="B38" s="368" t="s">
        <v>16</v>
      </c>
      <c r="C38" s="383">
        <f>'Income Tax Rates'!$I$72</f>
        <v>8.8330000000000006E-2</v>
      </c>
      <c r="D38" s="383">
        <f>'Income Tax Rates'!$I$72</f>
        <v>8.8330000000000006E-2</v>
      </c>
      <c r="E38" s="383">
        <f>'Income Tax Rates'!$I$72</f>
        <v>8.8330000000000006E-2</v>
      </c>
      <c r="F38" s="383">
        <f>'Income Tax Rates'!$I$72</f>
        <v>8.8330000000000006E-2</v>
      </c>
      <c r="G38" s="383">
        <f>'Income Tax Rates'!$I$72</f>
        <v>8.8330000000000006E-2</v>
      </c>
      <c r="H38" s="383">
        <f>'Income Tax Rates'!$I$72</f>
        <v>8.8330000000000006E-2</v>
      </c>
      <c r="I38" s="383">
        <f>'Income Tax Rates'!$I$72</f>
        <v>8.8330000000000006E-2</v>
      </c>
      <c r="J38" s="383">
        <f>'Income Tax Rates'!$I$72</f>
        <v>8.8330000000000006E-2</v>
      </c>
      <c r="K38" s="383">
        <f>'Income Tax Rates'!$I$72</f>
        <v>8.8330000000000006E-2</v>
      </c>
    </row>
    <row r="39" spans="1:11">
      <c r="A39" s="354">
        <v>31</v>
      </c>
      <c r="B39" s="368" t="s">
        <v>49</v>
      </c>
      <c r="C39" s="463">
        <f>((C22*(C26-C34))+C36)*C38</f>
        <v>2.6186588425134615E-2</v>
      </c>
      <c r="D39" s="463">
        <f>((D22*(D26-D34))+D36)*D38</f>
        <v>5.2784394518293504E-2</v>
      </c>
      <c r="E39" s="463">
        <f t="shared" ref="E39:K39" si="4">((E22*(E26-E34))+E36)*E38</f>
        <v>0.12661115502665968</v>
      </c>
      <c r="F39" s="463">
        <f t="shared" si="4"/>
        <v>0.19667874828226434</v>
      </c>
      <c r="G39" s="463">
        <f t="shared" si="4"/>
        <v>0.23808098678234224</v>
      </c>
      <c r="H39" s="463">
        <f t="shared" si="4"/>
        <v>0.38384672625125615</v>
      </c>
      <c r="I39" s="463">
        <f t="shared" si="4"/>
        <v>0.76360668543082133</v>
      </c>
      <c r="J39" s="463">
        <f t="shared" si="4"/>
        <v>1.6325291591472149</v>
      </c>
      <c r="K39" s="463">
        <f t="shared" si="4"/>
        <v>2.375442143183049</v>
      </c>
    </row>
    <row r="40" spans="1:11">
      <c r="A40" s="359">
        <v>32</v>
      </c>
      <c r="B40" s="368"/>
      <c r="C40" s="453"/>
      <c r="D40" s="453"/>
      <c r="E40" s="453"/>
      <c r="F40" s="453"/>
      <c r="G40" s="453"/>
      <c r="H40" s="453"/>
      <c r="I40" s="453"/>
      <c r="J40" s="453"/>
      <c r="K40" s="453"/>
    </row>
    <row r="41" spans="1:11">
      <c r="A41" s="354">
        <v>33</v>
      </c>
      <c r="B41" s="475" t="s">
        <v>50</v>
      </c>
      <c r="C41" s="453"/>
      <c r="D41" s="453"/>
      <c r="E41" s="453"/>
      <c r="F41" s="453"/>
      <c r="G41" s="453"/>
      <c r="H41" s="453"/>
      <c r="I41" s="453"/>
      <c r="J41" s="453"/>
      <c r="K41" s="453"/>
    </row>
    <row r="42" spans="1:11" ht="25.5">
      <c r="A42" s="359">
        <v>34</v>
      </c>
      <c r="B42" s="479" t="s">
        <v>109</v>
      </c>
      <c r="C42" s="453"/>
      <c r="D42" s="453"/>
      <c r="E42" s="453"/>
      <c r="F42" s="453"/>
      <c r="G42" s="453"/>
      <c r="H42" s="453"/>
      <c r="I42" s="453"/>
      <c r="J42" s="453"/>
      <c r="K42" s="453"/>
    </row>
    <row r="43" spans="1:11">
      <c r="A43" s="367">
        <v>35</v>
      </c>
      <c r="B43" s="368" t="s">
        <v>51</v>
      </c>
      <c r="C43" s="385">
        <f>'Income Tax Rates'!$I73</f>
        <v>0.35</v>
      </c>
      <c r="D43" s="385">
        <f>'Income Tax Rates'!$I73</f>
        <v>0.35</v>
      </c>
      <c r="E43" s="385">
        <f>'Income Tax Rates'!$I73</f>
        <v>0.35</v>
      </c>
      <c r="F43" s="385">
        <f>'Income Tax Rates'!$I73</f>
        <v>0.35</v>
      </c>
      <c r="G43" s="385">
        <f>'Income Tax Rates'!$I73</f>
        <v>0.35</v>
      </c>
      <c r="H43" s="385">
        <f>'Income Tax Rates'!$I73</f>
        <v>0.35</v>
      </c>
      <c r="I43" s="385">
        <f>'Income Tax Rates'!$I73</f>
        <v>0.35</v>
      </c>
      <c r="J43" s="385">
        <f>'Income Tax Rates'!$I73</f>
        <v>0.35</v>
      </c>
      <c r="K43" s="385">
        <f>'Income Tax Rates'!$I73</f>
        <v>0.35</v>
      </c>
    </row>
    <row r="44" spans="1:11">
      <c r="A44" s="359">
        <v>36</v>
      </c>
      <c r="B44" s="368" t="s">
        <v>52</v>
      </c>
      <c r="C44" s="463">
        <f>((C22*(C26-C34))-C39+C36)*C43</f>
        <v>9.4596790154419408E-2</v>
      </c>
      <c r="D44" s="463">
        <f>((D22*(D26-D34))-D39+D36)*D43</f>
        <v>0.19067906863661746</v>
      </c>
      <c r="E44" s="463">
        <f t="shared" ref="E44:K44" si="5">((E22*(E26-E34))-E39+E36)*E43</f>
        <v>0.45737186795091345</v>
      </c>
      <c r="F44" s="463">
        <f t="shared" si="5"/>
        <v>0.71048500007100834</v>
      </c>
      <c r="G44" s="463">
        <f t="shared" si="5"/>
        <v>0.86004701264519734</v>
      </c>
      <c r="H44" s="463">
        <f t="shared" si="5"/>
        <v>1.3866131633931724</v>
      </c>
      <c r="I44" s="463">
        <f t="shared" si="5"/>
        <v>2.7584632335259913</v>
      </c>
      <c r="J44" s="463">
        <f t="shared" si="5"/>
        <v>5.8973706609522161</v>
      </c>
      <c r="K44" s="463">
        <f t="shared" si="5"/>
        <v>8.5810796845521509</v>
      </c>
    </row>
    <row r="45" spans="1:11">
      <c r="A45" s="354">
        <v>37</v>
      </c>
      <c r="B45" s="368"/>
      <c r="C45" s="453"/>
      <c r="D45" s="453"/>
      <c r="E45" s="453"/>
      <c r="F45" s="453"/>
      <c r="G45" s="453"/>
      <c r="H45" s="453"/>
      <c r="I45" s="453"/>
      <c r="J45" s="453"/>
      <c r="K45" s="453"/>
    </row>
    <row r="46" spans="1:11" ht="25.5">
      <c r="A46" s="359">
        <v>38</v>
      </c>
      <c r="B46" s="477" t="s">
        <v>53</v>
      </c>
      <c r="C46" s="386"/>
      <c r="D46" s="386"/>
      <c r="E46" s="386"/>
      <c r="F46" s="386"/>
      <c r="G46" s="386"/>
      <c r="H46" s="386"/>
      <c r="I46" s="386"/>
      <c r="J46" s="386"/>
      <c r="K46" s="386"/>
    </row>
    <row r="47" spans="1:11">
      <c r="A47" s="354">
        <v>39</v>
      </c>
      <c r="B47" s="368" t="s">
        <v>58</v>
      </c>
      <c r="C47" s="462">
        <f>-'Def Tax'!$F758</f>
        <v>-5.5517013343749998E-2</v>
      </c>
      <c r="D47" s="462">
        <f>-'Def Tax'!$F759</f>
        <v>-8.6963543548665354E-2</v>
      </c>
      <c r="E47" s="462">
        <f>-'Def Tax'!$F760</f>
        <v>-0.25495064704631465</v>
      </c>
      <c r="F47" s="462">
        <f>-'Def Tax'!$F761</f>
        <v>-0.46445694437468088</v>
      </c>
      <c r="G47" s="462">
        <f>-'Def Tax'!$F762</f>
        <v>-0.5057992415849657</v>
      </c>
      <c r="H47" s="462">
        <f>-'Def Tax'!$F763</f>
        <v>-0.7948998932598873</v>
      </c>
      <c r="I47" s="462">
        <f>-'Def Tax'!$F758</f>
        <v>-5.5517013343749998E-2</v>
      </c>
      <c r="J47" s="462">
        <f>-'Def Tax'!$F758</f>
        <v>-5.5517013343749998E-2</v>
      </c>
      <c r="K47" s="462">
        <f>-'Def Tax'!$F758</f>
        <v>-5.5517013343749998E-2</v>
      </c>
    </row>
    <row r="48" spans="1:11">
      <c r="A48" s="359">
        <v>40</v>
      </c>
      <c r="B48" s="368"/>
      <c r="C48" s="453"/>
      <c r="D48" s="453"/>
      <c r="E48" s="453"/>
      <c r="F48" s="453"/>
      <c r="G48" s="453"/>
      <c r="H48" s="453"/>
      <c r="I48" s="453"/>
      <c r="J48" s="453"/>
      <c r="K48" s="453"/>
    </row>
    <row r="49" spans="1:11">
      <c r="A49" s="354">
        <v>41</v>
      </c>
      <c r="B49" s="475" t="s">
        <v>54</v>
      </c>
      <c r="C49" s="453"/>
      <c r="D49" s="453"/>
      <c r="E49" s="453"/>
      <c r="F49" s="453"/>
      <c r="G49" s="453"/>
      <c r="H49" s="453"/>
      <c r="I49" s="453"/>
      <c r="J49" s="453"/>
      <c r="K49" s="453"/>
    </row>
    <row r="50" spans="1:11">
      <c r="A50" s="359">
        <v>42</v>
      </c>
      <c r="B50" s="475" t="s">
        <v>55</v>
      </c>
      <c r="C50" s="453"/>
      <c r="D50" s="453"/>
      <c r="E50" s="453"/>
      <c r="F50" s="453"/>
      <c r="G50" s="453"/>
      <c r="H50" s="453"/>
      <c r="I50" s="453"/>
      <c r="J50" s="453"/>
      <c r="K50" s="453"/>
    </row>
    <row r="51" spans="1:11" ht="25.5">
      <c r="A51" s="354">
        <v>43</v>
      </c>
      <c r="B51" s="477" t="s">
        <v>56</v>
      </c>
      <c r="C51" s="453"/>
      <c r="D51" s="453"/>
      <c r="E51" s="453"/>
      <c r="F51" s="453"/>
      <c r="G51" s="453"/>
      <c r="H51" s="453"/>
      <c r="I51" s="453"/>
      <c r="J51" s="453"/>
      <c r="K51" s="453"/>
    </row>
    <row r="52" spans="1:11">
      <c r="A52" s="371">
        <v>44</v>
      </c>
      <c r="B52" s="368" t="s">
        <v>57</v>
      </c>
      <c r="C52" s="387">
        <f>'Income Tax Rates'!$I76</f>
        <v>0.40739999999999998</v>
      </c>
      <c r="D52" s="387">
        <f>'Income Tax Rates'!$I76</f>
        <v>0.40739999999999998</v>
      </c>
      <c r="E52" s="387">
        <f>'Income Tax Rates'!$I76</f>
        <v>0.40739999999999998</v>
      </c>
      <c r="F52" s="387">
        <f>'Income Tax Rates'!$I76</f>
        <v>0.40739999999999998</v>
      </c>
      <c r="G52" s="387">
        <f>'Income Tax Rates'!$I76</f>
        <v>0.40739999999999998</v>
      </c>
      <c r="H52" s="387">
        <f>'Income Tax Rates'!$I76</f>
        <v>0.40739999999999998</v>
      </c>
      <c r="I52" s="387">
        <f>'Income Tax Rates'!$I76</f>
        <v>0.40739999999999998</v>
      </c>
      <c r="J52" s="387">
        <f>'Income Tax Rates'!$I76</f>
        <v>0.40739999999999998</v>
      </c>
      <c r="K52" s="387">
        <f>'Income Tax Rates'!$I76</f>
        <v>0.40739999999999998</v>
      </c>
    </row>
    <row r="53" spans="1:11">
      <c r="A53" s="354">
        <v>45</v>
      </c>
      <c r="B53" s="368" t="s">
        <v>59</v>
      </c>
      <c r="C53" s="464">
        <f>1/(1-C52)</f>
        <v>1.6874789065136686</v>
      </c>
      <c r="D53" s="464">
        <f>1/(1-D52)</f>
        <v>1.6874789065136686</v>
      </c>
      <c r="E53" s="464">
        <f t="shared" ref="E53:K53" si="6">1/(1-E52)</f>
        <v>1.6874789065136686</v>
      </c>
      <c r="F53" s="464">
        <f t="shared" si="6"/>
        <v>1.6874789065136686</v>
      </c>
      <c r="G53" s="464">
        <f t="shared" si="6"/>
        <v>1.6874789065136686</v>
      </c>
      <c r="H53" s="464">
        <f t="shared" si="6"/>
        <v>1.6874789065136686</v>
      </c>
      <c r="I53" s="464">
        <f t="shared" si="6"/>
        <v>1.6874789065136686</v>
      </c>
      <c r="J53" s="464">
        <f t="shared" si="6"/>
        <v>1.6874789065136686</v>
      </c>
      <c r="K53" s="464">
        <f t="shared" si="6"/>
        <v>1.6874789065136686</v>
      </c>
    </row>
    <row r="54" spans="1:11">
      <c r="A54" s="359">
        <v>46</v>
      </c>
      <c r="B54" s="368"/>
      <c r="C54" s="387"/>
      <c r="D54" s="387"/>
      <c r="E54" s="387"/>
      <c r="F54" s="387"/>
      <c r="G54" s="387"/>
      <c r="H54" s="387"/>
      <c r="I54" s="387"/>
      <c r="J54" s="387"/>
      <c r="K54" s="387"/>
    </row>
    <row r="55" spans="1:11" ht="15.75">
      <c r="A55" s="354">
        <v>47</v>
      </c>
      <c r="B55" s="473" t="s">
        <v>93</v>
      </c>
      <c r="C55" s="387"/>
      <c r="D55" s="387"/>
      <c r="E55" s="387"/>
      <c r="F55" s="387"/>
      <c r="G55" s="387"/>
      <c r="H55" s="387"/>
      <c r="I55" s="387"/>
      <c r="J55" s="387"/>
      <c r="K55" s="387"/>
    </row>
    <row r="56" spans="1:11">
      <c r="A56" s="359">
        <v>48</v>
      </c>
      <c r="B56" s="368" t="s">
        <v>49</v>
      </c>
      <c r="C56" s="454">
        <f>C39</f>
        <v>2.6186588425134615E-2</v>
      </c>
      <c r="D56" s="454">
        <f>D39</f>
        <v>5.2784394518293504E-2</v>
      </c>
      <c r="E56" s="454">
        <f>E39</f>
        <v>0.12661115502665968</v>
      </c>
      <c r="F56" s="454">
        <f t="shared" ref="F56:K56" si="7">F39</f>
        <v>0.19667874828226434</v>
      </c>
      <c r="G56" s="454">
        <f t="shared" si="7"/>
        <v>0.23808098678234224</v>
      </c>
      <c r="H56" s="454">
        <f t="shared" si="7"/>
        <v>0.38384672625125615</v>
      </c>
      <c r="I56" s="454">
        <f t="shared" si="7"/>
        <v>0.76360668543082133</v>
      </c>
      <c r="J56" s="454">
        <f t="shared" si="7"/>
        <v>1.6325291591472149</v>
      </c>
      <c r="K56" s="454">
        <f t="shared" si="7"/>
        <v>2.375442143183049</v>
      </c>
    </row>
    <row r="57" spans="1:11">
      <c r="A57" s="354">
        <v>49</v>
      </c>
      <c r="B57" s="368" t="s">
        <v>52</v>
      </c>
      <c r="C57" s="454">
        <f>C44</f>
        <v>9.4596790154419408E-2</v>
      </c>
      <c r="D57" s="454">
        <f>D44</f>
        <v>0.19067906863661746</v>
      </c>
      <c r="E57" s="454">
        <f t="shared" ref="E57:K57" si="8">E44</f>
        <v>0.45737186795091345</v>
      </c>
      <c r="F57" s="454">
        <f t="shared" si="8"/>
        <v>0.71048500007100834</v>
      </c>
      <c r="G57" s="454">
        <f t="shared" si="8"/>
        <v>0.86004701264519734</v>
      </c>
      <c r="H57" s="454">
        <f t="shared" si="8"/>
        <v>1.3866131633931724</v>
      </c>
      <c r="I57" s="454">
        <f t="shared" si="8"/>
        <v>2.7584632335259913</v>
      </c>
      <c r="J57" s="454">
        <f t="shared" si="8"/>
        <v>5.8973706609522161</v>
      </c>
      <c r="K57" s="454">
        <f t="shared" si="8"/>
        <v>8.5810796845521509</v>
      </c>
    </row>
    <row r="58" spans="1:11">
      <c r="A58" s="359">
        <v>50</v>
      </c>
      <c r="B58" s="368" t="s">
        <v>58</v>
      </c>
      <c r="C58" s="455">
        <f>C47</f>
        <v>-5.5517013343749998E-2</v>
      </c>
      <c r="D58" s="455">
        <f>D47</f>
        <v>-8.6963543548665354E-2</v>
      </c>
      <c r="E58" s="455">
        <f t="shared" ref="E58:K58" si="9">E47</f>
        <v>-0.25495064704631465</v>
      </c>
      <c r="F58" s="455">
        <f t="shared" si="9"/>
        <v>-0.46445694437468088</v>
      </c>
      <c r="G58" s="455">
        <f t="shared" si="9"/>
        <v>-0.5057992415849657</v>
      </c>
      <c r="H58" s="455">
        <f t="shared" si="9"/>
        <v>-0.7948998932598873</v>
      </c>
      <c r="I58" s="455">
        <f t="shared" si="9"/>
        <v>-5.5517013343749998E-2</v>
      </c>
      <c r="J58" s="455">
        <f t="shared" si="9"/>
        <v>-5.5517013343749998E-2</v>
      </c>
      <c r="K58" s="455">
        <f t="shared" si="9"/>
        <v>-5.5517013343749998E-2</v>
      </c>
    </row>
    <row r="59" spans="1:11">
      <c r="A59" s="354">
        <v>51</v>
      </c>
      <c r="B59" s="368" t="s">
        <v>59</v>
      </c>
      <c r="C59" s="456">
        <f>C53</f>
        <v>1.6874789065136686</v>
      </c>
      <c r="D59" s="456">
        <f>D53</f>
        <v>1.6874789065136686</v>
      </c>
      <c r="E59" s="456">
        <f>E53</f>
        <v>1.6874789065136686</v>
      </c>
      <c r="F59" s="456">
        <f t="shared" ref="F59:K59" si="10">F53</f>
        <v>1.6874789065136686</v>
      </c>
      <c r="G59" s="456">
        <f t="shared" si="10"/>
        <v>1.6874789065136686</v>
      </c>
      <c r="H59" s="456">
        <f t="shared" si="10"/>
        <v>1.6874789065136686</v>
      </c>
      <c r="I59" s="456">
        <f t="shared" si="10"/>
        <v>1.6874789065136686</v>
      </c>
      <c r="J59" s="456">
        <f t="shared" si="10"/>
        <v>1.6874789065136686</v>
      </c>
      <c r="K59" s="456">
        <f t="shared" si="10"/>
        <v>1.6874789065136686</v>
      </c>
    </row>
    <row r="60" spans="1:11">
      <c r="A60" s="359">
        <v>52</v>
      </c>
      <c r="B60" s="466" t="s">
        <v>60</v>
      </c>
      <c r="C60" s="465">
        <f>(C56+C57+C58)*C59</f>
        <v>0.11013561464023632</v>
      </c>
      <c r="D60" s="465">
        <f>(D56+D57+D58)*D59</f>
        <v>0.26409031320662435</v>
      </c>
      <c r="E60" s="465">
        <f t="shared" ref="E60:K60" si="11">(E56+E57+E58)*E59</f>
        <v>0.55523519394407439</v>
      </c>
      <c r="F60" s="465">
        <f t="shared" si="11"/>
        <v>0.74705839348395509</v>
      </c>
      <c r="G60" s="465">
        <f t="shared" si="11"/>
        <v>0.99954228458078642</v>
      </c>
      <c r="H60" s="465">
        <f t="shared" si="11"/>
        <v>1.6462369159374641</v>
      </c>
      <c r="I60" s="465">
        <f t="shared" si="11"/>
        <v>5.8497349065357112</v>
      </c>
      <c r="J60" s="465">
        <f t="shared" si="11"/>
        <v>12.612863325608641</v>
      </c>
      <c r="K60" s="465">
        <f t="shared" si="11"/>
        <v>18.395215684089521</v>
      </c>
    </row>
    <row r="61" spans="1:11">
      <c r="A61" s="354">
        <v>53</v>
      </c>
      <c r="B61" s="453"/>
      <c r="C61" s="453"/>
      <c r="D61" s="453"/>
      <c r="E61" s="453"/>
      <c r="F61" s="453"/>
      <c r="G61" s="453"/>
      <c r="H61" s="453"/>
      <c r="I61" s="453"/>
      <c r="J61" s="453"/>
      <c r="K61" s="453"/>
    </row>
    <row r="62" spans="1:11">
      <c r="A62" s="359">
        <v>54</v>
      </c>
      <c r="B62" s="534" t="s">
        <v>291</v>
      </c>
      <c r="C62" s="453"/>
      <c r="D62" s="453"/>
      <c r="E62" s="453"/>
      <c r="F62" s="453"/>
      <c r="G62" s="453"/>
      <c r="H62" s="453"/>
      <c r="I62" s="453"/>
      <c r="J62" s="453"/>
      <c r="K62" s="453"/>
    </row>
    <row r="63" spans="1:11" ht="15.75">
      <c r="A63" s="354">
        <v>55</v>
      </c>
      <c r="B63" s="468" t="s">
        <v>9</v>
      </c>
      <c r="C63" s="453"/>
      <c r="D63" s="453"/>
      <c r="E63" s="453"/>
      <c r="F63" s="453"/>
      <c r="G63" s="453"/>
      <c r="H63" s="453"/>
      <c r="I63" s="453"/>
      <c r="J63" s="453"/>
      <c r="K63" s="453"/>
    </row>
    <row r="64" spans="1:11" ht="15">
      <c r="A64" s="359">
        <v>56</v>
      </c>
      <c r="B64" s="480" t="s">
        <v>63</v>
      </c>
      <c r="C64" s="453"/>
      <c r="D64" s="453"/>
      <c r="E64" s="453"/>
      <c r="F64" s="453"/>
      <c r="G64" s="453"/>
      <c r="H64" s="453"/>
      <c r="I64" s="453"/>
      <c r="J64" s="453"/>
      <c r="K64" s="453"/>
    </row>
    <row r="65" spans="1:11">
      <c r="A65" s="367">
        <v>57</v>
      </c>
      <c r="B65" s="368" t="s">
        <v>13</v>
      </c>
      <c r="C65" s="457">
        <f>C22</f>
        <v>33.524580671114578</v>
      </c>
      <c r="D65" s="457">
        <f>D22</f>
        <v>80.388255709097521</v>
      </c>
      <c r="E65" s="457">
        <f t="shared" ref="E65:K65" si="12">E22</f>
        <v>169.01051773772747</v>
      </c>
      <c r="F65" s="457">
        <f t="shared" si="12"/>
        <v>227.39821726290043</v>
      </c>
      <c r="G65" s="457">
        <f t="shared" si="12"/>
        <v>304.25427899990927</v>
      </c>
      <c r="H65" s="457">
        <f t="shared" si="12"/>
        <v>501.10468636016429</v>
      </c>
      <c r="I65" s="457">
        <f t="shared" si="12"/>
        <v>1117.1593836981001</v>
      </c>
      <c r="J65" s="457">
        <f t="shared" si="12"/>
        <v>2111.3196844068111</v>
      </c>
      <c r="K65" s="457">
        <f t="shared" si="12"/>
        <v>2756.5930052642443</v>
      </c>
    </row>
    <row r="66" spans="1:11">
      <c r="A66" s="371">
        <v>58</v>
      </c>
      <c r="B66" s="368" t="s">
        <v>48</v>
      </c>
      <c r="C66" s="458">
        <f>C26</f>
        <v>6.9283333333333324E-3</v>
      </c>
      <c r="D66" s="458">
        <f>D26</f>
        <v>6.9283333333333324E-3</v>
      </c>
      <c r="E66" s="458">
        <f t="shared" ref="E66:K66" si="13">E26</f>
        <v>6.9283333333333324E-3</v>
      </c>
      <c r="F66" s="458">
        <f t="shared" si="13"/>
        <v>6.9283333333333324E-3</v>
      </c>
      <c r="G66" s="458">
        <f t="shared" si="13"/>
        <v>6.9283333333333324E-3</v>
      </c>
      <c r="H66" s="458">
        <f t="shared" si="13"/>
        <v>6.9283333333333324E-3</v>
      </c>
      <c r="I66" s="458">
        <f t="shared" si="13"/>
        <v>6.9283333333333324E-3</v>
      </c>
      <c r="J66" s="458">
        <f t="shared" si="13"/>
        <v>6.9283333333333324E-3</v>
      </c>
      <c r="K66" s="458">
        <f t="shared" si="13"/>
        <v>6.9283333333333324E-3</v>
      </c>
    </row>
    <row r="67" spans="1:11">
      <c r="A67" s="367">
        <v>59</v>
      </c>
      <c r="B67" s="368" t="s">
        <v>152</v>
      </c>
      <c r="C67" s="455">
        <f>C65*C66</f>
        <v>0.23226946974970547</v>
      </c>
      <c r="D67" s="455">
        <f t="shared" ref="D67:K67" si="14">D65*D66</f>
        <v>0.55695663163786391</v>
      </c>
      <c r="E67" s="455">
        <f t="shared" si="14"/>
        <v>1.1709612037262216</v>
      </c>
      <c r="F67" s="455">
        <f t="shared" si="14"/>
        <v>1.5754906486031282</v>
      </c>
      <c r="G67" s="455">
        <f t="shared" si="14"/>
        <v>2.1079750630043712</v>
      </c>
      <c r="H67" s="455">
        <f t="shared" si="14"/>
        <v>3.4718203019986711</v>
      </c>
      <c r="I67" s="455">
        <f t="shared" si="14"/>
        <v>7.7400525967216689</v>
      </c>
      <c r="J67" s="455">
        <f t="shared" si="14"/>
        <v>14.627926546798522</v>
      </c>
      <c r="K67" s="455">
        <f t="shared" si="14"/>
        <v>19.098595204805768</v>
      </c>
    </row>
    <row r="68" spans="1:11">
      <c r="A68" s="371">
        <v>60</v>
      </c>
      <c r="B68" s="368" t="s">
        <v>151</v>
      </c>
      <c r="C68" s="457">
        <f>C60</f>
        <v>0.11013561464023632</v>
      </c>
      <c r="D68" s="457">
        <f>D60</f>
        <v>0.26409031320662435</v>
      </c>
      <c r="E68" s="457">
        <f t="shared" ref="E68:K68" si="15">E60</f>
        <v>0.55523519394407439</v>
      </c>
      <c r="F68" s="457">
        <f t="shared" si="15"/>
        <v>0.74705839348395509</v>
      </c>
      <c r="G68" s="457">
        <f t="shared" si="15"/>
        <v>0.99954228458078642</v>
      </c>
      <c r="H68" s="457">
        <f t="shared" si="15"/>
        <v>1.6462369159374641</v>
      </c>
      <c r="I68" s="457">
        <f t="shared" si="15"/>
        <v>5.8497349065357112</v>
      </c>
      <c r="J68" s="457">
        <f t="shared" si="15"/>
        <v>12.612863325608641</v>
      </c>
      <c r="K68" s="457">
        <f t="shared" si="15"/>
        <v>18.395215684089521</v>
      </c>
    </row>
    <row r="69" spans="1:11">
      <c r="A69" s="354">
        <v>61</v>
      </c>
      <c r="B69" s="466" t="s">
        <v>112</v>
      </c>
      <c r="C69" s="465">
        <f>C67+C68</f>
        <v>0.34240508438994177</v>
      </c>
      <c r="D69" s="465">
        <f t="shared" ref="D69:K69" si="16">D67+D68</f>
        <v>0.82104694484448826</v>
      </c>
      <c r="E69" s="465">
        <f t="shared" si="16"/>
        <v>1.7261963976702961</v>
      </c>
      <c r="F69" s="465">
        <f t="shared" si="16"/>
        <v>2.3225490420870831</v>
      </c>
      <c r="G69" s="465">
        <f t="shared" si="16"/>
        <v>3.1075173475851576</v>
      </c>
      <c r="H69" s="465">
        <f t="shared" si="16"/>
        <v>5.1180572179361352</v>
      </c>
      <c r="I69" s="465">
        <f t="shared" si="16"/>
        <v>13.58978750325738</v>
      </c>
      <c r="J69" s="465">
        <f t="shared" si="16"/>
        <v>27.240789872407163</v>
      </c>
      <c r="K69" s="465">
        <f t="shared" si="16"/>
        <v>37.49381088889529</v>
      </c>
    </row>
    <row r="70" spans="1:11">
      <c r="A70" s="389"/>
      <c r="B70" s="453"/>
      <c r="C70" s="453"/>
      <c r="D70" s="453"/>
      <c r="E70" s="453"/>
      <c r="F70" s="453"/>
      <c r="G70" s="453"/>
      <c r="H70" s="453"/>
      <c r="I70" s="453"/>
      <c r="J70" s="453"/>
      <c r="K70" s="453"/>
    </row>
    <row r="71" spans="1:11">
      <c r="A71" s="389"/>
      <c r="B71" s="453"/>
      <c r="C71" s="453"/>
      <c r="D71" s="453"/>
      <c r="E71" s="453"/>
      <c r="F71" s="453"/>
      <c r="G71" s="453"/>
      <c r="H71" s="453"/>
      <c r="I71" s="453"/>
      <c r="J71" s="453"/>
      <c r="K71" s="453"/>
    </row>
    <row r="72" spans="1:11">
      <c r="A72" s="389"/>
      <c r="B72" s="453"/>
      <c r="C72" s="453"/>
      <c r="D72" s="453"/>
      <c r="E72" s="453"/>
      <c r="F72" s="453"/>
      <c r="G72" s="453"/>
      <c r="H72" s="453"/>
      <c r="I72" s="453"/>
      <c r="J72" s="453"/>
      <c r="K72" s="453"/>
    </row>
    <row r="73" spans="1:11" ht="15">
      <c r="A73" s="389"/>
      <c r="B73" s="481"/>
      <c r="C73" s="453"/>
      <c r="D73" s="453"/>
      <c r="E73" s="453"/>
      <c r="F73" s="453"/>
      <c r="G73" s="453"/>
      <c r="H73" s="453"/>
      <c r="I73" s="453"/>
      <c r="J73" s="453"/>
      <c r="K73" s="453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5" orientation="portrait" verticalDpi="1200" r:id="rId1"/>
  <headerFooter>
    <oddHeader>&amp;RTO9 Annual Update
Attachment 4
WP-Schedule 3-CWIPBA Model
Page &amp;P of &amp;N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3"/>
  <sheetViews>
    <sheetView zoomScaleNormal="100" workbookViewId="0">
      <selection sqref="A1:K1"/>
    </sheetView>
  </sheetViews>
  <sheetFormatPr defaultRowHeight="12.75"/>
  <cols>
    <col min="1" max="1" width="3.85546875" bestFit="1" customWidth="1"/>
    <col min="2" max="2" width="50.85546875" customWidth="1"/>
    <col min="3" max="5" width="9.28515625" bestFit="1" customWidth="1"/>
    <col min="6" max="11" width="9.140625" customWidth="1"/>
  </cols>
  <sheetData>
    <row r="1" spans="1:11" ht="15.75">
      <c r="A1" s="647" t="s">
        <v>0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</row>
    <row r="2" spans="1:11" ht="15">
      <c r="A2" s="648" t="s">
        <v>6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</row>
    <row r="3" spans="1:11" ht="15">
      <c r="A3" s="649" t="s">
        <v>326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</row>
    <row r="4" spans="1:11">
      <c r="A4" s="650" t="s">
        <v>1</v>
      </c>
      <c r="B4" s="650"/>
      <c r="C4" s="650"/>
      <c r="D4" s="650"/>
      <c r="E4" s="650"/>
      <c r="F4" s="650"/>
      <c r="G4" s="650"/>
      <c r="H4" s="650"/>
      <c r="I4" s="650"/>
      <c r="J4" s="650"/>
      <c r="K4" s="650"/>
    </row>
    <row r="5" spans="1:11" ht="15.75">
      <c r="A5" s="647" t="s">
        <v>7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</row>
    <row r="6" spans="1:11">
      <c r="A6" s="354"/>
      <c r="B6" s="355"/>
      <c r="C6" s="355"/>
      <c r="D6" s="355"/>
      <c r="E6" s="355"/>
      <c r="F6" s="355"/>
      <c r="G6" s="355"/>
      <c r="H6" s="355"/>
      <c r="I6" s="355"/>
      <c r="J6" s="355"/>
      <c r="K6" s="355"/>
    </row>
    <row r="7" spans="1:11">
      <c r="A7" s="354"/>
      <c r="B7" s="355"/>
      <c r="C7" s="355"/>
      <c r="D7" s="355"/>
      <c r="E7" s="355"/>
      <c r="F7" s="355"/>
      <c r="G7" s="355"/>
      <c r="H7" s="355"/>
      <c r="I7" s="355"/>
      <c r="J7" s="355"/>
      <c r="K7" s="355"/>
    </row>
    <row r="8" spans="1:11">
      <c r="A8" s="356" t="s">
        <v>2</v>
      </c>
      <c r="B8" s="357"/>
      <c r="C8" s="355"/>
      <c r="D8" s="355"/>
      <c r="E8" s="355"/>
      <c r="F8" s="355"/>
      <c r="G8" s="355"/>
      <c r="H8" s="355"/>
      <c r="I8" s="355"/>
      <c r="J8" s="355"/>
      <c r="K8" s="355"/>
    </row>
    <row r="9" spans="1:11">
      <c r="A9" s="354">
        <v>1</v>
      </c>
      <c r="B9" s="358" t="s">
        <v>110</v>
      </c>
      <c r="C9" s="355"/>
      <c r="D9" s="355"/>
      <c r="E9" s="355"/>
      <c r="F9" s="355"/>
      <c r="G9" s="355"/>
      <c r="H9" s="355"/>
      <c r="I9" s="355"/>
      <c r="J9" s="355"/>
      <c r="K9" s="355"/>
    </row>
    <row r="10" spans="1:11">
      <c r="A10" s="359">
        <v>2</v>
      </c>
      <c r="B10" s="355" t="s">
        <v>61</v>
      </c>
      <c r="C10" s="355"/>
      <c r="D10" s="355"/>
      <c r="E10" s="355"/>
      <c r="F10" s="355"/>
      <c r="G10" s="355"/>
      <c r="H10" s="355"/>
      <c r="I10" s="355"/>
      <c r="J10" s="355"/>
      <c r="K10" s="355"/>
    </row>
    <row r="11" spans="1:11" ht="15.75">
      <c r="A11" s="354">
        <v>3</v>
      </c>
      <c r="B11" s="360" t="s">
        <v>95</v>
      </c>
      <c r="C11" s="355"/>
      <c r="D11" s="355"/>
      <c r="E11" s="355"/>
      <c r="F11" s="355"/>
      <c r="G11" s="355"/>
      <c r="H11" s="355"/>
      <c r="I11" s="355"/>
      <c r="J11" s="355"/>
      <c r="K11" s="355"/>
    </row>
    <row r="12" spans="1:11">
      <c r="A12" s="359">
        <v>4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</row>
    <row r="13" spans="1:11">
      <c r="A13" s="354">
        <v>5</v>
      </c>
      <c r="B13" s="361" t="s">
        <v>62</v>
      </c>
      <c r="C13" s="355"/>
      <c r="D13" s="355"/>
      <c r="E13" s="355"/>
      <c r="F13" s="355"/>
      <c r="G13" s="355"/>
      <c r="H13" s="355"/>
      <c r="I13" s="355"/>
      <c r="J13" s="355"/>
      <c r="K13" s="355"/>
    </row>
    <row r="14" spans="1:11" ht="15.75">
      <c r="A14" s="359">
        <v>6</v>
      </c>
      <c r="B14" s="360" t="s">
        <v>66</v>
      </c>
      <c r="C14" s="355"/>
      <c r="D14" s="355"/>
      <c r="E14" s="355"/>
      <c r="F14" s="355"/>
      <c r="G14" s="355"/>
      <c r="H14" s="355"/>
      <c r="I14" s="355"/>
      <c r="J14" s="355"/>
      <c r="K14" s="355"/>
    </row>
    <row r="15" spans="1:11">
      <c r="A15" s="354">
        <v>7</v>
      </c>
      <c r="B15" s="361"/>
      <c r="C15" s="355"/>
      <c r="D15" s="355"/>
      <c r="E15" s="355"/>
      <c r="F15" s="355"/>
      <c r="G15" s="355"/>
      <c r="H15" s="355"/>
      <c r="I15" s="355"/>
      <c r="J15" s="355"/>
      <c r="K15" s="355"/>
    </row>
    <row r="16" spans="1:11" ht="15.75">
      <c r="A16" s="359">
        <v>8</v>
      </c>
      <c r="B16" s="362" t="s">
        <v>97</v>
      </c>
      <c r="C16" s="646">
        <v>2011</v>
      </c>
      <c r="D16" s="646"/>
      <c r="E16" s="646"/>
      <c r="F16" s="646"/>
      <c r="G16" s="646"/>
      <c r="H16" s="646"/>
      <c r="I16" s="646"/>
      <c r="J16" s="646"/>
      <c r="K16" s="646"/>
    </row>
    <row r="17" spans="1:11" ht="21" thickBot="1">
      <c r="A17" s="354">
        <v>9</v>
      </c>
      <c r="B17" s="363" t="s">
        <v>334</v>
      </c>
      <c r="C17" s="535" t="s">
        <v>78</v>
      </c>
      <c r="D17" s="535" t="s">
        <v>75</v>
      </c>
      <c r="E17" s="535" t="s">
        <v>79</v>
      </c>
      <c r="F17" s="535" t="s">
        <v>80</v>
      </c>
      <c r="G17" s="535" t="s">
        <v>81</v>
      </c>
      <c r="H17" s="535" t="s">
        <v>82</v>
      </c>
      <c r="I17" s="535" t="s">
        <v>83</v>
      </c>
      <c r="J17" s="535" t="s">
        <v>84</v>
      </c>
      <c r="K17" s="535" t="s">
        <v>101</v>
      </c>
    </row>
    <row r="18" spans="1:11" ht="29.25" thickTop="1">
      <c r="A18" s="359">
        <v>10</v>
      </c>
      <c r="B18" s="472" t="s">
        <v>17</v>
      </c>
      <c r="C18" s="459"/>
      <c r="D18" s="453"/>
      <c r="E18" s="453"/>
      <c r="F18" s="453"/>
      <c r="G18" s="453"/>
      <c r="H18" s="453"/>
      <c r="I18" s="453"/>
      <c r="J18" s="453"/>
      <c r="K18" s="453"/>
    </row>
    <row r="19" spans="1:11">
      <c r="A19" s="367">
        <v>11</v>
      </c>
      <c r="B19" s="368" t="s">
        <v>146</v>
      </c>
      <c r="C19" s="369">
        <f>'CR CWIP Balance'!E15+'Def Tax'!F821</f>
        <v>307.04764</v>
      </c>
      <c r="D19" s="370">
        <f t="shared" ref="D19:K19" si="0">C20</f>
        <v>1479.0843644740835</v>
      </c>
      <c r="E19" s="370">
        <f t="shared" si="0"/>
        <v>1682.903208373395</v>
      </c>
      <c r="F19" s="370">
        <f t="shared" si="0"/>
        <v>1928.1600049356252</v>
      </c>
      <c r="G19" s="370">
        <f t="shared" si="0"/>
        <v>2018.4107221614479</v>
      </c>
      <c r="H19" s="370">
        <f t="shared" si="0"/>
        <v>2091.5001957439013</v>
      </c>
      <c r="I19" s="370">
        <f t="shared" si="0"/>
        <v>2251.7192229972425</v>
      </c>
      <c r="J19" s="370">
        <f t="shared" si="0"/>
        <v>5536.5100642768239</v>
      </c>
      <c r="K19" s="370">
        <f t="shared" si="0"/>
        <v>8960.8621448169706</v>
      </c>
    </row>
    <row r="20" spans="1:11">
      <c r="A20" s="371">
        <v>12</v>
      </c>
      <c r="B20" s="368" t="s">
        <v>147</v>
      </c>
      <c r="C20" s="372">
        <f>'CR CWIP Balance'!$E16+'Def Tax'!$F822</f>
        <v>1479.0843644740835</v>
      </c>
      <c r="D20" s="372">
        <f>'CR CWIP Balance'!$E17+'Def Tax'!$F823</f>
        <v>1682.903208373395</v>
      </c>
      <c r="E20" s="372">
        <f>'CR CWIP Balance'!$E18+'Def Tax'!$F824</f>
        <v>1928.1600049356252</v>
      </c>
      <c r="F20" s="372">
        <f>'CR CWIP Balance'!$E19+'Def Tax'!$F825</f>
        <v>2018.4107221614479</v>
      </c>
      <c r="G20" s="372">
        <f>'CR CWIP Balance'!$E20+'Def Tax'!$F826</f>
        <v>2091.5001957439013</v>
      </c>
      <c r="H20" s="372">
        <f>'CR CWIP Balance'!$E21+'Def Tax'!$F827</f>
        <v>2251.7192229972425</v>
      </c>
      <c r="I20" s="372">
        <f>'CR CWIP Balance'!$E22+'Def Tax'!$F828</f>
        <v>5536.5100642768239</v>
      </c>
      <c r="J20" s="372">
        <f>'CR CWIP Balance'!$E23+'Def Tax'!$F829</f>
        <v>8960.8621448169706</v>
      </c>
      <c r="K20" s="372">
        <f>'CR CWIP Balance'!$E24+'Def Tax'!$F830</f>
        <v>10970.119544816969</v>
      </c>
    </row>
    <row r="21" spans="1:11">
      <c r="A21" s="367">
        <v>13</v>
      </c>
      <c r="B21" s="368" t="s">
        <v>12</v>
      </c>
      <c r="C21" s="452">
        <f>SUM(C19:C20)</f>
        <v>1786.1320044740835</v>
      </c>
      <c r="D21" s="452">
        <f>SUM(D19:D20)</f>
        <v>3161.9875728474785</v>
      </c>
      <c r="E21" s="452">
        <f t="shared" ref="E21:K21" si="1">SUM(E19:E20)</f>
        <v>3611.0632133090203</v>
      </c>
      <c r="F21" s="452">
        <f t="shared" si="1"/>
        <v>3946.5707270970734</v>
      </c>
      <c r="G21" s="452">
        <f t="shared" si="1"/>
        <v>4109.9109179053494</v>
      </c>
      <c r="H21" s="452">
        <f t="shared" si="1"/>
        <v>4343.2194187411442</v>
      </c>
      <c r="I21" s="452">
        <f t="shared" si="1"/>
        <v>7788.2292872740663</v>
      </c>
      <c r="J21" s="452">
        <f t="shared" si="1"/>
        <v>14497.372209093795</v>
      </c>
      <c r="K21" s="452">
        <f t="shared" si="1"/>
        <v>19930.98168963394</v>
      </c>
    </row>
    <row r="22" spans="1:11">
      <c r="A22" s="359">
        <v>14</v>
      </c>
      <c r="B22" s="466" t="s">
        <v>13</v>
      </c>
      <c r="C22" s="460">
        <f>C21/2</f>
        <v>893.06600223704174</v>
      </c>
      <c r="D22" s="460">
        <f>D21/2</f>
        <v>1580.9937864237393</v>
      </c>
      <c r="E22" s="460">
        <f t="shared" ref="E22:K22" si="2">E21/2</f>
        <v>1805.5316066545101</v>
      </c>
      <c r="F22" s="460">
        <f t="shared" si="2"/>
        <v>1973.2853635485367</v>
      </c>
      <c r="G22" s="460">
        <f t="shared" si="2"/>
        <v>2054.9554589526747</v>
      </c>
      <c r="H22" s="460">
        <f t="shared" si="2"/>
        <v>2171.6097093705721</v>
      </c>
      <c r="I22" s="460">
        <f t="shared" si="2"/>
        <v>3894.1146436370332</v>
      </c>
      <c r="J22" s="460">
        <f t="shared" si="2"/>
        <v>7248.6861045468977</v>
      </c>
      <c r="K22" s="460">
        <f t="shared" si="2"/>
        <v>9965.4908448169699</v>
      </c>
    </row>
    <row r="23" spans="1:11">
      <c r="A23" s="354">
        <v>15</v>
      </c>
      <c r="B23" s="368"/>
      <c r="C23" s="453"/>
      <c r="D23" s="453"/>
      <c r="E23" s="453"/>
      <c r="F23" s="453"/>
      <c r="G23" s="453"/>
      <c r="H23" s="453"/>
      <c r="I23" s="453"/>
      <c r="J23" s="453"/>
      <c r="K23" s="453"/>
    </row>
    <row r="24" spans="1:11" ht="28.5">
      <c r="A24" s="359">
        <v>16</v>
      </c>
      <c r="B24" s="472" t="s">
        <v>14</v>
      </c>
      <c r="C24" s="453"/>
      <c r="D24" s="453"/>
      <c r="E24" s="453"/>
      <c r="F24" s="453"/>
      <c r="G24" s="453"/>
      <c r="H24" s="453"/>
      <c r="I24" s="453"/>
      <c r="J24" s="453"/>
      <c r="K24" s="453"/>
    </row>
    <row r="25" spans="1:11">
      <c r="A25" s="367">
        <v>17</v>
      </c>
      <c r="B25" s="374" t="s">
        <v>47</v>
      </c>
      <c r="C25" s="375">
        <f>'Cost of Capital'!$D$177</f>
        <v>8.3139999999999992E-2</v>
      </c>
      <c r="D25" s="375">
        <f>'Cost of Capital'!$D$177</f>
        <v>8.3139999999999992E-2</v>
      </c>
      <c r="E25" s="375">
        <f>'Cost of Capital'!$D$177</f>
        <v>8.3139999999999992E-2</v>
      </c>
      <c r="F25" s="375">
        <f>'Cost of Capital'!$D$177</f>
        <v>8.3139999999999992E-2</v>
      </c>
      <c r="G25" s="375">
        <f>'Cost of Capital'!$D$177</f>
        <v>8.3139999999999992E-2</v>
      </c>
      <c r="H25" s="375">
        <f>'Cost of Capital'!$D$177</f>
        <v>8.3139999999999992E-2</v>
      </c>
      <c r="I25" s="375">
        <f>'Cost of Capital'!$D$177</f>
        <v>8.3139999999999992E-2</v>
      </c>
      <c r="J25" s="375">
        <f>'Cost of Capital'!$D$177</f>
        <v>8.3139999999999992E-2</v>
      </c>
      <c r="K25" s="375">
        <f>'Cost of Capital'!$D$177</f>
        <v>8.3139999999999992E-2</v>
      </c>
    </row>
    <row r="26" spans="1:11">
      <c r="A26" s="359">
        <v>18</v>
      </c>
      <c r="B26" s="466" t="s">
        <v>48</v>
      </c>
      <c r="C26" s="441">
        <f>'Cost of Capital'!$D$178</f>
        <v>6.9283333333333324E-3</v>
      </c>
      <c r="D26" s="441">
        <f>'Cost of Capital'!$D$178</f>
        <v>6.9283333333333324E-3</v>
      </c>
      <c r="E26" s="441">
        <f>'Cost of Capital'!$D$178</f>
        <v>6.9283333333333324E-3</v>
      </c>
      <c r="F26" s="441">
        <f>'Cost of Capital'!$D$178</f>
        <v>6.9283333333333324E-3</v>
      </c>
      <c r="G26" s="441">
        <f>'Cost of Capital'!$D$178</f>
        <v>6.9283333333333324E-3</v>
      </c>
      <c r="H26" s="441">
        <f>'Cost of Capital'!$D$178</f>
        <v>6.9283333333333324E-3</v>
      </c>
      <c r="I26" s="441">
        <f>'Cost of Capital'!$D$178</f>
        <v>6.9283333333333324E-3</v>
      </c>
      <c r="J26" s="441">
        <f>'Cost of Capital'!$D$178</f>
        <v>6.9283333333333324E-3</v>
      </c>
      <c r="K26" s="441">
        <f>'Cost of Capital'!$D$178</f>
        <v>6.9283333333333324E-3</v>
      </c>
    </row>
    <row r="27" spans="1:11">
      <c r="A27" s="354">
        <v>19</v>
      </c>
      <c r="B27" s="368"/>
      <c r="C27" s="453"/>
      <c r="D27" s="453"/>
      <c r="E27" s="453"/>
      <c r="F27" s="453"/>
      <c r="G27" s="453"/>
      <c r="H27" s="453"/>
      <c r="I27" s="453"/>
      <c r="J27" s="453"/>
      <c r="K27" s="453"/>
    </row>
    <row r="28" spans="1:11" ht="15.75">
      <c r="A28" s="359">
        <v>20</v>
      </c>
      <c r="B28" s="473" t="s">
        <v>65</v>
      </c>
      <c r="C28" s="453"/>
      <c r="D28" s="453"/>
      <c r="E28" s="453"/>
      <c r="F28" s="453"/>
      <c r="G28" s="453"/>
      <c r="H28" s="453"/>
      <c r="I28" s="453"/>
      <c r="J28" s="453"/>
      <c r="K28" s="453"/>
    </row>
    <row r="29" spans="1:11">
      <c r="A29" s="354">
        <v>21</v>
      </c>
      <c r="B29" s="474" t="s">
        <v>91</v>
      </c>
      <c r="C29" s="453"/>
      <c r="D29" s="453"/>
      <c r="E29" s="453"/>
      <c r="F29" s="453"/>
      <c r="G29" s="453"/>
      <c r="H29" s="453"/>
      <c r="I29" s="453"/>
      <c r="J29" s="453"/>
      <c r="K29" s="453"/>
    </row>
    <row r="30" spans="1:11">
      <c r="A30" s="359">
        <v>22</v>
      </c>
      <c r="B30" s="475" t="s">
        <v>15</v>
      </c>
      <c r="C30" s="453"/>
      <c r="D30" s="453"/>
      <c r="E30" s="453"/>
      <c r="F30" s="453"/>
      <c r="G30" s="453"/>
      <c r="H30" s="453"/>
      <c r="I30" s="453"/>
      <c r="J30" s="453"/>
      <c r="K30" s="453"/>
    </row>
    <row r="31" spans="1:11" ht="25.5">
      <c r="A31" s="354">
        <v>23</v>
      </c>
      <c r="B31" s="476" t="s">
        <v>92</v>
      </c>
      <c r="C31" s="453"/>
      <c r="D31" s="453"/>
      <c r="E31" s="453"/>
      <c r="F31" s="453"/>
      <c r="G31" s="453"/>
      <c r="H31" s="453"/>
      <c r="I31" s="453"/>
      <c r="J31" s="453"/>
      <c r="K31" s="453"/>
    </row>
    <row r="32" spans="1:11" ht="25.5">
      <c r="A32" s="359">
        <v>24</v>
      </c>
      <c r="B32" s="477" t="s">
        <v>19</v>
      </c>
      <c r="C32" s="453"/>
      <c r="D32" s="453"/>
      <c r="E32" s="453"/>
      <c r="F32" s="453"/>
      <c r="G32" s="453"/>
      <c r="H32" s="453"/>
      <c r="I32" s="453"/>
      <c r="J32" s="453"/>
      <c r="K32" s="453"/>
    </row>
    <row r="33" spans="1:11">
      <c r="A33" s="367">
        <v>25</v>
      </c>
      <c r="B33" s="368" t="s">
        <v>20</v>
      </c>
      <c r="C33" s="381">
        <f>'Cost of Capital'!$D174</f>
        <v>2.58E-2</v>
      </c>
      <c r="D33" s="381">
        <f>'Cost of Capital'!$D174</f>
        <v>2.58E-2</v>
      </c>
      <c r="E33" s="381">
        <f>'Cost of Capital'!$D174</f>
        <v>2.58E-2</v>
      </c>
      <c r="F33" s="381">
        <f>'Cost of Capital'!$D174</f>
        <v>2.58E-2</v>
      </c>
      <c r="G33" s="381">
        <f>'Cost of Capital'!$D174</f>
        <v>2.58E-2</v>
      </c>
      <c r="H33" s="381">
        <f>'Cost of Capital'!$D174</f>
        <v>2.58E-2</v>
      </c>
      <c r="I33" s="381">
        <f>'Cost of Capital'!$D174</f>
        <v>2.58E-2</v>
      </c>
      <c r="J33" s="381">
        <f>'Cost of Capital'!$D174</f>
        <v>2.58E-2</v>
      </c>
      <c r="K33" s="381">
        <f>'Cost of Capital'!$D174</f>
        <v>2.58E-2</v>
      </c>
    </row>
    <row r="34" spans="1:11">
      <c r="A34" s="359">
        <v>26</v>
      </c>
      <c r="B34" s="368" t="s">
        <v>21</v>
      </c>
      <c r="C34" s="461">
        <f>C33/12</f>
        <v>2.15E-3</v>
      </c>
      <c r="D34" s="461">
        <f>D33/12</f>
        <v>2.15E-3</v>
      </c>
      <c r="E34" s="461">
        <f t="shared" ref="E34:K34" si="3">E33/12</f>
        <v>2.15E-3</v>
      </c>
      <c r="F34" s="461">
        <f t="shared" si="3"/>
        <v>2.15E-3</v>
      </c>
      <c r="G34" s="461">
        <f t="shared" si="3"/>
        <v>2.15E-3</v>
      </c>
      <c r="H34" s="461">
        <f t="shared" si="3"/>
        <v>2.15E-3</v>
      </c>
      <c r="I34" s="461">
        <f t="shared" si="3"/>
        <v>2.15E-3</v>
      </c>
      <c r="J34" s="461">
        <f t="shared" si="3"/>
        <v>2.15E-3</v>
      </c>
      <c r="K34" s="461">
        <f t="shared" si="3"/>
        <v>2.15E-3</v>
      </c>
    </row>
    <row r="35" spans="1:11" ht="25.5">
      <c r="A35" s="354">
        <v>27</v>
      </c>
      <c r="B35" s="477" t="s">
        <v>22</v>
      </c>
      <c r="C35" s="453"/>
      <c r="D35" s="453"/>
      <c r="E35" s="453"/>
      <c r="F35" s="453"/>
      <c r="G35" s="453"/>
      <c r="H35" s="453"/>
      <c r="I35" s="453"/>
      <c r="J35" s="453"/>
      <c r="K35" s="453"/>
    </row>
    <row r="36" spans="1:11">
      <c r="A36" s="359">
        <v>28</v>
      </c>
      <c r="B36" s="368" t="s">
        <v>18</v>
      </c>
      <c r="C36" s="462">
        <f>'Def Tax'!$E804</f>
        <v>1.5992064583333332</v>
      </c>
      <c r="D36" s="462">
        <f>'Def Tax'!$E805</f>
        <v>7.7096313878038192</v>
      </c>
      <c r="E36" s="462">
        <f>'Def Tax'!$E806</f>
        <v>8.8017995200319632</v>
      </c>
      <c r="F36" s="462">
        <f>'Def Tax'!$E807</f>
        <v>10.115683215448797</v>
      </c>
      <c r="G36" s="462">
        <f>'Def Tax'!$E808</f>
        <v>10.629481461362593</v>
      </c>
      <c r="H36" s="462">
        <f>'Def Tax'!$E809</f>
        <v>11.057999541890524</v>
      </c>
      <c r="I36" s="462">
        <f>'Def Tax'!$E810</f>
        <v>11.94420146658787</v>
      </c>
      <c r="J36" s="462">
        <f>'Def Tax'!$E811</f>
        <v>29.110472463809678</v>
      </c>
      <c r="K36" s="462">
        <f>'Def Tax'!$E812</f>
        <v>47.092109195392027</v>
      </c>
    </row>
    <row r="37" spans="1:11">
      <c r="A37" s="354">
        <v>29</v>
      </c>
      <c r="B37" s="478" t="s">
        <v>23</v>
      </c>
      <c r="C37" s="453"/>
      <c r="D37" s="453"/>
      <c r="E37" s="453"/>
      <c r="F37" s="453"/>
      <c r="G37" s="453"/>
      <c r="H37" s="453"/>
      <c r="I37" s="453"/>
      <c r="J37" s="453"/>
      <c r="K37" s="453"/>
    </row>
    <row r="38" spans="1:11">
      <c r="A38" s="371">
        <v>30</v>
      </c>
      <c r="B38" s="368" t="s">
        <v>16</v>
      </c>
      <c r="C38" s="383">
        <f>'Income Tax Rates'!$J72</f>
        <v>8.8330000000000006E-2</v>
      </c>
      <c r="D38" s="383">
        <f>'Income Tax Rates'!$J72</f>
        <v>8.8330000000000006E-2</v>
      </c>
      <c r="E38" s="383">
        <f>'Income Tax Rates'!$J72</f>
        <v>8.8330000000000006E-2</v>
      </c>
      <c r="F38" s="383">
        <f>'Income Tax Rates'!$J72</f>
        <v>8.8330000000000006E-2</v>
      </c>
      <c r="G38" s="383">
        <f>'Income Tax Rates'!$J72</f>
        <v>8.8330000000000006E-2</v>
      </c>
      <c r="H38" s="383">
        <f>'Income Tax Rates'!$J72</f>
        <v>8.8330000000000006E-2</v>
      </c>
      <c r="I38" s="383">
        <f>'Income Tax Rates'!$J72</f>
        <v>8.8330000000000006E-2</v>
      </c>
      <c r="J38" s="383">
        <f>'Income Tax Rates'!$J72</f>
        <v>8.8330000000000006E-2</v>
      </c>
      <c r="K38" s="383">
        <f>'Income Tax Rates'!$J72</f>
        <v>8.8330000000000006E-2</v>
      </c>
    </row>
    <row r="39" spans="1:11">
      <c r="A39" s="354">
        <v>31</v>
      </c>
      <c r="B39" s="368" t="s">
        <v>49</v>
      </c>
      <c r="C39" s="463">
        <f>((C22*(C26-C34))+C36)*C38</f>
        <v>0.51819443775753848</v>
      </c>
      <c r="D39" s="463">
        <f>((D22*(D26-D34))+D36)*D38</f>
        <v>1.3482820777694398</v>
      </c>
      <c r="E39" s="463">
        <f t="shared" ref="E39:K39" si="4">((E22*(E26-E34))+E36)*E38</f>
        <v>1.5395240078392205</v>
      </c>
      <c r="F39" s="463">
        <f t="shared" si="4"/>
        <v>1.7263832135825063</v>
      </c>
      <c r="G39" s="463">
        <f t="shared" si="4"/>
        <v>1.8062375247841473</v>
      </c>
      <c r="H39" s="463">
        <f t="shared" si="4"/>
        <v>1.8933248076976741</v>
      </c>
      <c r="I39" s="463">
        <f t="shared" si="4"/>
        <v>2.6986209971046069</v>
      </c>
      <c r="J39" s="463">
        <f t="shared" si="4"/>
        <v>5.6307823058002038</v>
      </c>
      <c r="K39" s="463">
        <f t="shared" si="4"/>
        <v>8.3657825531075307</v>
      </c>
    </row>
    <row r="40" spans="1:11">
      <c r="A40" s="359">
        <v>32</v>
      </c>
      <c r="B40" s="368"/>
      <c r="C40" s="453"/>
      <c r="D40" s="453"/>
      <c r="E40" s="453"/>
      <c r="F40" s="453"/>
      <c r="G40" s="453"/>
      <c r="H40" s="453"/>
      <c r="I40" s="453"/>
      <c r="J40" s="453"/>
      <c r="K40" s="453"/>
    </row>
    <row r="41" spans="1:11">
      <c r="A41" s="354">
        <v>33</v>
      </c>
      <c r="B41" s="475" t="s">
        <v>50</v>
      </c>
      <c r="C41" s="453"/>
      <c r="D41" s="453"/>
      <c r="E41" s="453"/>
      <c r="F41" s="453"/>
      <c r="G41" s="453"/>
      <c r="H41" s="453"/>
      <c r="I41" s="453"/>
      <c r="J41" s="453"/>
      <c r="K41" s="453"/>
    </row>
    <row r="42" spans="1:11" ht="25.5">
      <c r="A42" s="359">
        <v>34</v>
      </c>
      <c r="B42" s="479" t="s">
        <v>109</v>
      </c>
      <c r="C42" s="453"/>
      <c r="D42" s="453"/>
      <c r="E42" s="453"/>
      <c r="F42" s="453"/>
      <c r="G42" s="453"/>
      <c r="H42" s="453"/>
      <c r="I42" s="453"/>
      <c r="J42" s="453"/>
      <c r="K42" s="453"/>
    </row>
    <row r="43" spans="1:11">
      <c r="A43" s="367">
        <v>35</v>
      </c>
      <c r="B43" s="368" t="s">
        <v>51</v>
      </c>
      <c r="C43" s="385">
        <f>'Income Tax Rates'!$J73</f>
        <v>0.35</v>
      </c>
      <c r="D43" s="385">
        <f>'Income Tax Rates'!$J73</f>
        <v>0.35</v>
      </c>
      <c r="E43" s="385">
        <f>'Income Tax Rates'!$J73</f>
        <v>0.35</v>
      </c>
      <c r="F43" s="385">
        <f>'Income Tax Rates'!$J73</f>
        <v>0.35</v>
      </c>
      <c r="G43" s="385">
        <f>'Income Tax Rates'!$J73</f>
        <v>0.35</v>
      </c>
      <c r="H43" s="385">
        <f>'Income Tax Rates'!$J73</f>
        <v>0.35</v>
      </c>
      <c r="I43" s="385">
        <f>'Income Tax Rates'!$J73</f>
        <v>0.35</v>
      </c>
      <c r="J43" s="385">
        <f>'Income Tax Rates'!$J73</f>
        <v>0.35</v>
      </c>
      <c r="K43" s="385">
        <f>'Income Tax Rates'!$J73</f>
        <v>0.35</v>
      </c>
    </row>
    <row r="44" spans="1:11">
      <c r="A44" s="359">
        <v>36</v>
      </c>
      <c r="B44" s="368" t="s">
        <v>52</v>
      </c>
      <c r="C44" s="463">
        <f>((C22*(C26-C34))-C39+C36)*C43</f>
        <v>1.8719326737761268</v>
      </c>
      <c r="D44" s="463">
        <f>((D22*(D26-D34))-D39+D36)*D43</f>
        <v>4.8705526168235336</v>
      </c>
      <c r="E44" s="463">
        <f t="shared" ref="E44:K44" si="5">((E22*(E26-E34))-E39+E36)*E43</f>
        <v>5.5613975804299063</v>
      </c>
      <c r="F44" s="463">
        <f t="shared" si="5"/>
        <v>6.2364103307411654</v>
      </c>
      <c r="G44" s="463">
        <f t="shared" si="5"/>
        <v>6.5248771366125569</v>
      </c>
      <c r="H44" s="463">
        <f t="shared" si="5"/>
        <v>6.8394724284139974</v>
      </c>
      <c r="I44" s="463">
        <f t="shared" si="5"/>
        <v>9.7485353962484425</v>
      </c>
      <c r="J44" s="463">
        <f t="shared" si="5"/>
        <v>20.34071500798262</v>
      </c>
      <c r="K44" s="463">
        <f t="shared" si="5"/>
        <v>30.220667305185547</v>
      </c>
    </row>
    <row r="45" spans="1:11">
      <c r="A45" s="354">
        <v>37</v>
      </c>
      <c r="B45" s="368"/>
      <c r="C45" s="453"/>
      <c r="D45" s="453"/>
      <c r="E45" s="453"/>
      <c r="F45" s="453"/>
      <c r="G45" s="453"/>
      <c r="H45" s="453"/>
      <c r="I45" s="453"/>
      <c r="J45" s="453"/>
      <c r="K45" s="453"/>
    </row>
    <row r="46" spans="1:11" ht="25.5">
      <c r="A46" s="359">
        <v>38</v>
      </c>
      <c r="B46" s="477" t="s">
        <v>53</v>
      </c>
      <c r="C46" s="386"/>
      <c r="D46" s="386"/>
      <c r="E46" s="386"/>
      <c r="F46" s="386"/>
      <c r="G46" s="386"/>
      <c r="H46" s="386"/>
      <c r="I46" s="386"/>
      <c r="J46" s="386"/>
      <c r="K46" s="386"/>
    </row>
    <row r="47" spans="1:11">
      <c r="A47" s="354">
        <v>39</v>
      </c>
      <c r="B47" s="368" t="s">
        <v>58</v>
      </c>
      <c r="C47" s="462">
        <f>-'Def Tax'!$F804</f>
        <v>-0.65151671112499987</v>
      </c>
      <c r="D47" s="462">
        <f>-'Def Tax'!$F805</f>
        <v>-3.1409038273912757</v>
      </c>
      <c r="E47" s="462">
        <f>-'Def Tax'!$F806</f>
        <v>-3.5858531244610217</v>
      </c>
      <c r="F47" s="462">
        <f>-'Def Tax'!$F807</f>
        <v>-4.1211293419738402</v>
      </c>
      <c r="G47" s="462">
        <f>-'Def Tax'!$F808</f>
        <v>-4.3304507473591203</v>
      </c>
      <c r="H47" s="462">
        <f>-'Def Tax'!$F809</f>
        <v>-4.5050290133661992</v>
      </c>
      <c r="I47" s="462">
        <f>-'Def Tax'!$F810</f>
        <v>-4.8660676774878979</v>
      </c>
      <c r="J47" s="462">
        <f>-'Def Tax'!$F811</f>
        <v>-11.859606481756062</v>
      </c>
      <c r="K47" s="462">
        <f>-'Def Tax'!$F812</f>
        <v>-19.185325286202712</v>
      </c>
    </row>
    <row r="48" spans="1:11">
      <c r="A48" s="359">
        <v>40</v>
      </c>
      <c r="B48" s="368"/>
      <c r="C48" s="453"/>
      <c r="D48" s="453"/>
      <c r="E48" s="453"/>
      <c r="F48" s="453"/>
      <c r="G48" s="453"/>
      <c r="H48" s="453"/>
      <c r="I48" s="453"/>
      <c r="J48" s="453"/>
      <c r="K48" s="453"/>
    </row>
    <row r="49" spans="1:11">
      <c r="A49" s="354">
        <v>41</v>
      </c>
      <c r="B49" s="475" t="s">
        <v>54</v>
      </c>
      <c r="C49" s="453"/>
      <c r="D49" s="453"/>
      <c r="E49" s="453"/>
      <c r="F49" s="453"/>
      <c r="G49" s="453"/>
      <c r="H49" s="453"/>
      <c r="I49" s="453"/>
      <c r="J49" s="453"/>
      <c r="K49" s="453"/>
    </row>
    <row r="50" spans="1:11">
      <c r="A50" s="359">
        <v>42</v>
      </c>
      <c r="B50" s="475" t="s">
        <v>55</v>
      </c>
      <c r="C50" s="453"/>
      <c r="D50" s="453"/>
      <c r="E50" s="453"/>
      <c r="F50" s="453"/>
      <c r="G50" s="453"/>
      <c r="H50" s="453"/>
      <c r="I50" s="453"/>
      <c r="J50" s="453"/>
      <c r="K50" s="453"/>
    </row>
    <row r="51" spans="1:11" ht="25.5">
      <c r="A51" s="354">
        <v>43</v>
      </c>
      <c r="B51" s="477" t="s">
        <v>56</v>
      </c>
      <c r="C51" s="453"/>
      <c r="D51" s="453"/>
      <c r="E51" s="453"/>
      <c r="F51" s="453"/>
      <c r="G51" s="453"/>
      <c r="H51" s="453"/>
      <c r="I51" s="453"/>
      <c r="J51" s="453"/>
      <c r="K51" s="453"/>
    </row>
    <row r="52" spans="1:11">
      <c r="A52" s="371">
        <v>44</v>
      </c>
      <c r="B52" s="368" t="s">
        <v>57</v>
      </c>
      <c r="C52" s="387">
        <f>'Income Tax Rates'!$J76</f>
        <v>0.40739999999999998</v>
      </c>
      <c r="D52" s="387">
        <f>'Income Tax Rates'!$J76</f>
        <v>0.40739999999999998</v>
      </c>
      <c r="E52" s="387">
        <f>'Income Tax Rates'!$J76</f>
        <v>0.40739999999999998</v>
      </c>
      <c r="F52" s="387">
        <f>'Income Tax Rates'!$J76</f>
        <v>0.40739999999999998</v>
      </c>
      <c r="G52" s="387">
        <f>'Income Tax Rates'!$J76</f>
        <v>0.40739999999999998</v>
      </c>
      <c r="H52" s="387">
        <f>'Income Tax Rates'!$J76</f>
        <v>0.40739999999999998</v>
      </c>
      <c r="I52" s="387">
        <f>'Income Tax Rates'!$J76</f>
        <v>0.40739999999999998</v>
      </c>
      <c r="J52" s="387">
        <f>'Income Tax Rates'!$J76</f>
        <v>0.40739999999999998</v>
      </c>
      <c r="K52" s="387">
        <f>'Income Tax Rates'!$J76</f>
        <v>0.40739999999999998</v>
      </c>
    </row>
    <row r="53" spans="1:11">
      <c r="A53" s="354">
        <v>45</v>
      </c>
      <c r="B53" s="368" t="s">
        <v>59</v>
      </c>
      <c r="C53" s="464">
        <f>1/(1-C52)</f>
        <v>1.6874789065136686</v>
      </c>
      <c r="D53" s="464">
        <f>1/(1-D52)</f>
        <v>1.6874789065136686</v>
      </c>
      <c r="E53" s="464">
        <f t="shared" ref="E53:K53" si="6">1/(1-E52)</f>
        <v>1.6874789065136686</v>
      </c>
      <c r="F53" s="464">
        <f t="shared" si="6"/>
        <v>1.6874789065136686</v>
      </c>
      <c r="G53" s="464">
        <f t="shared" si="6"/>
        <v>1.6874789065136686</v>
      </c>
      <c r="H53" s="464">
        <f t="shared" si="6"/>
        <v>1.6874789065136686</v>
      </c>
      <c r="I53" s="464">
        <f t="shared" si="6"/>
        <v>1.6874789065136686</v>
      </c>
      <c r="J53" s="464">
        <f t="shared" si="6"/>
        <v>1.6874789065136686</v>
      </c>
      <c r="K53" s="464">
        <f t="shared" si="6"/>
        <v>1.6874789065136686</v>
      </c>
    </row>
    <row r="54" spans="1:11">
      <c r="A54" s="359">
        <v>46</v>
      </c>
      <c r="B54" s="368"/>
      <c r="C54" s="387"/>
      <c r="D54" s="387"/>
      <c r="E54" s="387"/>
      <c r="F54" s="387"/>
      <c r="G54" s="387"/>
      <c r="H54" s="387"/>
      <c r="I54" s="387"/>
      <c r="J54" s="387"/>
      <c r="K54" s="387"/>
    </row>
    <row r="55" spans="1:11" ht="15.75">
      <c r="A55" s="354">
        <v>47</v>
      </c>
      <c r="B55" s="473" t="s">
        <v>93</v>
      </c>
      <c r="C55" s="387"/>
      <c r="D55" s="387"/>
      <c r="E55" s="387"/>
      <c r="F55" s="387"/>
      <c r="G55" s="387"/>
      <c r="H55" s="387"/>
      <c r="I55" s="387"/>
      <c r="J55" s="387"/>
      <c r="K55" s="387"/>
    </row>
    <row r="56" spans="1:11">
      <c r="A56" s="359">
        <v>48</v>
      </c>
      <c r="B56" s="368" t="s">
        <v>49</v>
      </c>
      <c r="C56" s="454">
        <f>C39</f>
        <v>0.51819443775753848</v>
      </c>
      <c r="D56" s="454">
        <f>D39</f>
        <v>1.3482820777694398</v>
      </c>
      <c r="E56" s="454">
        <f t="shared" ref="E56:K56" si="7">E39</f>
        <v>1.5395240078392205</v>
      </c>
      <c r="F56" s="454">
        <f t="shared" si="7"/>
        <v>1.7263832135825063</v>
      </c>
      <c r="G56" s="454">
        <f t="shared" si="7"/>
        <v>1.8062375247841473</v>
      </c>
      <c r="H56" s="454">
        <f t="shared" si="7"/>
        <v>1.8933248076976741</v>
      </c>
      <c r="I56" s="454">
        <f t="shared" si="7"/>
        <v>2.6986209971046069</v>
      </c>
      <c r="J56" s="454">
        <f t="shared" si="7"/>
        <v>5.6307823058002038</v>
      </c>
      <c r="K56" s="454">
        <f t="shared" si="7"/>
        <v>8.3657825531075307</v>
      </c>
    </row>
    <row r="57" spans="1:11">
      <c r="A57" s="354">
        <v>49</v>
      </c>
      <c r="B57" s="368" t="s">
        <v>52</v>
      </c>
      <c r="C57" s="454">
        <f>C44</f>
        <v>1.8719326737761268</v>
      </c>
      <c r="D57" s="454">
        <f>D44</f>
        <v>4.8705526168235336</v>
      </c>
      <c r="E57" s="454">
        <f t="shared" ref="E57:K57" si="8">E44</f>
        <v>5.5613975804299063</v>
      </c>
      <c r="F57" s="454">
        <f t="shared" si="8"/>
        <v>6.2364103307411654</v>
      </c>
      <c r="G57" s="454">
        <f t="shared" si="8"/>
        <v>6.5248771366125569</v>
      </c>
      <c r="H57" s="454">
        <f t="shared" si="8"/>
        <v>6.8394724284139974</v>
      </c>
      <c r="I57" s="454">
        <f t="shared" si="8"/>
        <v>9.7485353962484425</v>
      </c>
      <c r="J57" s="454">
        <f t="shared" si="8"/>
        <v>20.34071500798262</v>
      </c>
      <c r="K57" s="454">
        <f t="shared" si="8"/>
        <v>30.220667305185547</v>
      </c>
    </row>
    <row r="58" spans="1:11">
      <c r="A58" s="359">
        <v>50</v>
      </c>
      <c r="B58" s="368" t="s">
        <v>58</v>
      </c>
      <c r="C58" s="455">
        <f>C47</f>
        <v>-0.65151671112499987</v>
      </c>
      <c r="D58" s="455">
        <f>D47</f>
        <v>-3.1409038273912757</v>
      </c>
      <c r="E58" s="455">
        <f t="shared" ref="E58:K58" si="9">E47</f>
        <v>-3.5858531244610217</v>
      </c>
      <c r="F58" s="455">
        <f t="shared" si="9"/>
        <v>-4.1211293419738402</v>
      </c>
      <c r="G58" s="455">
        <f t="shared" si="9"/>
        <v>-4.3304507473591203</v>
      </c>
      <c r="H58" s="455">
        <f t="shared" si="9"/>
        <v>-4.5050290133661992</v>
      </c>
      <c r="I58" s="455">
        <f t="shared" si="9"/>
        <v>-4.8660676774878979</v>
      </c>
      <c r="J58" s="455">
        <f t="shared" si="9"/>
        <v>-11.859606481756062</v>
      </c>
      <c r="K58" s="455">
        <f t="shared" si="9"/>
        <v>-19.185325286202712</v>
      </c>
    </row>
    <row r="59" spans="1:11">
      <c r="A59" s="354">
        <v>51</v>
      </c>
      <c r="B59" s="368" t="s">
        <v>59</v>
      </c>
      <c r="C59" s="456">
        <f>C53</f>
        <v>1.6874789065136686</v>
      </c>
      <c r="D59" s="456">
        <f>D53</f>
        <v>1.6874789065136686</v>
      </c>
      <c r="E59" s="456">
        <f t="shared" ref="E59:K59" si="10">E53</f>
        <v>1.6874789065136686</v>
      </c>
      <c r="F59" s="456">
        <f t="shared" si="10"/>
        <v>1.6874789065136686</v>
      </c>
      <c r="G59" s="456">
        <f t="shared" si="10"/>
        <v>1.6874789065136686</v>
      </c>
      <c r="H59" s="456">
        <f t="shared" si="10"/>
        <v>1.6874789065136686</v>
      </c>
      <c r="I59" s="456">
        <f t="shared" si="10"/>
        <v>1.6874789065136686</v>
      </c>
      <c r="J59" s="456">
        <f t="shared" si="10"/>
        <v>1.6874789065136686</v>
      </c>
      <c r="K59" s="456">
        <f t="shared" si="10"/>
        <v>1.6874789065136686</v>
      </c>
    </row>
    <row r="60" spans="1:11">
      <c r="A60" s="359">
        <v>52</v>
      </c>
      <c r="B60" s="466" t="s">
        <v>60</v>
      </c>
      <c r="C60" s="465">
        <f>(C56+C57+C58)*C59</f>
        <v>2.9338683773349068</v>
      </c>
      <c r="D60" s="465">
        <f>(D56+D57+D58)*D59</f>
        <v>5.1939434141101888</v>
      </c>
      <c r="E60" s="465">
        <f t="shared" ref="E60:K60" si="11">(E56+E57+E58)*E59</f>
        <v>5.9316038876275829</v>
      </c>
      <c r="F60" s="465">
        <f t="shared" si="11"/>
        <v>6.4827273073739988</v>
      </c>
      <c r="G60" s="465">
        <f t="shared" si="11"/>
        <v>6.7510359669888356</v>
      </c>
      <c r="H60" s="465">
        <f t="shared" si="11"/>
        <v>7.1342696975117672</v>
      </c>
      <c r="I60" s="465">
        <f t="shared" si="11"/>
        <v>12.792927296431237</v>
      </c>
      <c r="J60" s="465">
        <f t="shared" si="11"/>
        <v>23.813518110068784</v>
      </c>
      <c r="K60" s="465">
        <f t="shared" si="11"/>
        <v>32.738988478046522</v>
      </c>
    </row>
    <row r="61" spans="1:11">
      <c r="A61" s="354">
        <v>53</v>
      </c>
      <c r="B61" s="453"/>
      <c r="C61" s="453"/>
      <c r="D61" s="453"/>
      <c r="E61" s="453"/>
      <c r="F61" s="453"/>
      <c r="G61" s="453"/>
      <c r="H61" s="453"/>
      <c r="I61" s="453"/>
      <c r="J61" s="453"/>
      <c r="K61" s="453"/>
    </row>
    <row r="62" spans="1:11">
      <c r="A62" s="359">
        <v>54</v>
      </c>
      <c r="B62" s="534" t="s">
        <v>307</v>
      </c>
      <c r="C62" s="453"/>
      <c r="D62" s="453"/>
      <c r="E62" s="453"/>
      <c r="F62" s="453"/>
      <c r="G62" s="453"/>
      <c r="H62" s="453"/>
      <c r="I62" s="453"/>
      <c r="J62" s="453"/>
      <c r="K62" s="453"/>
    </row>
    <row r="63" spans="1:11" ht="15.75">
      <c r="A63" s="354">
        <v>55</v>
      </c>
      <c r="B63" s="468" t="s">
        <v>9</v>
      </c>
      <c r="C63" s="453"/>
      <c r="D63" s="453"/>
      <c r="E63" s="453"/>
      <c r="F63" s="453"/>
      <c r="G63" s="453"/>
      <c r="H63" s="453"/>
      <c r="I63" s="453"/>
      <c r="J63" s="453"/>
      <c r="K63" s="453"/>
    </row>
    <row r="64" spans="1:11" ht="15">
      <c r="A64" s="359">
        <v>56</v>
      </c>
      <c r="B64" s="480" t="s">
        <v>63</v>
      </c>
      <c r="C64" s="453"/>
      <c r="D64" s="453"/>
      <c r="E64" s="453"/>
      <c r="F64" s="453"/>
      <c r="G64" s="453"/>
      <c r="H64" s="453"/>
      <c r="I64" s="453"/>
      <c r="J64" s="453"/>
      <c r="K64" s="453"/>
    </row>
    <row r="65" spans="1:11">
      <c r="A65" s="367">
        <v>57</v>
      </c>
      <c r="B65" s="368" t="s">
        <v>13</v>
      </c>
      <c r="C65" s="457">
        <f>C22</f>
        <v>893.06600223704174</v>
      </c>
      <c r="D65" s="457">
        <f>D22</f>
        <v>1580.9937864237393</v>
      </c>
      <c r="E65" s="457">
        <f t="shared" ref="E65:K65" si="12">E22</f>
        <v>1805.5316066545101</v>
      </c>
      <c r="F65" s="457">
        <f t="shared" si="12"/>
        <v>1973.2853635485367</v>
      </c>
      <c r="G65" s="457">
        <f t="shared" si="12"/>
        <v>2054.9554589526747</v>
      </c>
      <c r="H65" s="457">
        <f t="shared" si="12"/>
        <v>2171.6097093705721</v>
      </c>
      <c r="I65" s="457">
        <f t="shared" si="12"/>
        <v>3894.1146436370332</v>
      </c>
      <c r="J65" s="457">
        <f t="shared" si="12"/>
        <v>7248.6861045468977</v>
      </c>
      <c r="K65" s="457">
        <f t="shared" si="12"/>
        <v>9965.4908448169699</v>
      </c>
    </row>
    <row r="66" spans="1:11">
      <c r="A66" s="371">
        <v>58</v>
      </c>
      <c r="B66" s="368" t="s">
        <v>48</v>
      </c>
      <c r="C66" s="458">
        <f>C26</f>
        <v>6.9283333333333324E-3</v>
      </c>
      <c r="D66" s="458">
        <f>D26</f>
        <v>6.9283333333333324E-3</v>
      </c>
      <c r="E66" s="458">
        <f t="shared" ref="E66:K66" si="13">E26</f>
        <v>6.9283333333333324E-3</v>
      </c>
      <c r="F66" s="458">
        <f t="shared" si="13"/>
        <v>6.9283333333333324E-3</v>
      </c>
      <c r="G66" s="458">
        <f t="shared" si="13"/>
        <v>6.9283333333333324E-3</v>
      </c>
      <c r="H66" s="458">
        <f t="shared" si="13"/>
        <v>6.9283333333333324E-3</v>
      </c>
      <c r="I66" s="458">
        <f t="shared" si="13"/>
        <v>6.9283333333333324E-3</v>
      </c>
      <c r="J66" s="458">
        <f t="shared" si="13"/>
        <v>6.9283333333333324E-3</v>
      </c>
      <c r="K66" s="458">
        <f t="shared" si="13"/>
        <v>6.9283333333333324E-3</v>
      </c>
    </row>
    <row r="67" spans="1:11">
      <c r="A67" s="367">
        <v>59</v>
      </c>
      <c r="B67" s="368" t="s">
        <v>152</v>
      </c>
      <c r="C67" s="455">
        <f>C65*C66</f>
        <v>6.1874589521656365</v>
      </c>
      <c r="D67" s="455">
        <f t="shared" ref="D67:K67" si="14">D65*D66</f>
        <v>10.953651950272471</v>
      </c>
      <c r="E67" s="455">
        <f t="shared" si="14"/>
        <v>12.509324814771329</v>
      </c>
      <c r="F67" s="455">
        <f t="shared" si="14"/>
        <v>13.67157876045211</v>
      </c>
      <c r="G67" s="455">
        <f t="shared" si="14"/>
        <v>14.237416404777113</v>
      </c>
      <c r="H67" s="455">
        <f t="shared" si="14"/>
        <v>15.045635936422444</v>
      </c>
      <c r="I67" s="455">
        <f t="shared" si="14"/>
        <v>26.979724289331909</v>
      </c>
      <c r="J67" s="455">
        <f t="shared" si="14"/>
        <v>50.221313561002418</v>
      </c>
      <c r="K67" s="455">
        <f t="shared" si="14"/>
        <v>69.04424240317357</v>
      </c>
    </row>
    <row r="68" spans="1:11">
      <c r="A68" s="371">
        <v>60</v>
      </c>
      <c r="B68" s="368" t="s">
        <v>151</v>
      </c>
      <c r="C68" s="457">
        <f>C60</f>
        <v>2.9338683773349068</v>
      </c>
      <c r="D68" s="457">
        <f>D60</f>
        <v>5.1939434141101888</v>
      </c>
      <c r="E68" s="457">
        <f t="shared" ref="E68:K68" si="15">E60</f>
        <v>5.9316038876275829</v>
      </c>
      <c r="F68" s="457">
        <f t="shared" si="15"/>
        <v>6.4827273073739988</v>
      </c>
      <c r="G68" s="457">
        <f t="shared" si="15"/>
        <v>6.7510359669888356</v>
      </c>
      <c r="H68" s="457">
        <f t="shared" si="15"/>
        <v>7.1342696975117672</v>
      </c>
      <c r="I68" s="457">
        <f t="shared" si="15"/>
        <v>12.792927296431237</v>
      </c>
      <c r="J68" s="457">
        <f t="shared" si="15"/>
        <v>23.813518110068784</v>
      </c>
      <c r="K68" s="457">
        <f t="shared" si="15"/>
        <v>32.738988478046522</v>
      </c>
    </row>
    <row r="69" spans="1:11">
      <c r="A69" s="354">
        <v>61</v>
      </c>
      <c r="B69" s="466" t="s">
        <v>112</v>
      </c>
      <c r="C69" s="465">
        <f>C67+C68</f>
        <v>9.1213273295005433</v>
      </c>
      <c r="D69" s="465">
        <f t="shared" ref="D69:K69" si="16">D67+D68</f>
        <v>16.14759536438266</v>
      </c>
      <c r="E69" s="465">
        <f t="shared" si="16"/>
        <v>18.440928702398914</v>
      </c>
      <c r="F69" s="465">
        <f t="shared" si="16"/>
        <v>20.154306067826109</v>
      </c>
      <c r="G69" s="465">
        <f t="shared" si="16"/>
        <v>20.988452371765948</v>
      </c>
      <c r="H69" s="465">
        <f t="shared" si="16"/>
        <v>22.179905633934212</v>
      </c>
      <c r="I69" s="465">
        <f t="shared" si="16"/>
        <v>39.772651585763143</v>
      </c>
      <c r="J69" s="465">
        <f t="shared" si="16"/>
        <v>74.034831671071203</v>
      </c>
      <c r="K69" s="465">
        <f t="shared" si="16"/>
        <v>101.78323088122009</v>
      </c>
    </row>
    <row r="70" spans="1:11">
      <c r="A70" s="389"/>
      <c r="B70" s="453"/>
      <c r="C70" s="453"/>
      <c r="D70" s="453"/>
      <c r="E70" s="453"/>
      <c r="F70" s="453"/>
      <c r="G70" s="453"/>
      <c r="H70" s="453"/>
      <c r="I70" s="453"/>
      <c r="J70" s="453"/>
      <c r="K70" s="453"/>
    </row>
    <row r="71" spans="1:11">
      <c r="A71" s="389"/>
      <c r="B71" s="453"/>
      <c r="C71" s="453"/>
      <c r="D71" s="453"/>
      <c r="E71" s="453"/>
      <c r="F71" s="453"/>
      <c r="G71" s="453"/>
      <c r="H71" s="453"/>
      <c r="I71" s="453"/>
      <c r="J71" s="453"/>
      <c r="K71" s="453"/>
    </row>
    <row r="72" spans="1:11">
      <c r="A72" s="389"/>
      <c r="B72" s="453"/>
      <c r="C72" s="453"/>
      <c r="D72" s="453"/>
      <c r="E72" s="453"/>
      <c r="F72" s="453"/>
      <c r="G72" s="453"/>
      <c r="H72" s="453"/>
      <c r="I72" s="453"/>
      <c r="J72" s="453"/>
      <c r="K72" s="453"/>
    </row>
    <row r="73" spans="1:11" ht="15">
      <c r="A73" s="389"/>
      <c r="B73" s="481"/>
      <c r="C73" s="453"/>
      <c r="D73" s="453"/>
      <c r="E73" s="453"/>
      <c r="F73" s="453"/>
      <c r="G73" s="453"/>
      <c r="H73" s="453"/>
      <c r="I73" s="453"/>
      <c r="J73" s="453"/>
      <c r="K73" s="453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7" orientation="portrait" verticalDpi="1200" r:id="rId1"/>
  <headerFooter>
    <oddHeader>&amp;RTO9 Annual Update
Attachment 4
WP-Schedule 3-CWIPBA Model
Page &amp;P of &amp;N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3"/>
  <sheetViews>
    <sheetView zoomScaleNormal="100" workbookViewId="0">
      <selection sqref="A1:K1"/>
    </sheetView>
  </sheetViews>
  <sheetFormatPr defaultRowHeight="12.75"/>
  <cols>
    <col min="1" max="1" width="3.85546875" bestFit="1" customWidth="1"/>
    <col min="2" max="2" width="60.5703125" bestFit="1" customWidth="1"/>
    <col min="3" max="3" width="9.28515625" bestFit="1" customWidth="1"/>
    <col min="4" max="7" width="9.28515625" customWidth="1"/>
    <col min="8" max="8" width="10" customWidth="1"/>
    <col min="9" max="10" width="9.28515625" customWidth="1"/>
    <col min="11" max="11" width="9.42578125" customWidth="1"/>
  </cols>
  <sheetData>
    <row r="1" spans="1:11" ht="15.75">
      <c r="A1" s="647" t="s">
        <v>0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</row>
    <row r="2" spans="1:11" ht="15">
      <c r="A2" s="648" t="s">
        <v>6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</row>
    <row r="3" spans="1:11" ht="15">
      <c r="A3" s="649">
        <v>2011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</row>
    <row r="4" spans="1:11">
      <c r="A4" s="650" t="s">
        <v>1</v>
      </c>
      <c r="B4" s="650"/>
      <c r="C4" s="650"/>
      <c r="D4" s="650"/>
      <c r="E4" s="650"/>
      <c r="F4" s="650"/>
      <c r="G4" s="650"/>
      <c r="H4" s="650"/>
      <c r="I4" s="650"/>
      <c r="J4" s="650"/>
      <c r="K4" s="650"/>
    </row>
    <row r="5" spans="1:11" ht="15.75">
      <c r="A5" s="647" t="s">
        <v>7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</row>
    <row r="6" spans="1:11">
      <c r="A6" s="354"/>
      <c r="B6" s="355"/>
      <c r="C6" s="355"/>
      <c r="D6" s="355"/>
      <c r="E6" s="355"/>
      <c r="F6" s="355"/>
      <c r="G6" s="355"/>
      <c r="H6" s="355"/>
      <c r="I6" s="355"/>
      <c r="J6" s="355"/>
      <c r="K6" s="355"/>
    </row>
    <row r="7" spans="1:11">
      <c r="A7" s="354"/>
      <c r="B7" s="355"/>
      <c r="C7" s="355"/>
      <c r="D7" s="355"/>
      <c r="E7" s="355"/>
      <c r="F7" s="355"/>
      <c r="G7" s="355"/>
      <c r="H7" s="355"/>
      <c r="I7" s="355"/>
      <c r="J7" s="355"/>
      <c r="K7" s="355"/>
    </row>
    <row r="8" spans="1:11">
      <c r="A8" s="356" t="s">
        <v>2</v>
      </c>
      <c r="B8" s="357"/>
      <c r="C8" s="355"/>
      <c r="D8" s="355"/>
      <c r="E8" s="355"/>
      <c r="F8" s="355"/>
      <c r="G8" s="355"/>
      <c r="H8" s="355"/>
      <c r="I8" s="355"/>
      <c r="J8" s="355"/>
      <c r="K8" s="355"/>
    </row>
    <row r="9" spans="1:11">
      <c r="A9" s="354">
        <v>1</v>
      </c>
      <c r="B9" s="358" t="s">
        <v>110</v>
      </c>
      <c r="C9" s="355"/>
      <c r="D9" s="355"/>
      <c r="E9" s="355"/>
      <c r="F9" s="355"/>
      <c r="G9" s="355"/>
      <c r="H9" s="355"/>
      <c r="I9" s="355"/>
      <c r="J9" s="355"/>
      <c r="K9" s="355"/>
    </row>
    <row r="10" spans="1:11">
      <c r="A10" s="359">
        <v>2</v>
      </c>
      <c r="B10" s="355" t="s">
        <v>61</v>
      </c>
      <c r="C10" s="355"/>
      <c r="D10" s="355"/>
      <c r="E10" s="355"/>
      <c r="F10" s="355"/>
      <c r="G10" s="355"/>
      <c r="H10" s="355"/>
      <c r="I10" s="355"/>
      <c r="J10" s="355"/>
      <c r="K10" s="355"/>
    </row>
    <row r="11" spans="1:11" ht="15.75">
      <c r="A11" s="354">
        <v>3</v>
      </c>
      <c r="B11" s="360" t="s">
        <v>95</v>
      </c>
      <c r="C11" s="355"/>
      <c r="D11" s="355"/>
      <c r="E11" s="355"/>
      <c r="F11" s="355"/>
      <c r="G11" s="355"/>
      <c r="H11" s="355"/>
      <c r="I11" s="355"/>
      <c r="J11" s="355"/>
      <c r="K11" s="355"/>
    </row>
    <row r="12" spans="1:11">
      <c r="A12" s="359">
        <v>4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</row>
    <row r="13" spans="1:11">
      <c r="A13" s="354">
        <v>5</v>
      </c>
      <c r="B13" s="361" t="s">
        <v>62</v>
      </c>
      <c r="C13" s="355"/>
      <c r="D13" s="355"/>
      <c r="E13" s="355"/>
      <c r="F13" s="355"/>
      <c r="G13" s="355"/>
      <c r="H13" s="355"/>
      <c r="I13" s="355"/>
      <c r="J13" s="355"/>
      <c r="K13" s="355"/>
    </row>
    <row r="14" spans="1:11" ht="15.75">
      <c r="A14" s="359">
        <v>6</v>
      </c>
      <c r="B14" s="360" t="s">
        <v>66</v>
      </c>
      <c r="C14" s="355"/>
      <c r="D14" s="355"/>
      <c r="E14" s="355"/>
      <c r="F14" s="355"/>
      <c r="G14" s="355"/>
      <c r="H14" s="355"/>
      <c r="I14" s="355"/>
      <c r="J14" s="355"/>
      <c r="K14" s="355"/>
    </row>
    <row r="15" spans="1:11">
      <c r="A15" s="354">
        <v>7</v>
      </c>
      <c r="B15" s="361"/>
      <c r="C15" s="355"/>
      <c r="D15" s="355"/>
      <c r="E15" s="355"/>
      <c r="F15" s="355"/>
      <c r="G15" s="355"/>
      <c r="H15" s="355"/>
      <c r="I15" s="355"/>
      <c r="J15" s="355"/>
      <c r="K15" s="355"/>
    </row>
    <row r="16" spans="1:11" ht="15.75">
      <c r="A16" s="359">
        <v>8</v>
      </c>
      <c r="B16" s="362" t="s">
        <v>97</v>
      </c>
      <c r="C16" s="646">
        <v>2011</v>
      </c>
      <c r="D16" s="646"/>
      <c r="E16" s="646"/>
      <c r="F16" s="646"/>
      <c r="G16" s="646"/>
      <c r="H16" s="646"/>
      <c r="I16" s="646"/>
      <c r="J16" s="646"/>
      <c r="K16" s="646"/>
    </row>
    <row r="17" spans="1:11" ht="21" thickBot="1">
      <c r="A17" s="354">
        <v>9</v>
      </c>
      <c r="B17" s="363" t="s">
        <v>335</v>
      </c>
      <c r="C17" s="535" t="s">
        <v>78</v>
      </c>
      <c r="D17" s="535" t="s">
        <v>75</v>
      </c>
      <c r="E17" s="535" t="s">
        <v>79</v>
      </c>
      <c r="F17" s="535" t="s">
        <v>80</v>
      </c>
      <c r="G17" s="535" t="s">
        <v>81</v>
      </c>
      <c r="H17" s="535" t="s">
        <v>82</v>
      </c>
      <c r="I17" s="535" t="s">
        <v>83</v>
      </c>
      <c r="J17" s="535" t="s">
        <v>84</v>
      </c>
      <c r="K17" s="535" t="s">
        <v>101</v>
      </c>
    </row>
    <row r="18" spans="1:11" ht="29.25" thickTop="1">
      <c r="A18" s="359">
        <v>10</v>
      </c>
      <c r="B18" s="472" t="s">
        <v>17</v>
      </c>
      <c r="C18" s="366"/>
      <c r="D18" s="355"/>
      <c r="E18" s="355"/>
      <c r="F18" s="355"/>
      <c r="G18" s="355"/>
      <c r="H18" s="355"/>
      <c r="I18" s="355"/>
      <c r="J18" s="355"/>
      <c r="K18" s="355"/>
    </row>
    <row r="19" spans="1:11">
      <c r="A19" s="367">
        <v>11</v>
      </c>
      <c r="B19" s="368" t="s">
        <v>146</v>
      </c>
      <c r="C19" s="369">
        <f>'S. of Kramer CWIP Balance'!E15+'Def Tax'!F866</f>
        <v>261.71168999999998</v>
      </c>
      <c r="D19" s="370">
        <f>C20</f>
        <v>343.79647299481252</v>
      </c>
      <c r="E19" s="370">
        <f>D20</f>
        <v>438.80004959408052</v>
      </c>
      <c r="F19" s="370">
        <f t="shared" ref="F19:K19" si="0">E20</f>
        <v>576.76839482870207</v>
      </c>
      <c r="G19" s="370">
        <f t="shared" si="0"/>
        <v>714.67942999099353</v>
      </c>
      <c r="H19" s="370">
        <f t="shared" si="0"/>
        <v>951.05272830337799</v>
      </c>
      <c r="I19" s="370">
        <f t="shared" si="0"/>
        <v>1245.0874106049255</v>
      </c>
      <c r="J19" s="370">
        <f t="shared" si="0"/>
        <v>1532.1458194079246</v>
      </c>
      <c r="K19" s="370">
        <f t="shared" si="0"/>
        <v>1798.0306935233434</v>
      </c>
    </row>
    <row r="20" spans="1:11">
      <c r="A20" s="371">
        <v>12</v>
      </c>
      <c r="B20" s="368" t="s">
        <v>147</v>
      </c>
      <c r="C20" s="372">
        <f>'S. of Kramer CWIP Balance'!$E16+'Def Tax'!$F867</f>
        <v>343.79647299481252</v>
      </c>
      <c r="D20" s="372">
        <f>'S. of Kramer CWIP Balance'!$E17+'Def Tax'!$F868</f>
        <v>438.80004959408052</v>
      </c>
      <c r="E20" s="372">
        <f>'S. of Kramer CWIP Balance'!$E18+'Def Tax'!$F869</f>
        <v>576.76839482870207</v>
      </c>
      <c r="F20" s="372">
        <f>'S. of Kramer CWIP Balance'!$E19+'Def Tax'!$F870</f>
        <v>714.67942999099353</v>
      </c>
      <c r="G20" s="372">
        <f>'S. of Kramer CWIP Balance'!$E20+'Def Tax'!$F871</f>
        <v>951.05272830337799</v>
      </c>
      <c r="H20" s="372">
        <f>'S. of Kramer CWIP Balance'!$E21+'Def Tax'!$F872</f>
        <v>1245.0874106049255</v>
      </c>
      <c r="I20" s="372">
        <f>'S. of Kramer CWIP Balance'!$E22+'Def Tax'!$F873</f>
        <v>1532.1458194079246</v>
      </c>
      <c r="J20" s="372">
        <f>'S. of Kramer CWIP Balance'!$E23+'Def Tax'!$F874</f>
        <v>1798.0306935233434</v>
      </c>
      <c r="K20" s="372">
        <f>'S. of Kramer CWIP Balance'!$E24+'Def Tax'!$F875</f>
        <v>2142.8800535233431</v>
      </c>
    </row>
    <row r="21" spans="1:11">
      <c r="A21" s="367">
        <v>13</v>
      </c>
      <c r="B21" s="368" t="s">
        <v>12</v>
      </c>
      <c r="C21" s="452">
        <f>SUM(C19:C20)</f>
        <v>605.50816299481244</v>
      </c>
      <c r="D21" s="452">
        <f>SUM(D19:D20)</f>
        <v>782.59652258889309</v>
      </c>
      <c r="E21" s="452">
        <f t="shared" ref="E21:K21" si="1">SUM(E19:E20)</f>
        <v>1015.5684444227826</v>
      </c>
      <c r="F21" s="452">
        <f t="shared" si="1"/>
        <v>1291.4478248196956</v>
      </c>
      <c r="G21" s="452">
        <f t="shared" si="1"/>
        <v>1665.7321582943714</v>
      </c>
      <c r="H21" s="452">
        <f t="shared" si="1"/>
        <v>2196.1401389083035</v>
      </c>
      <c r="I21" s="452">
        <f t="shared" si="1"/>
        <v>2777.2332300128501</v>
      </c>
      <c r="J21" s="452">
        <f t="shared" si="1"/>
        <v>3330.176512931268</v>
      </c>
      <c r="K21" s="452">
        <f t="shared" si="1"/>
        <v>3940.9107470466865</v>
      </c>
    </row>
    <row r="22" spans="1:11">
      <c r="A22" s="359">
        <v>14</v>
      </c>
      <c r="B22" s="466" t="s">
        <v>13</v>
      </c>
      <c r="C22" s="460">
        <f>C21/2</f>
        <v>302.75408149740622</v>
      </c>
      <c r="D22" s="460">
        <f>D21/2</f>
        <v>391.29826129444655</v>
      </c>
      <c r="E22" s="460">
        <f t="shared" ref="E22:K22" si="2">E21/2</f>
        <v>507.7842222113913</v>
      </c>
      <c r="F22" s="460">
        <f t="shared" si="2"/>
        <v>645.7239124098478</v>
      </c>
      <c r="G22" s="460">
        <f t="shared" si="2"/>
        <v>832.8660791471857</v>
      </c>
      <c r="H22" s="460">
        <f t="shared" si="2"/>
        <v>1098.0700694541517</v>
      </c>
      <c r="I22" s="460">
        <f t="shared" si="2"/>
        <v>1388.616615006425</v>
      </c>
      <c r="J22" s="460">
        <f t="shared" si="2"/>
        <v>1665.088256465634</v>
      </c>
      <c r="K22" s="460">
        <f t="shared" si="2"/>
        <v>1970.4553735233433</v>
      </c>
    </row>
    <row r="23" spans="1:11">
      <c r="A23" s="354">
        <v>15</v>
      </c>
      <c r="B23" s="368"/>
      <c r="C23" s="453"/>
      <c r="D23" s="453"/>
      <c r="E23" s="453"/>
      <c r="F23" s="453"/>
      <c r="G23" s="453"/>
      <c r="H23" s="453"/>
      <c r="I23" s="453"/>
      <c r="J23" s="453"/>
      <c r="K23" s="453"/>
    </row>
    <row r="24" spans="1:11" ht="28.5">
      <c r="A24" s="359">
        <v>16</v>
      </c>
      <c r="B24" s="472" t="s">
        <v>14</v>
      </c>
      <c r="C24" s="453"/>
      <c r="D24" s="453"/>
      <c r="E24" s="453"/>
      <c r="F24" s="453"/>
      <c r="G24" s="453"/>
      <c r="H24" s="453"/>
      <c r="I24" s="453"/>
      <c r="J24" s="453"/>
      <c r="K24" s="453"/>
    </row>
    <row r="25" spans="1:11">
      <c r="A25" s="367">
        <v>17</v>
      </c>
      <c r="B25" s="374" t="s">
        <v>47</v>
      </c>
      <c r="C25" s="375">
        <f>'Cost of Capital'!$D$185</f>
        <v>8.3139999999999992E-2</v>
      </c>
      <c r="D25" s="375">
        <f>'Cost of Capital'!$D$185</f>
        <v>8.3139999999999992E-2</v>
      </c>
      <c r="E25" s="375">
        <f>'Cost of Capital'!$D$185</f>
        <v>8.3139999999999992E-2</v>
      </c>
      <c r="F25" s="375">
        <f>'Cost of Capital'!$D$185</f>
        <v>8.3139999999999992E-2</v>
      </c>
      <c r="G25" s="375">
        <f>'Cost of Capital'!$D$185</f>
        <v>8.3139999999999992E-2</v>
      </c>
      <c r="H25" s="375">
        <f>'Cost of Capital'!$D$185</f>
        <v>8.3139999999999992E-2</v>
      </c>
      <c r="I25" s="375">
        <f>'Cost of Capital'!$D$185</f>
        <v>8.3139999999999992E-2</v>
      </c>
      <c r="J25" s="375">
        <f>'Cost of Capital'!$D$185</f>
        <v>8.3139999999999992E-2</v>
      </c>
      <c r="K25" s="375">
        <f>'Cost of Capital'!$D$185</f>
        <v>8.3139999999999992E-2</v>
      </c>
    </row>
    <row r="26" spans="1:11">
      <c r="A26" s="359">
        <v>18</v>
      </c>
      <c r="B26" s="466" t="s">
        <v>48</v>
      </c>
      <c r="C26" s="441">
        <f>'Cost of Capital'!$D$186</f>
        <v>6.9283333333333324E-3</v>
      </c>
      <c r="D26" s="441">
        <f>'Cost of Capital'!$D$186</f>
        <v>6.9283333333333324E-3</v>
      </c>
      <c r="E26" s="441">
        <f>'Cost of Capital'!$D$186</f>
        <v>6.9283333333333324E-3</v>
      </c>
      <c r="F26" s="441">
        <f>'Cost of Capital'!$D$186</f>
        <v>6.9283333333333324E-3</v>
      </c>
      <c r="G26" s="441">
        <f>'Cost of Capital'!$D$186</f>
        <v>6.9283333333333324E-3</v>
      </c>
      <c r="H26" s="441">
        <f>'Cost of Capital'!$D$186</f>
        <v>6.9283333333333324E-3</v>
      </c>
      <c r="I26" s="441">
        <f>'Cost of Capital'!$D$186</f>
        <v>6.9283333333333324E-3</v>
      </c>
      <c r="J26" s="441">
        <f>'Cost of Capital'!$D$186</f>
        <v>6.9283333333333324E-3</v>
      </c>
      <c r="K26" s="441">
        <f>'Cost of Capital'!$D$186</f>
        <v>6.9283333333333324E-3</v>
      </c>
    </row>
    <row r="27" spans="1:11">
      <c r="A27" s="354">
        <v>19</v>
      </c>
      <c r="B27" s="368"/>
      <c r="C27" s="453"/>
      <c r="D27" s="453"/>
      <c r="E27" s="453"/>
      <c r="F27" s="453"/>
      <c r="G27" s="453"/>
      <c r="H27" s="453"/>
      <c r="I27" s="453"/>
      <c r="J27" s="453"/>
      <c r="K27" s="453"/>
    </row>
    <row r="28" spans="1:11" ht="15.75">
      <c r="A28" s="359">
        <v>20</v>
      </c>
      <c r="B28" s="473" t="s">
        <v>65</v>
      </c>
      <c r="C28" s="453"/>
      <c r="D28" s="453"/>
      <c r="E28" s="453"/>
      <c r="F28" s="453"/>
      <c r="G28" s="453"/>
      <c r="H28" s="453"/>
      <c r="I28" s="453"/>
      <c r="J28" s="453"/>
      <c r="K28" s="453"/>
    </row>
    <row r="29" spans="1:11">
      <c r="A29" s="354">
        <v>21</v>
      </c>
      <c r="B29" s="474" t="s">
        <v>91</v>
      </c>
      <c r="C29" s="453"/>
      <c r="D29" s="453"/>
      <c r="E29" s="453"/>
      <c r="F29" s="453"/>
      <c r="G29" s="453"/>
      <c r="H29" s="453"/>
      <c r="I29" s="453"/>
      <c r="J29" s="453"/>
      <c r="K29" s="453"/>
    </row>
    <row r="30" spans="1:11">
      <c r="A30" s="359">
        <v>22</v>
      </c>
      <c r="B30" s="475" t="s">
        <v>15</v>
      </c>
      <c r="C30" s="453"/>
      <c r="D30" s="453"/>
      <c r="E30" s="453"/>
      <c r="F30" s="453"/>
      <c r="G30" s="453"/>
      <c r="H30" s="453"/>
      <c r="I30" s="453"/>
      <c r="J30" s="453"/>
      <c r="K30" s="453"/>
    </row>
    <row r="31" spans="1:11" ht="25.5">
      <c r="A31" s="354">
        <v>23</v>
      </c>
      <c r="B31" s="476" t="s">
        <v>92</v>
      </c>
      <c r="C31" s="453"/>
      <c r="D31" s="453"/>
      <c r="E31" s="453"/>
      <c r="F31" s="453"/>
      <c r="G31" s="453"/>
      <c r="H31" s="453"/>
      <c r="I31" s="453"/>
      <c r="J31" s="453"/>
      <c r="K31" s="453"/>
    </row>
    <row r="32" spans="1:11" ht="25.5">
      <c r="A32" s="359">
        <v>24</v>
      </c>
      <c r="B32" s="477" t="s">
        <v>19</v>
      </c>
      <c r="C32" s="453"/>
      <c r="D32" s="453"/>
      <c r="E32" s="453"/>
      <c r="F32" s="453"/>
      <c r="G32" s="453"/>
      <c r="H32" s="453"/>
      <c r="I32" s="453"/>
      <c r="J32" s="453"/>
      <c r="K32" s="453"/>
    </row>
    <row r="33" spans="1:11">
      <c r="A33" s="367">
        <v>25</v>
      </c>
      <c r="B33" s="368" t="s">
        <v>20</v>
      </c>
      <c r="C33" s="381">
        <f>'Cost of Capital'!$D182</f>
        <v>2.58E-2</v>
      </c>
      <c r="D33" s="381">
        <f>'Cost of Capital'!$D182</f>
        <v>2.58E-2</v>
      </c>
      <c r="E33" s="381">
        <f>'Cost of Capital'!$D182</f>
        <v>2.58E-2</v>
      </c>
      <c r="F33" s="381">
        <f>'Cost of Capital'!$D182</f>
        <v>2.58E-2</v>
      </c>
      <c r="G33" s="381">
        <f>'Cost of Capital'!$D182</f>
        <v>2.58E-2</v>
      </c>
      <c r="H33" s="381">
        <f>'Cost of Capital'!$D182</f>
        <v>2.58E-2</v>
      </c>
      <c r="I33" s="381">
        <f>'Cost of Capital'!$D182</f>
        <v>2.58E-2</v>
      </c>
      <c r="J33" s="381">
        <f>'Cost of Capital'!$D182</f>
        <v>2.58E-2</v>
      </c>
      <c r="K33" s="381">
        <f>'Cost of Capital'!$D182</f>
        <v>2.58E-2</v>
      </c>
    </row>
    <row r="34" spans="1:11">
      <c r="A34" s="359">
        <v>26</v>
      </c>
      <c r="B34" s="368" t="s">
        <v>21</v>
      </c>
      <c r="C34" s="461">
        <f>C33/12</f>
        <v>2.15E-3</v>
      </c>
      <c r="D34" s="461">
        <f>D33/12</f>
        <v>2.15E-3</v>
      </c>
      <c r="E34" s="461">
        <f t="shared" ref="E34:K34" si="3">E33/12</f>
        <v>2.15E-3</v>
      </c>
      <c r="F34" s="461">
        <f t="shared" si="3"/>
        <v>2.15E-3</v>
      </c>
      <c r="G34" s="461">
        <f t="shared" si="3"/>
        <v>2.15E-3</v>
      </c>
      <c r="H34" s="461">
        <f t="shared" si="3"/>
        <v>2.15E-3</v>
      </c>
      <c r="I34" s="461">
        <f t="shared" si="3"/>
        <v>2.15E-3</v>
      </c>
      <c r="J34" s="461">
        <f t="shared" si="3"/>
        <v>2.15E-3</v>
      </c>
      <c r="K34" s="461">
        <f t="shared" si="3"/>
        <v>2.15E-3</v>
      </c>
    </row>
    <row r="35" spans="1:11" ht="25.5">
      <c r="A35" s="354">
        <v>27</v>
      </c>
      <c r="B35" s="477" t="s">
        <v>22</v>
      </c>
      <c r="C35" s="453"/>
      <c r="D35" s="453"/>
      <c r="E35" s="453"/>
      <c r="F35" s="453"/>
      <c r="G35" s="453"/>
      <c r="H35" s="453"/>
      <c r="I35" s="453"/>
      <c r="J35" s="453"/>
      <c r="K35" s="453"/>
    </row>
    <row r="36" spans="1:11">
      <c r="A36" s="359">
        <v>28</v>
      </c>
      <c r="B36" s="368" t="s">
        <v>18</v>
      </c>
      <c r="C36" s="462">
        <f>'Def Tax'!$E849</f>
        <v>1.3630817187499997</v>
      </c>
      <c r="D36" s="462">
        <f>'Def Tax'!$E850</f>
        <v>1.7957778214518227</v>
      </c>
      <c r="E36" s="462">
        <f>'Def Tax'!$E851</f>
        <v>2.2977183830218841</v>
      </c>
      <c r="F36" s="462">
        <f>'Def Tax'!$E852</f>
        <v>3.0258330621001233</v>
      </c>
      <c r="G36" s="462">
        <f>'Def Tax'!$E853</f>
        <v>3.7572040676318945</v>
      </c>
      <c r="H36" s="462">
        <f>'Def Tax'!$E854</f>
        <v>5.0052263284008109</v>
      </c>
      <c r="I36" s="462">
        <f>'Def Tax'!$E855</f>
        <v>6.5600707363612312</v>
      </c>
      <c r="J36" s="462">
        <f>'Def Tax'!$E856</f>
        <v>8.0870137089464471</v>
      </c>
      <c r="K36" s="462">
        <f>'Def Tax'!$E857</f>
        <v>9.5125206553472097</v>
      </c>
    </row>
    <row r="37" spans="1:11">
      <c r="A37" s="354">
        <v>29</v>
      </c>
      <c r="B37" s="478" t="s">
        <v>23</v>
      </c>
      <c r="C37" s="453"/>
      <c r="D37" s="453"/>
      <c r="E37" s="453"/>
      <c r="F37" s="453"/>
      <c r="G37" s="453"/>
      <c r="H37" s="453"/>
      <c r="I37" s="453"/>
      <c r="J37" s="453"/>
      <c r="K37" s="453"/>
    </row>
    <row r="38" spans="1:11">
      <c r="A38" s="371">
        <v>30</v>
      </c>
      <c r="B38" s="368" t="s">
        <v>16</v>
      </c>
      <c r="C38" s="383">
        <f>'Income Tax Rates'!$K72</f>
        <v>8.8330000000000006E-2</v>
      </c>
      <c r="D38" s="383">
        <f>'Income Tax Rates'!$K72</f>
        <v>8.8330000000000006E-2</v>
      </c>
      <c r="E38" s="383">
        <f>'Income Tax Rates'!$K72</f>
        <v>8.8330000000000006E-2</v>
      </c>
      <c r="F38" s="383">
        <f>'Income Tax Rates'!$K72</f>
        <v>8.8330000000000006E-2</v>
      </c>
      <c r="G38" s="383">
        <f>'Income Tax Rates'!$K72</f>
        <v>8.8330000000000006E-2</v>
      </c>
      <c r="H38" s="383">
        <f>'Income Tax Rates'!$K72</f>
        <v>8.8330000000000006E-2</v>
      </c>
      <c r="I38" s="383">
        <f>'Income Tax Rates'!$K72</f>
        <v>8.8330000000000006E-2</v>
      </c>
      <c r="J38" s="383">
        <f>'Income Tax Rates'!$K72</f>
        <v>8.8330000000000006E-2</v>
      </c>
      <c r="K38" s="383">
        <f>'Income Tax Rates'!$K72</f>
        <v>8.8330000000000006E-2</v>
      </c>
    </row>
    <row r="39" spans="1:11">
      <c r="A39" s="354">
        <v>31</v>
      </c>
      <c r="B39" s="368" t="s">
        <v>49</v>
      </c>
      <c r="C39" s="463">
        <f>((C22*(C26-C34))+C36)*C38</f>
        <v>0.24818447889971265</v>
      </c>
      <c r="D39" s="463">
        <f>((D22*(D26-D34))+D36)*D38</f>
        <v>0.32377638385140112</v>
      </c>
      <c r="E39" s="463">
        <f t="shared" ref="E39:K39" si="4">((E22*(E26-E34))+E36)*E38</f>
        <v>0.41727804453485901</v>
      </c>
      <c r="F39" s="463">
        <f t="shared" si="4"/>
        <v>0.53981264446884558</v>
      </c>
      <c r="G39" s="463">
        <f t="shared" si="4"/>
        <v>0.68340177401169244</v>
      </c>
      <c r="H39" s="463">
        <f t="shared" si="4"/>
        <v>0.90557427711500349</v>
      </c>
      <c r="I39" s="463">
        <f t="shared" si="4"/>
        <v>1.165544717418262</v>
      </c>
      <c r="J39" s="463">
        <f t="shared" si="4"/>
        <v>1.4171100265838701</v>
      </c>
      <c r="K39" s="463">
        <f t="shared" si="4"/>
        <v>1.6719114102399681</v>
      </c>
    </row>
    <row r="40" spans="1:11">
      <c r="A40" s="359">
        <v>32</v>
      </c>
      <c r="B40" s="368"/>
      <c r="C40" s="453"/>
      <c r="D40" s="453"/>
      <c r="E40" s="453"/>
      <c r="F40" s="453"/>
      <c r="G40" s="453"/>
      <c r="H40" s="453"/>
      <c r="I40" s="453"/>
      <c r="J40" s="453"/>
      <c r="K40" s="453"/>
    </row>
    <row r="41" spans="1:11">
      <c r="A41" s="354">
        <v>33</v>
      </c>
      <c r="B41" s="475" t="s">
        <v>50</v>
      </c>
      <c r="C41" s="453"/>
      <c r="D41" s="453"/>
      <c r="E41" s="453"/>
      <c r="F41" s="453"/>
      <c r="G41" s="453"/>
      <c r="H41" s="453"/>
      <c r="I41" s="453"/>
      <c r="J41" s="453"/>
      <c r="K41" s="453"/>
    </row>
    <row r="42" spans="1:11" ht="25.5">
      <c r="A42" s="359">
        <v>34</v>
      </c>
      <c r="B42" s="479" t="s">
        <v>109</v>
      </c>
      <c r="C42" s="453"/>
      <c r="D42" s="453"/>
      <c r="E42" s="453"/>
      <c r="F42" s="453"/>
      <c r="G42" s="453"/>
      <c r="H42" s="453"/>
      <c r="I42" s="453"/>
      <c r="J42" s="453"/>
      <c r="K42" s="453"/>
    </row>
    <row r="43" spans="1:11">
      <c r="A43" s="367">
        <v>35</v>
      </c>
      <c r="B43" s="368" t="s">
        <v>51</v>
      </c>
      <c r="C43" s="385">
        <f>'Income Tax Rates'!$K73</f>
        <v>0.35</v>
      </c>
      <c r="D43" s="385">
        <f>'Income Tax Rates'!$K73</f>
        <v>0.35</v>
      </c>
      <c r="E43" s="385">
        <f>'Income Tax Rates'!$K73</f>
        <v>0.35</v>
      </c>
      <c r="F43" s="385">
        <f>'Income Tax Rates'!$K73</f>
        <v>0.35</v>
      </c>
      <c r="G43" s="385">
        <f>'Income Tax Rates'!$K73</f>
        <v>0.35</v>
      </c>
      <c r="H43" s="385">
        <f>'Income Tax Rates'!$K73</f>
        <v>0.35</v>
      </c>
      <c r="I43" s="385">
        <f>'Income Tax Rates'!$K73</f>
        <v>0.35</v>
      </c>
      <c r="J43" s="385">
        <f>'Income Tax Rates'!$K73</f>
        <v>0.35</v>
      </c>
      <c r="K43" s="385">
        <f>'Income Tax Rates'!$K73</f>
        <v>0.35</v>
      </c>
    </row>
    <row r="44" spans="1:11">
      <c r="A44" s="359">
        <v>36</v>
      </c>
      <c r="B44" s="368" t="s">
        <v>52</v>
      </c>
      <c r="C44" s="463">
        <f>((C22*(C26-C34))-C39+C36)*C43</f>
        <v>0.89654500574522067</v>
      </c>
      <c r="D44" s="463">
        <f>((D22*(D26-D34))-D39+D36)*D43</f>
        <v>1.169614236986668</v>
      </c>
      <c r="E44" s="463">
        <f t="shared" ref="E44:K44" si="5">((E22*(E26-E34))-E39+E36)*E43</f>
        <v>1.5073809147671595</v>
      </c>
      <c r="F44" s="463">
        <f t="shared" si="5"/>
        <v>1.9500265793503828</v>
      </c>
      <c r="G44" s="463">
        <f t="shared" si="5"/>
        <v>2.4687299146341428</v>
      </c>
      <c r="H44" s="463">
        <f t="shared" si="5"/>
        <v>3.2713089032729794</v>
      </c>
      <c r="I44" s="463">
        <f t="shared" si="5"/>
        <v>4.210429677177034</v>
      </c>
      <c r="J44" s="463">
        <f t="shared" si="5"/>
        <v>5.1191876404109689</v>
      </c>
      <c r="K44" s="463">
        <f t="shared" si="5"/>
        <v>6.0396356433908656</v>
      </c>
    </row>
    <row r="45" spans="1:11">
      <c r="A45" s="354">
        <v>37</v>
      </c>
      <c r="B45" s="368"/>
      <c r="C45" s="453"/>
      <c r="D45" s="453"/>
      <c r="E45" s="453"/>
      <c r="F45" s="453"/>
      <c r="G45" s="453"/>
      <c r="H45" s="453"/>
      <c r="I45" s="453"/>
      <c r="J45" s="453"/>
      <c r="K45" s="453"/>
    </row>
    <row r="46" spans="1:11" ht="25.5">
      <c r="A46" s="359">
        <v>38</v>
      </c>
      <c r="B46" s="477" t="s">
        <v>53</v>
      </c>
      <c r="C46" s="386"/>
      <c r="D46" s="386"/>
      <c r="E46" s="386"/>
      <c r="F46" s="386"/>
      <c r="G46" s="386"/>
      <c r="H46" s="386"/>
      <c r="I46" s="386"/>
      <c r="J46" s="386"/>
      <c r="K46" s="386"/>
    </row>
    <row r="47" spans="1:11">
      <c r="A47" s="354">
        <v>39</v>
      </c>
      <c r="B47" s="368" t="s">
        <v>58</v>
      </c>
      <c r="C47" s="462">
        <f>-'Def Tax'!$F849</f>
        <v>-0.55531949221874988</v>
      </c>
      <c r="D47" s="462">
        <f>-'Def Tax'!$F850</f>
        <v>-0.73159988445947255</v>
      </c>
      <c r="E47" s="462">
        <f>-'Def Tax'!$F851</f>
        <v>-0.93609046924311556</v>
      </c>
      <c r="F47" s="462">
        <f>-'Def Tax'!$F852</f>
        <v>-1.2327243894995901</v>
      </c>
      <c r="G47" s="462">
        <f>-'Def Tax'!$F853</f>
        <v>-1.5306849371532338</v>
      </c>
      <c r="H47" s="462">
        <f>-'Def Tax'!$F854</f>
        <v>-2.0391292061904904</v>
      </c>
      <c r="I47" s="462">
        <f>-'Def Tax'!$F855</f>
        <v>-2.6725728179935655</v>
      </c>
      <c r="J47" s="462">
        <f>-'Def Tax'!$F856</f>
        <v>-3.2946493850247824</v>
      </c>
      <c r="K47" s="462">
        <f>-'Def Tax'!$F857</f>
        <v>-3.875400914988453</v>
      </c>
    </row>
    <row r="48" spans="1:11">
      <c r="A48" s="359">
        <v>40</v>
      </c>
      <c r="B48" s="368"/>
      <c r="C48" s="453"/>
      <c r="D48" s="453"/>
      <c r="E48" s="453"/>
      <c r="F48" s="453"/>
      <c r="G48" s="453"/>
      <c r="H48" s="453"/>
      <c r="I48" s="453"/>
      <c r="J48" s="453"/>
      <c r="K48" s="453"/>
    </row>
    <row r="49" spans="1:11">
      <c r="A49" s="354">
        <v>41</v>
      </c>
      <c r="B49" s="475" t="s">
        <v>54</v>
      </c>
      <c r="C49" s="453"/>
      <c r="D49" s="453"/>
      <c r="E49" s="453"/>
      <c r="F49" s="453"/>
      <c r="G49" s="453"/>
      <c r="H49" s="453"/>
      <c r="I49" s="453"/>
      <c r="J49" s="453"/>
      <c r="K49" s="453"/>
    </row>
    <row r="50" spans="1:11">
      <c r="A50" s="359">
        <v>42</v>
      </c>
      <c r="B50" s="475" t="s">
        <v>55</v>
      </c>
      <c r="C50" s="453"/>
      <c r="D50" s="453"/>
      <c r="E50" s="453"/>
      <c r="F50" s="453"/>
      <c r="G50" s="453"/>
      <c r="H50" s="453"/>
      <c r="I50" s="453"/>
      <c r="J50" s="453"/>
      <c r="K50" s="453"/>
    </row>
    <row r="51" spans="1:11" ht="25.5">
      <c r="A51" s="354">
        <v>43</v>
      </c>
      <c r="B51" s="477" t="s">
        <v>56</v>
      </c>
      <c r="C51" s="453"/>
      <c r="D51" s="453"/>
      <c r="E51" s="453"/>
      <c r="F51" s="453"/>
      <c r="G51" s="453"/>
      <c r="H51" s="453"/>
      <c r="I51" s="453"/>
      <c r="J51" s="453"/>
      <c r="K51" s="453"/>
    </row>
    <row r="52" spans="1:11">
      <c r="A52" s="371">
        <v>44</v>
      </c>
      <c r="B52" s="368" t="s">
        <v>57</v>
      </c>
      <c r="C52" s="387">
        <f>'Income Tax Rates'!$K76</f>
        <v>0.40739999999999998</v>
      </c>
      <c r="D52" s="387">
        <f>'Income Tax Rates'!$K76</f>
        <v>0.40739999999999998</v>
      </c>
      <c r="E52" s="387">
        <f>'Income Tax Rates'!$K76</f>
        <v>0.40739999999999998</v>
      </c>
      <c r="F52" s="387">
        <f>'Income Tax Rates'!$K76</f>
        <v>0.40739999999999998</v>
      </c>
      <c r="G52" s="387">
        <f>'Income Tax Rates'!$K76</f>
        <v>0.40739999999999998</v>
      </c>
      <c r="H52" s="387">
        <f>'Income Tax Rates'!$K76</f>
        <v>0.40739999999999998</v>
      </c>
      <c r="I52" s="387">
        <f>'Income Tax Rates'!$K76</f>
        <v>0.40739999999999998</v>
      </c>
      <c r="J52" s="387">
        <f>'Income Tax Rates'!$K76</f>
        <v>0.40739999999999998</v>
      </c>
      <c r="K52" s="387">
        <f>'Income Tax Rates'!$K76</f>
        <v>0.40739999999999998</v>
      </c>
    </row>
    <row r="53" spans="1:11">
      <c r="A53" s="354">
        <v>45</v>
      </c>
      <c r="B53" s="368" t="s">
        <v>59</v>
      </c>
      <c r="C53" s="464">
        <f>1/(1-C52)</f>
        <v>1.6874789065136686</v>
      </c>
      <c r="D53" s="464">
        <f>1/(1-D52)</f>
        <v>1.6874789065136686</v>
      </c>
      <c r="E53" s="464">
        <f t="shared" ref="E53:K53" si="6">1/(1-E52)</f>
        <v>1.6874789065136686</v>
      </c>
      <c r="F53" s="464">
        <f t="shared" si="6"/>
        <v>1.6874789065136686</v>
      </c>
      <c r="G53" s="464">
        <f t="shared" si="6"/>
        <v>1.6874789065136686</v>
      </c>
      <c r="H53" s="464">
        <f t="shared" si="6"/>
        <v>1.6874789065136686</v>
      </c>
      <c r="I53" s="464">
        <f t="shared" si="6"/>
        <v>1.6874789065136686</v>
      </c>
      <c r="J53" s="464">
        <f t="shared" si="6"/>
        <v>1.6874789065136686</v>
      </c>
      <c r="K53" s="464">
        <f t="shared" si="6"/>
        <v>1.6874789065136686</v>
      </c>
    </row>
    <row r="54" spans="1:11">
      <c r="A54" s="359">
        <v>46</v>
      </c>
      <c r="B54" s="368"/>
      <c r="C54" s="387"/>
      <c r="D54" s="387"/>
      <c r="E54" s="387"/>
      <c r="F54" s="387"/>
      <c r="G54" s="387"/>
      <c r="H54" s="387"/>
      <c r="I54" s="387"/>
      <c r="J54" s="387"/>
      <c r="K54" s="387"/>
    </row>
    <row r="55" spans="1:11" ht="15.75">
      <c r="A55" s="354">
        <v>47</v>
      </c>
      <c r="B55" s="473" t="s">
        <v>93</v>
      </c>
      <c r="C55" s="387"/>
      <c r="D55" s="387"/>
      <c r="E55" s="387"/>
      <c r="F55" s="387"/>
      <c r="G55" s="387"/>
      <c r="H55" s="387"/>
      <c r="I55" s="387"/>
      <c r="J55" s="387"/>
      <c r="K55" s="387"/>
    </row>
    <row r="56" spans="1:11">
      <c r="A56" s="359">
        <v>48</v>
      </c>
      <c r="B56" s="368" t="s">
        <v>49</v>
      </c>
      <c r="C56" s="454">
        <f>C39</f>
        <v>0.24818447889971265</v>
      </c>
      <c r="D56" s="454">
        <f>D39</f>
        <v>0.32377638385140112</v>
      </c>
      <c r="E56" s="454">
        <f t="shared" ref="E56:K56" si="7">E39</f>
        <v>0.41727804453485901</v>
      </c>
      <c r="F56" s="454">
        <f t="shared" si="7"/>
        <v>0.53981264446884558</v>
      </c>
      <c r="G56" s="454">
        <f t="shared" si="7"/>
        <v>0.68340177401169244</v>
      </c>
      <c r="H56" s="454">
        <f t="shared" si="7"/>
        <v>0.90557427711500349</v>
      </c>
      <c r="I56" s="454">
        <f t="shared" si="7"/>
        <v>1.165544717418262</v>
      </c>
      <c r="J56" s="454">
        <f t="shared" si="7"/>
        <v>1.4171100265838701</v>
      </c>
      <c r="K56" s="454">
        <f t="shared" si="7"/>
        <v>1.6719114102399681</v>
      </c>
    </row>
    <row r="57" spans="1:11">
      <c r="A57" s="354">
        <v>49</v>
      </c>
      <c r="B57" s="368" t="s">
        <v>52</v>
      </c>
      <c r="C57" s="454">
        <f>C44</f>
        <v>0.89654500574522067</v>
      </c>
      <c r="D57" s="454">
        <f>D44</f>
        <v>1.169614236986668</v>
      </c>
      <c r="E57" s="454">
        <f t="shared" ref="E57:K57" si="8">E44</f>
        <v>1.5073809147671595</v>
      </c>
      <c r="F57" s="454">
        <f t="shared" si="8"/>
        <v>1.9500265793503828</v>
      </c>
      <c r="G57" s="454">
        <f t="shared" si="8"/>
        <v>2.4687299146341428</v>
      </c>
      <c r="H57" s="454">
        <f t="shared" si="8"/>
        <v>3.2713089032729794</v>
      </c>
      <c r="I57" s="454">
        <f t="shared" si="8"/>
        <v>4.210429677177034</v>
      </c>
      <c r="J57" s="454">
        <f t="shared" si="8"/>
        <v>5.1191876404109689</v>
      </c>
      <c r="K57" s="454">
        <f t="shared" si="8"/>
        <v>6.0396356433908656</v>
      </c>
    </row>
    <row r="58" spans="1:11">
      <c r="A58" s="359">
        <v>50</v>
      </c>
      <c r="B58" s="368" t="s">
        <v>58</v>
      </c>
      <c r="C58" s="455">
        <f>C47</f>
        <v>-0.55531949221874988</v>
      </c>
      <c r="D58" s="455">
        <f>D47</f>
        <v>-0.73159988445947255</v>
      </c>
      <c r="E58" s="455">
        <f t="shared" ref="E58:K58" si="9">E47</f>
        <v>-0.93609046924311556</v>
      </c>
      <c r="F58" s="455">
        <f t="shared" si="9"/>
        <v>-1.2327243894995901</v>
      </c>
      <c r="G58" s="455">
        <f t="shared" si="9"/>
        <v>-1.5306849371532338</v>
      </c>
      <c r="H58" s="455">
        <f t="shared" si="9"/>
        <v>-2.0391292061904904</v>
      </c>
      <c r="I58" s="455">
        <f t="shared" si="9"/>
        <v>-2.6725728179935655</v>
      </c>
      <c r="J58" s="455">
        <f t="shared" si="9"/>
        <v>-3.2946493850247824</v>
      </c>
      <c r="K58" s="455">
        <f t="shared" si="9"/>
        <v>-3.875400914988453</v>
      </c>
    </row>
    <row r="59" spans="1:11">
      <c r="A59" s="354">
        <v>51</v>
      </c>
      <c r="B59" s="368" t="s">
        <v>59</v>
      </c>
      <c r="C59" s="456">
        <f>C53</f>
        <v>1.6874789065136686</v>
      </c>
      <c r="D59" s="456">
        <f>D53</f>
        <v>1.6874789065136686</v>
      </c>
      <c r="E59" s="456">
        <f t="shared" ref="E59:K59" si="10">E53</f>
        <v>1.6874789065136686</v>
      </c>
      <c r="F59" s="456">
        <f t="shared" si="10"/>
        <v>1.6874789065136686</v>
      </c>
      <c r="G59" s="456">
        <f t="shared" si="10"/>
        <v>1.6874789065136686</v>
      </c>
      <c r="H59" s="456">
        <f t="shared" si="10"/>
        <v>1.6874789065136686</v>
      </c>
      <c r="I59" s="456">
        <f t="shared" si="10"/>
        <v>1.6874789065136686</v>
      </c>
      <c r="J59" s="456">
        <f t="shared" si="10"/>
        <v>1.6874789065136686</v>
      </c>
      <c r="K59" s="456">
        <f t="shared" si="10"/>
        <v>1.6874789065136686</v>
      </c>
    </row>
    <row r="60" spans="1:11">
      <c r="A60" s="359">
        <v>52</v>
      </c>
      <c r="B60" s="466" t="s">
        <v>60</v>
      </c>
      <c r="C60" s="465">
        <f>(C56+C57+C58)*C59</f>
        <v>0.99461692950756586</v>
      </c>
      <c r="D60" s="465">
        <f>(D56+D57+D58)*D59</f>
        <v>1.2855057988163967</v>
      </c>
      <c r="E60" s="465">
        <f t="shared" ref="E60:K60" si="11">(E56+E57+E58)*E59</f>
        <v>1.6681884746184659</v>
      </c>
      <c r="F60" s="465">
        <f t="shared" si="11"/>
        <v>2.1213547659798149</v>
      </c>
      <c r="G60" s="465">
        <f t="shared" si="11"/>
        <v>2.7361571911788753</v>
      </c>
      <c r="H60" s="465">
        <f t="shared" si="11"/>
        <v>3.6074147387740338</v>
      </c>
      <c r="I60" s="465">
        <f t="shared" si="11"/>
        <v>4.5619331363512163</v>
      </c>
      <c r="J60" s="465">
        <f t="shared" si="11"/>
        <v>5.4702130981607437</v>
      </c>
      <c r="K60" s="465">
        <f t="shared" si="11"/>
        <v>6.4734156912628764</v>
      </c>
    </row>
    <row r="61" spans="1:11">
      <c r="A61" s="354">
        <v>53</v>
      </c>
      <c r="B61" s="453"/>
      <c r="C61" s="453"/>
      <c r="D61" s="453"/>
      <c r="E61" s="453"/>
      <c r="F61" s="453"/>
      <c r="G61" s="453"/>
      <c r="H61" s="453"/>
      <c r="I61" s="453"/>
      <c r="J61" s="453"/>
      <c r="K61" s="453"/>
    </row>
    <row r="62" spans="1:11">
      <c r="A62" s="359">
        <v>54</v>
      </c>
      <c r="B62" s="534" t="s">
        <v>306</v>
      </c>
      <c r="C62" s="453"/>
      <c r="D62" s="453"/>
      <c r="E62" s="453"/>
      <c r="F62" s="453"/>
      <c r="G62" s="453"/>
      <c r="H62" s="453"/>
      <c r="I62" s="453"/>
      <c r="J62" s="453"/>
      <c r="K62" s="453"/>
    </row>
    <row r="63" spans="1:11" ht="15.75">
      <c r="A63" s="354">
        <v>55</v>
      </c>
      <c r="B63" s="468" t="s">
        <v>9</v>
      </c>
      <c r="C63" s="453"/>
      <c r="D63" s="453"/>
      <c r="E63" s="453"/>
      <c r="F63" s="453"/>
      <c r="G63" s="453"/>
      <c r="H63" s="453"/>
      <c r="I63" s="453"/>
      <c r="J63" s="453"/>
      <c r="K63" s="453"/>
    </row>
    <row r="64" spans="1:11" ht="15">
      <c r="A64" s="359">
        <v>56</v>
      </c>
      <c r="B64" s="480" t="s">
        <v>63</v>
      </c>
      <c r="C64" s="453"/>
      <c r="D64" s="453"/>
      <c r="E64" s="453"/>
      <c r="F64" s="453"/>
      <c r="G64" s="453"/>
      <c r="H64" s="453"/>
      <c r="I64" s="453"/>
      <c r="J64" s="453"/>
      <c r="K64" s="453"/>
    </row>
    <row r="65" spans="1:11">
      <c r="A65" s="367">
        <v>57</v>
      </c>
      <c r="B65" s="368" t="s">
        <v>13</v>
      </c>
      <c r="C65" s="457">
        <f>C22</f>
        <v>302.75408149740622</v>
      </c>
      <c r="D65" s="457">
        <f>D22</f>
        <v>391.29826129444655</v>
      </c>
      <c r="E65" s="457">
        <f t="shared" ref="E65:K65" si="12">E22</f>
        <v>507.7842222113913</v>
      </c>
      <c r="F65" s="457">
        <f t="shared" si="12"/>
        <v>645.7239124098478</v>
      </c>
      <c r="G65" s="457">
        <f t="shared" si="12"/>
        <v>832.8660791471857</v>
      </c>
      <c r="H65" s="457">
        <f t="shared" si="12"/>
        <v>1098.0700694541517</v>
      </c>
      <c r="I65" s="457">
        <f t="shared" si="12"/>
        <v>1388.616615006425</v>
      </c>
      <c r="J65" s="457">
        <f t="shared" si="12"/>
        <v>1665.088256465634</v>
      </c>
      <c r="K65" s="457">
        <f t="shared" si="12"/>
        <v>1970.4553735233433</v>
      </c>
    </row>
    <row r="66" spans="1:11">
      <c r="A66" s="371">
        <v>58</v>
      </c>
      <c r="B66" s="368" t="s">
        <v>48</v>
      </c>
      <c r="C66" s="458">
        <f>C26</f>
        <v>6.9283333333333324E-3</v>
      </c>
      <c r="D66" s="458">
        <f>D26</f>
        <v>6.9283333333333324E-3</v>
      </c>
      <c r="E66" s="458">
        <f t="shared" ref="E66:K66" si="13">E26</f>
        <v>6.9283333333333324E-3</v>
      </c>
      <c r="F66" s="458">
        <f t="shared" si="13"/>
        <v>6.9283333333333324E-3</v>
      </c>
      <c r="G66" s="458">
        <f t="shared" si="13"/>
        <v>6.9283333333333324E-3</v>
      </c>
      <c r="H66" s="458">
        <f t="shared" si="13"/>
        <v>6.9283333333333324E-3</v>
      </c>
      <c r="I66" s="458">
        <f t="shared" si="13"/>
        <v>6.9283333333333324E-3</v>
      </c>
      <c r="J66" s="458">
        <f t="shared" si="13"/>
        <v>6.9283333333333324E-3</v>
      </c>
      <c r="K66" s="458">
        <f t="shared" si="13"/>
        <v>6.9283333333333324E-3</v>
      </c>
    </row>
    <row r="67" spans="1:11">
      <c r="A67" s="367">
        <v>59</v>
      </c>
      <c r="B67" s="368" t="s">
        <v>152</v>
      </c>
      <c r="C67" s="455">
        <f>C65*C66</f>
        <v>2.097581194641196</v>
      </c>
      <c r="D67" s="455">
        <f t="shared" ref="D67:K67" si="14">D65*D66</f>
        <v>2.7110447870016903</v>
      </c>
      <c r="E67" s="455">
        <f t="shared" si="14"/>
        <v>3.5180983528879222</v>
      </c>
      <c r="F67" s="455">
        <f t="shared" si="14"/>
        <v>4.4737905064795616</v>
      </c>
      <c r="G67" s="455">
        <f t="shared" si="14"/>
        <v>5.7703738183580837</v>
      </c>
      <c r="H67" s="455">
        <f t="shared" si="14"/>
        <v>7.6077954645348465</v>
      </c>
      <c r="I67" s="455">
        <f t="shared" si="14"/>
        <v>9.6207987809695137</v>
      </c>
      <c r="J67" s="455">
        <f t="shared" si="14"/>
        <v>11.536286470212733</v>
      </c>
      <c r="K67" s="455">
        <f t="shared" si="14"/>
        <v>13.651971646227562</v>
      </c>
    </row>
    <row r="68" spans="1:11">
      <c r="A68" s="371">
        <v>60</v>
      </c>
      <c r="B68" s="368" t="s">
        <v>151</v>
      </c>
      <c r="C68" s="457">
        <f>C60</f>
        <v>0.99461692950756586</v>
      </c>
      <c r="D68" s="457">
        <f>D60</f>
        <v>1.2855057988163967</v>
      </c>
      <c r="E68" s="457">
        <f t="shared" ref="E68:K68" si="15">E60</f>
        <v>1.6681884746184659</v>
      </c>
      <c r="F68" s="457">
        <f t="shared" si="15"/>
        <v>2.1213547659798149</v>
      </c>
      <c r="G68" s="457">
        <f t="shared" si="15"/>
        <v>2.7361571911788753</v>
      </c>
      <c r="H68" s="457">
        <f t="shared" si="15"/>
        <v>3.6074147387740338</v>
      </c>
      <c r="I68" s="457">
        <f t="shared" si="15"/>
        <v>4.5619331363512163</v>
      </c>
      <c r="J68" s="457">
        <f t="shared" si="15"/>
        <v>5.4702130981607437</v>
      </c>
      <c r="K68" s="457">
        <f t="shared" si="15"/>
        <v>6.4734156912628764</v>
      </c>
    </row>
    <row r="69" spans="1:11">
      <c r="A69" s="354">
        <v>61</v>
      </c>
      <c r="B69" s="466" t="s">
        <v>112</v>
      </c>
      <c r="C69" s="465">
        <f>C67+C68</f>
        <v>3.0921981241487617</v>
      </c>
      <c r="D69" s="465">
        <f t="shared" ref="D69:K69" si="16">D67+D68</f>
        <v>3.996550585818087</v>
      </c>
      <c r="E69" s="465">
        <f t="shared" si="16"/>
        <v>5.1862868275063878</v>
      </c>
      <c r="F69" s="465">
        <f t="shared" si="16"/>
        <v>6.5951452724593764</v>
      </c>
      <c r="G69" s="465">
        <f t="shared" si="16"/>
        <v>8.5065310095369586</v>
      </c>
      <c r="H69" s="465">
        <f t="shared" si="16"/>
        <v>11.21521020330888</v>
      </c>
      <c r="I69" s="465">
        <f t="shared" si="16"/>
        <v>14.18273191732073</v>
      </c>
      <c r="J69" s="465">
        <f t="shared" si="16"/>
        <v>17.006499568373478</v>
      </c>
      <c r="K69" s="465">
        <f t="shared" si="16"/>
        <v>20.125387337490437</v>
      </c>
    </row>
    <row r="70" spans="1:11">
      <c r="A70" s="389"/>
      <c r="B70" s="453"/>
      <c r="C70" s="453"/>
      <c r="D70" s="453"/>
      <c r="E70" s="453"/>
      <c r="F70" s="453"/>
      <c r="G70" s="453"/>
      <c r="H70" s="453"/>
      <c r="I70" s="453"/>
      <c r="J70" s="453"/>
      <c r="K70" s="453"/>
    </row>
    <row r="71" spans="1:11">
      <c r="A71" s="389"/>
      <c r="B71" s="453"/>
      <c r="C71" s="453"/>
      <c r="D71" s="453"/>
      <c r="E71" s="453"/>
      <c r="F71" s="453"/>
      <c r="G71" s="453"/>
      <c r="H71" s="453"/>
      <c r="I71" s="453"/>
      <c r="J71" s="453"/>
      <c r="K71" s="453"/>
    </row>
    <row r="72" spans="1:11">
      <c r="A72" s="389"/>
      <c r="B72" s="453"/>
      <c r="C72" s="453"/>
      <c r="D72" s="453"/>
      <c r="E72" s="453"/>
      <c r="F72" s="453"/>
      <c r="G72" s="453"/>
      <c r="H72" s="453"/>
      <c r="I72" s="453"/>
      <c r="J72" s="453"/>
      <c r="K72" s="453"/>
    </row>
    <row r="73" spans="1:11" ht="15">
      <c r="A73" s="389"/>
      <c r="B73" s="481"/>
      <c r="C73" s="453"/>
      <c r="D73" s="453"/>
      <c r="E73" s="453"/>
      <c r="F73" s="453"/>
      <c r="G73" s="453"/>
      <c r="H73" s="453"/>
      <c r="I73" s="453"/>
      <c r="J73" s="453"/>
      <c r="K73" s="453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2" orientation="portrait" verticalDpi="1200" r:id="rId1"/>
  <headerFooter>
    <oddHeader>&amp;RTO9 Annual Update
Attachment 4
WP-Schedule 3-CWIPBA Model
Page &amp;P of &amp;N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3"/>
  <sheetViews>
    <sheetView zoomScaleNormal="100" workbookViewId="0">
      <selection sqref="A1:K1"/>
    </sheetView>
  </sheetViews>
  <sheetFormatPr defaultRowHeight="12.75"/>
  <cols>
    <col min="1" max="1" width="3.85546875" bestFit="1" customWidth="1"/>
    <col min="2" max="2" width="60.5703125" bestFit="1" customWidth="1"/>
    <col min="3" max="5" width="9.28515625" bestFit="1" customWidth="1"/>
    <col min="6" max="11" width="9.140625" customWidth="1"/>
  </cols>
  <sheetData>
    <row r="1" spans="1:11" ht="15.75">
      <c r="A1" s="647" t="s">
        <v>0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</row>
    <row r="2" spans="1:11" ht="15">
      <c r="A2" s="648" t="s">
        <v>6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</row>
    <row r="3" spans="1:11" ht="15">
      <c r="A3" s="649">
        <v>2011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</row>
    <row r="4" spans="1:11">
      <c r="A4" s="650" t="s">
        <v>1</v>
      </c>
      <c r="B4" s="650"/>
      <c r="C4" s="650"/>
      <c r="D4" s="650"/>
      <c r="E4" s="650"/>
      <c r="F4" s="650"/>
      <c r="G4" s="650"/>
      <c r="H4" s="650"/>
      <c r="I4" s="650"/>
      <c r="J4" s="650"/>
      <c r="K4" s="650"/>
    </row>
    <row r="5" spans="1:11" ht="15.75">
      <c r="A5" s="647" t="s">
        <v>7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</row>
    <row r="6" spans="1:11">
      <c r="A6" s="354"/>
      <c r="B6" s="355"/>
      <c r="C6" s="355"/>
      <c r="D6" s="355"/>
      <c r="E6" s="355"/>
      <c r="F6" s="355"/>
      <c r="G6" s="355"/>
      <c r="H6" s="355"/>
      <c r="I6" s="355"/>
      <c r="J6" s="355"/>
      <c r="K6" s="355"/>
    </row>
    <row r="7" spans="1:11">
      <c r="A7" s="354"/>
      <c r="B7" s="355"/>
      <c r="C7" s="355"/>
      <c r="D7" s="355"/>
      <c r="E7" s="355"/>
      <c r="F7" s="355"/>
      <c r="G7" s="355"/>
      <c r="H7" s="355"/>
      <c r="I7" s="355"/>
      <c r="J7" s="355"/>
      <c r="K7" s="355"/>
    </row>
    <row r="8" spans="1:11">
      <c r="A8" s="356" t="s">
        <v>2</v>
      </c>
      <c r="B8" s="357"/>
      <c r="C8" s="355"/>
      <c r="D8" s="355"/>
      <c r="E8" s="355"/>
      <c r="F8" s="355"/>
      <c r="G8" s="355"/>
      <c r="H8" s="355"/>
      <c r="I8" s="355"/>
      <c r="J8" s="355"/>
      <c r="K8" s="355"/>
    </row>
    <row r="9" spans="1:11">
      <c r="A9" s="354">
        <v>1</v>
      </c>
      <c r="B9" s="358" t="s">
        <v>110</v>
      </c>
      <c r="C9" s="355"/>
      <c r="D9" s="355"/>
      <c r="E9" s="355"/>
      <c r="F9" s="355"/>
      <c r="G9" s="355"/>
      <c r="H9" s="355"/>
      <c r="I9" s="355"/>
      <c r="J9" s="355"/>
      <c r="K9" s="355"/>
    </row>
    <row r="10" spans="1:11">
      <c r="A10" s="359">
        <v>2</v>
      </c>
      <c r="B10" s="355" t="s">
        <v>61</v>
      </c>
      <c r="C10" s="355"/>
      <c r="D10" s="355"/>
      <c r="E10" s="355"/>
      <c r="F10" s="355"/>
      <c r="G10" s="355"/>
      <c r="H10" s="355"/>
      <c r="I10" s="355"/>
      <c r="J10" s="355"/>
      <c r="K10" s="355"/>
    </row>
    <row r="11" spans="1:11" ht="15.75">
      <c r="A11" s="354">
        <v>3</v>
      </c>
      <c r="B11" s="360" t="s">
        <v>95</v>
      </c>
      <c r="C11" s="355"/>
      <c r="D11" s="355"/>
      <c r="E11" s="355"/>
      <c r="F11" s="355"/>
      <c r="G11" s="355"/>
      <c r="H11" s="355"/>
      <c r="I11" s="355"/>
      <c r="J11" s="355"/>
      <c r="K11" s="355"/>
    </row>
    <row r="12" spans="1:11">
      <c r="A12" s="359">
        <v>4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</row>
    <row r="13" spans="1:11">
      <c r="A13" s="354">
        <v>5</v>
      </c>
      <c r="B13" s="361" t="s">
        <v>62</v>
      </c>
      <c r="C13" s="355"/>
      <c r="D13" s="355"/>
      <c r="E13" s="355"/>
      <c r="F13" s="355"/>
      <c r="G13" s="355"/>
      <c r="H13" s="355"/>
      <c r="I13" s="355"/>
      <c r="J13" s="355"/>
      <c r="K13" s="355"/>
    </row>
    <row r="14" spans="1:11" ht="15.75">
      <c r="A14" s="359">
        <v>6</v>
      </c>
      <c r="B14" s="360" t="s">
        <v>66</v>
      </c>
      <c r="C14" s="355"/>
      <c r="D14" s="355"/>
      <c r="E14" s="355"/>
      <c r="F14" s="355"/>
      <c r="G14" s="355"/>
      <c r="H14" s="355"/>
      <c r="I14" s="355"/>
      <c r="J14" s="355"/>
      <c r="K14" s="355"/>
    </row>
    <row r="15" spans="1:11">
      <c r="A15" s="354">
        <v>7</v>
      </c>
      <c r="B15" s="361"/>
      <c r="C15" s="355"/>
      <c r="D15" s="355"/>
      <c r="E15" s="355"/>
      <c r="F15" s="355"/>
      <c r="G15" s="355"/>
      <c r="H15" s="355"/>
      <c r="I15" s="355"/>
      <c r="J15" s="355"/>
      <c r="K15" s="355"/>
    </row>
    <row r="16" spans="1:11" ht="15.75">
      <c r="A16" s="359">
        <v>8</v>
      </c>
      <c r="B16" s="362" t="s">
        <v>97</v>
      </c>
      <c r="C16" s="646">
        <v>2011</v>
      </c>
      <c r="D16" s="646"/>
      <c r="E16" s="646"/>
      <c r="F16" s="646"/>
      <c r="G16" s="646"/>
      <c r="H16" s="646"/>
      <c r="I16" s="646"/>
      <c r="J16" s="646"/>
      <c r="K16" s="646"/>
    </row>
    <row r="17" spans="1:14" ht="21" thickBot="1">
      <c r="A17" s="354">
        <v>9</v>
      </c>
      <c r="B17" s="363" t="s">
        <v>336</v>
      </c>
      <c r="C17" s="535" t="s">
        <v>78</v>
      </c>
      <c r="D17" s="535" t="s">
        <v>75</v>
      </c>
      <c r="E17" s="535" t="s">
        <v>79</v>
      </c>
      <c r="F17" s="535" t="s">
        <v>80</v>
      </c>
      <c r="G17" s="535" t="s">
        <v>81</v>
      </c>
      <c r="H17" s="535" t="s">
        <v>82</v>
      </c>
      <c r="I17" s="535" t="s">
        <v>83</v>
      </c>
      <c r="J17" s="535" t="s">
        <v>84</v>
      </c>
      <c r="K17" s="535" t="s">
        <v>101</v>
      </c>
    </row>
    <row r="18" spans="1:14" ht="29.25" thickTop="1">
      <c r="A18" s="359">
        <v>10</v>
      </c>
      <c r="B18" s="472" t="s">
        <v>17</v>
      </c>
      <c r="C18" s="366"/>
      <c r="D18" s="355"/>
      <c r="E18" s="355"/>
      <c r="F18" s="355"/>
      <c r="G18" s="355"/>
      <c r="H18" s="355"/>
      <c r="I18" s="355"/>
      <c r="J18" s="355"/>
      <c r="K18" s="355"/>
    </row>
    <row r="19" spans="1:14">
      <c r="A19" s="367">
        <v>11</v>
      </c>
      <c r="B19" s="368" t="s">
        <v>146</v>
      </c>
      <c r="C19" s="369">
        <f>'W. of Devers CWIP Balance'!E15+'Def Tax'!F911</f>
        <v>1603.92462</v>
      </c>
      <c r="D19" s="370">
        <f>C20</f>
        <v>1689.5234450353751</v>
      </c>
      <c r="E19" s="370">
        <f>D20</f>
        <v>1778.7484019134477</v>
      </c>
      <c r="F19" s="370">
        <f t="shared" ref="F19:K19" si="0">E20</f>
        <v>1907.3436912835282</v>
      </c>
      <c r="G19" s="370">
        <f t="shared" si="0"/>
        <v>2098.0251729947286</v>
      </c>
      <c r="H19" s="370">
        <f t="shared" si="0"/>
        <v>2358.2267352940789</v>
      </c>
      <c r="I19" s="370">
        <f t="shared" si="0"/>
        <v>2669.2001409377067</v>
      </c>
      <c r="J19" s="370">
        <f t="shared" si="0"/>
        <v>2956.6997501678807</v>
      </c>
      <c r="K19" s="370">
        <f t="shared" si="0"/>
        <v>3274.8955849730983</v>
      </c>
      <c r="L19" s="370"/>
      <c r="M19" s="370"/>
      <c r="N19" s="370"/>
    </row>
    <row r="20" spans="1:14">
      <c r="A20" s="371">
        <v>12</v>
      </c>
      <c r="B20" s="368" t="s">
        <v>147</v>
      </c>
      <c r="C20" s="372">
        <f>'W. of Devers CWIP Balance'!$E16+'Def Tax'!$F912</f>
        <v>1689.5234450353751</v>
      </c>
      <c r="D20" s="372">
        <f>'W. of Devers CWIP Balance'!$E17+'Def Tax'!$F913</f>
        <v>1778.7484019134477</v>
      </c>
      <c r="E20" s="372">
        <f>'W. of Devers CWIP Balance'!$E18+'Def Tax'!$F914</f>
        <v>1907.3436912835282</v>
      </c>
      <c r="F20" s="372">
        <f>'W. of Devers CWIP Balance'!$E19+'Def Tax'!$F915</f>
        <v>2098.0251729947286</v>
      </c>
      <c r="G20" s="372">
        <f>'W. of Devers CWIP Balance'!$E20+'Def Tax'!$F916</f>
        <v>2358.2267352940789</v>
      </c>
      <c r="H20" s="372">
        <f>'W. of Devers CWIP Balance'!$E21+'Def Tax'!$F917</f>
        <v>2669.2001409377067</v>
      </c>
      <c r="I20" s="372">
        <f>'W. of Devers CWIP Balance'!$E22+'Def Tax'!$F918</f>
        <v>2956.6997501678807</v>
      </c>
      <c r="J20" s="372">
        <f>'W. of Devers CWIP Balance'!$E23+'Def Tax'!$F919</f>
        <v>3274.8955849730983</v>
      </c>
      <c r="K20" s="372">
        <f>'W. of Devers CWIP Balance'!$E24+'Def Tax'!$F920</f>
        <v>4009.0963149730983</v>
      </c>
    </row>
    <row r="21" spans="1:14">
      <c r="A21" s="367">
        <v>13</v>
      </c>
      <c r="B21" s="368" t="s">
        <v>12</v>
      </c>
      <c r="C21" s="452">
        <f>SUM(C19:C20)</f>
        <v>3293.4480650353753</v>
      </c>
      <c r="D21" s="452">
        <f>SUM(D19:D20)</f>
        <v>3468.2718469488227</v>
      </c>
      <c r="E21" s="452">
        <f t="shared" ref="E21:K21" si="1">SUM(E19:E20)</f>
        <v>3686.0920931969758</v>
      </c>
      <c r="F21" s="452">
        <f t="shared" si="1"/>
        <v>4005.3688642782568</v>
      </c>
      <c r="G21" s="452">
        <f t="shared" si="1"/>
        <v>4456.2519082888075</v>
      </c>
      <c r="H21" s="452">
        <f t="shared" si="1"/>
        <v>5027.4268762317861</v>
      </c>
      <c r="I21" s="452">
        <f t="shared" si="1"/>
        <v>5625.8998911055878</v>
      </c>
      <c r="J21" s="452">
        <f t="shared" si="1"/>
        <v>6231.5953351409789</v>
      </c>
      <c r="K21" s="452">
        <f t="shared" si="1"/>
        <v>7283.991899946197</v>
      </c>
    </row>
    <row r="22" spans="1:14">
      <c r="A22" s="359">
        <v>14</v>
      </c>
      <c r="B22" s="466" t="s">
        <v>13</v>
      </c>
      <c r="C22" s="460">
        <f>C21/2</f>
        <v>1646.7240325176876</v>
      </c>
      <c r="D22" s="460">
        <f>D21/2</f>
        <v>1734.1359234744114</v>
      </c>
      <c r="E22" s="460">
        <f t="shared" ref="E22:K22" si="2">E21/2</f>
        <v>1843.0460465984879</v>
      </c>
      <c r="F22" s="460">
        <f t="shared" si="2"/>
        <v>2002.6844321391284</v>
      </c>
      <c r="G22" s="460">
        <f t="shared" si="2"/>
        <v>2228.1259541444037</v>
      </c>
      <c r="H22" s="460">
        <f t="shared" si="2"/>
        <v>2513.713438115893</v>
      </c>
      <c r="I22" s="460">
        <f t="shared" si="2"/>
        <v>2812.9499455527939</v>
      </c>
      <c r="J22" s="460">
        <f t="shared" si="2"/>
        <v>3115.7976675704895</v>
      </c>
      <c r="K22" s="460">
        <f t="shared" si="2"/>
        <v>3641.9959499730985</v>
      </c>
    </row>
    <row r="23" spans="1:14">
      <c r="A23" s="354">
        <v>15</v>
      </c>
      <c r="B23" s="368"/>
      <c r="C23" s="453"/>
      <c r="D23" s="453"/>
      <c r="E23" s="453"/>
      <c r="F23" s="453"/>
      <c r="G23" s="453"/>
      <c r="H23" s="453"/>
      <c r="I23" s="453"/>
      <c r="J23" s="453"/>
      <c r="K23" s="453"/>
    </row>
    <row r="24" spans="1:14" ht="28.5">
      <c r="A24" s="359">
        <v>16</v>
      </c>
      <c r="B24" s="472" t="s">
        <v>14</v>
      </c>
      <c r="C24" s="453"/>
      <c r="D24" s="453"/>
      <c r="E24" s="453"/>
      <c r="F24" s="453"/>
      <c r="G24" s="453"/>
      <c r="H24" s="453"/>
      <c r="I24" s="453"/>
      <c r="J24" s="453"/>
      <c r="K24" s="453"/>
    </row>
    <row r="25" spans="1:14">
      <c r="A25" s="367">
        <v>17</v>
      </c>
      <c r="B25" s="374" t="s">
        <v>47</v>
      </c>
      <c r="C25" s="375">
        <f>'Cost of Capital'!$D$193</f>
        <v>8.3139999999999992E-2</v>
      </c>
      <c r="D25" s="375">
        <f>'Cost of Capital'!$D$193</f>
        <v>8.3139999999999992E-2</v>
      </c>
      <c r="E25" s="375">
        <f>'Cost of Capital'!$D$193</f>
        <v>8.3139999999999992E-2</v>
      </c>
      <c r="F25" s="375">
        <f>'Cost of Capital'!$D$193</f>
        <v>8.3139999999999992E-2</v>
      </c>
      <c r="G25" s="375">
        <f>'Cost of Capital'!$D$193</f>
        <v>8.3139999999999992E-2</v>
      </c>
      <c r="H25" s="375">
        <f>'Cost of Capital'!$D$193</f>
        <v>8.3139999999999992E-2</v>
      </c>
      <c r="I25" s="375">
        <f>'Cost of Capital'!$D$193</f>
        <v>8.3139999999999992E-2</v>
      </c>
      <c r="J25" s="375">
        <f>'Cost of Capital'!$D$193</f>
        <v>8.3139999999999992E-2</v>
      </c>
      <c r="K25" s="375">
        <f>'Cost of Capital'!$D$193</f>
        <v>8.3139999999999992E-2</v>
      </c>
    </row>
    <row r="26" spans="1:14">
      <c r="A26" s="359">
        <v>18</v>
      </c>
      <c r="B26" s="466" t="s">
        <v>48</v>
      </c>
      <c r="C26" s="441">
        <f>'Cost of Capital'!$D$194</f>
        <v>6.9283333333333324E-3</v>
      </c>
      <c r="D26" s="441">
        <f>'Cost of Capital'!$D$194</f>
        <v>6.9283333333333324E-3</v>
      </c>
      <c r="E26" s="441">
        <f>'Cost of Capital'!$D$194</f>
        <v>6.9283333333333324E-3</v>
      </c>
      <c r="F26" s="441">
        <f>'Cost of Capital'!$D$194</f>
        <v>6.9283333333333324E-3</v>
      </c>
      <c r="G26" s="441">
        <f>'Cost of Capital'!$D$194</f>
        <v>6.9283333333333324E-3</v>
      </c>
      <c r="H26" s="441">
        <f>'Cost of Capital'!$D$194</f>
        <v>6.9283333333333324E-3</v>
      </c>
      <c r="I26" s="441">
        <f>'Cost of Capital'!$D$194</f>
        <v>6.9283333333333324E-3</v>
      </c>
      <c r="J26" s="441">
        <f>'Cost of Capital'!$D$194</f>
        <v>6.9283333333333324E-3</v>
      </c>
      <c r="K26" s="441">
        <f>'Cost of Capital'!$D$194</f>
        <v>6.9283333333333324E-3</v>
      </c>
    </row>
    <row r="27" spans="1:14">
      <c r="A27" s="354">
        <v>19</v>
      </c>
      <c r="B27" s="368"/>
      <c r="C27" s="453"/>
      <c r="D27" s="453"/>
      <c r="E27" s="453"/>
      <c r="F27" s="453"/>
      <c r="G27" s="453"/>
      <c r="H27" s="453"/>
      <c r="I27" s="453"/>
      <c r="J27" s="453"/>
      <c r="K27" s="453"/>
    </row>
    <row r="28" spans="1:14" ht="15.75">
      <c r="A28" s="359">
        <v>20</v>
      </c>
      <c r="B28" s="473" t="s">
        <v>65</v>
      </c>
      <c r="C28" s="453"/>
      <c r="D28" s="453"/>
      <c r="E28" s="453"/>
      <c r="F28" s="453"/>
      <c r="G28" s="453"/>
      <c r="H28" s="453"/>
      <c r="I28" s="453"/>
      <c r="J28" s="453"/>
      <c r="K28" s="453"/>
    </row>
    <row r="29" spans="1:14">
      <c r="A29" s="354">
        <v>21</v>
      </c>
      <c r="B29" s="474" t="s">
        <v>91</v>
      </c>
      <c r="C29" s="453"/>
      <c r="D29" s="453"/>
      <c r="E29" s="453"/>
      <c r="F29" s="453"/>
      <c r="G29" s="453"/>
      <c r="H29" s="453"/>
      <c r="I29" s="453"/>
      <c r="J29" s="453"/>
      <c r="K29" s="453"/>
    </row>
    <row r="30" spans="1:14">
      <c r="A30" s="359">
        <v>22</v>
      </c>
      <c r="B30" s="475" t="s">
        <v>15</v>
      </c>
      <c r="C30" s="453"/>
      <c r="D30" s="453"/>
      <c r="E30" s="453"/>
      <c r="F30" s="453"/>
      <c r="G30" s="453"/>
      <c r="H30" s="453"/>
      <c r="I30" s="453"/>
      <c r="J30" s="453"/>
      <c r="K30" s="453"/>
    </row>
    <row r="31" spans="1:14" ht="25.5">
      <c r="A31" s="354">
        <v>23</v>
      </c>
      <c r="B31" s="476" t="s">
        <v>92</v>
      </c>
      <c r="C31" s="453"/>
      <c r="D31" s="453"/>
      <c r="E31" s="453"/>
      <c r="F31" s="453"/>
      <c r="G31" s="453"/>
      <c r="H31" s="453"/>
      <c r="I31" s="453"/>
      <c r="J31" s="453"/>
      <c r="K31" s="453"/>
    </row>
    <row r="32" spans="1:14" ht="25.5">
      <c r="A32" s="359">
        <v>24</v>
      </c>
      <c r="B32" s="477" t="s">
        <v>19</v>
      </c>
      <c r="C32" s="453"/>
      <c r="D32" s="453"/>
      <c r="E32" s="453"/>
      <c r="F32" s="453"/>
      <c r="G32" s="453"/>
      <c r="H32" s="453"/>
      <c r="I32" s="453"/>
      <c r="J32" s="453"/>
      <c r="K32" s="453"/>
    </row>
    <row r="33" spans="1:11">
      <c r="A33" s="367">
        <v>25</v>
      </c>
      <c r="B33" s="368" t="s">
        <v>20</v>
      </c>
      <c r="C33" s="381">
        <f>'Cost of Capital'!$D190</f>
        <v>2.58E-2</v>
      </c>
      <c r="D33" s="381">
        <f>'Cost of Capital'!$D190</f>
        <v>2.58E-2</v>
      </c>
      <c r="E33" s="381">
        <f>'Cost of Capital'!$D190</f>
        <v>2.58E-2</v>
      </c>
      <c r="F33" s="381">
        <f>'Cost of Capital'!$D190</f>
        <v>2.58E-2</v>
      </c>
      <c r="G33" s="381">
        <f>'Cost of Capital'!$D190</f>
        <v>2.58E-2</v>
      </c>
      <c r="H33" s="381">
        <f>'Cost of Capital'!$D190</f>
        <v>2.58E-2</v>
      </c>
      <c r="I33" s="381">
        <f>'Cost of Capital'!$D190</f>
        <v>2.58E-2</v>
      </c>
      <c r="J33" s="381">
        <f>'Cost of Capital'!$D190</f>
        <v>2.58E-2</v>
      </c>
      <c r="K33" s="381">
        <f>'Cost of Capital'!$D190</f>
        <v>2.58E-2</v>
      </c>
    </row>
    <row r="34" spans="1:11">
      <c r="A34" s="359">
        <v>26</v>
      </c>
      <c r="B34" s="368" t="s">
        <v>21</v>
      </c>
      <c r="C34" s="461">
        <f>C33/12</f>
        <v>2.15E-3</v>
      </c>
      <c r="D34" s="461">
        <f>D33/12</f>
        <v>2.15E-3</v>
      </c>
      <c r="E34" s="461">
        <f t="shared" ref="E34:K34" si="3">E33/12</f>
        <v>2.15E-3</v>
      </c>
      <c r="F34" s="461">
        <f t="shared" si="3"/>
        <v>2.15E-3</v>
      </c>
      <c r="G34" s="461">
        <f t="shared" si="3"/>
        <v>2.15E-3</v>
      </c>
      <c r="H34" s="461">
        <f t="shared" si="3"/>
        <v>2.15E-3</v>
      </c>
      <c r="I34" s="461">
        <f t="shared" si="3"/>
        <v>2.15E-3</v>
      </c>
      <c r="J34" s="461">
        <f t="shared" si="3"/>
        <v>2.15E-3</v>
      </c>
      <c r="K34" s="461">
        <f t="shared" si="3"/>
        <v>2.15E-3</v>
      </c>
    </row>
    <row r="35" spans="1:11" ht="25.5">
      <c r="A35" s="354">
        <v>27</v>
      </c>
      <c r="B35" s="477" t="s">
        <v>22</v>
      </c>
      <c r="C35" s="453"/>
      <c r="D35" s="453"/>
      <c r="E35" s="453"/>
      <c r="F35" s="453"/>
      <c r="G35" s="453"/>
      <c r="H35" s="453"/>
      <c r="I35" s="453"/>
      <c r="J35" s="453"/>
      <c r="K35" s="453"/>
    </row>
    <row r="36" spans="1:11">
      <c r="A36" s="359">
        <v>28</v>
      </c>
      <c r="B36" s="368" t="s">
        <v>18</v>
      </c>
      <c r="C36" s="462">
        <f>'Def Tax'!$E894</f>
        <v>8.3537740624999994</v>
      </c>
      <c r="D36" s="462">
        <f>'Def Tax'!$E895</f>
        <v>8.8312934065755204</v>
      </c>
      <c r="E36" s="462">
        <f>'Def Tax'!$E896</f>
        <v>9.3310720180681006</v>
      </c>
      <c r="F36" s="462">
        <f>'Def Tax'!$E897</f>
        <v>10.039538799412206</v>
      </c>
      <c r="G36" s="462">
        <f>'Def Tax'!$E898</f>
        <v>11.076084678575812</v>
      </c>
      <c r="H36" s="462">
        <f>'Def Tax'!$E899</f>
        <v>12.481155067526728</v>
      </c>
      <c r="I36" s="462">
        <f>'Def Tax'!$E900</f>
        <v>14.159193375170094</v>
      </c>
      <c r="J36" s="462">
        <f>'Def Tax'!$E901</f>
        <v>15.725325632332439</v>
      </c>
      <c r="K36" s="462">
        <f>'Def Tax'!$E902</f>
        <v>17.461717745000836</v>
      </c>
    </row>
    <row r="37" spans="1:11">
      <c r="A37" s="354">
        <v>29</v>
      </c>
      <c r="B37" s="478" t="s">
        <v>23</v>
      </c>
      <c r="C37" s="453"/>
      <c r="D37" s="453"/>
      <c r="E37" s="453"/>
      <c r="F37" s="453"/>
      <c r="G37" s="453"/>
      <c r="H37" s="453"/>
      <c r="I37" s="453"/>
      <c r="J37" s="453"/>
      <c r="K37" s="453"/>
    </row>
    <row r="38" spans="1:11">
      <c r="A38" s="371">
        <v>30</v>
      </c>
      <c r="B38" s="368" t="s">
        <v>16</v>
      </c>
      <c r="C38" s="383">
        <f>'Income Tax Rates'!$L72</f>
        <v>8.8330000000000006E-2</v>
      </c>
      <c r="D38" s="383">
        <f>'Income Tax Rates'!$L72</f>
        <v>8.8330000000000006E-2</v>
      </c>
      <c r="E38" s="383">
        <f>'Income Tax Rates'!$L72</f>
        <v>8.8330000000000006E-2</v>
      </c>
      <c r="F38" s="383">
        <f>'Income Tax Rates'!$L72</f>
        <v>8.8330000000000006E-2</v>
      </c>
      <c r="G38" s="383">
        <f>'Income Tax Rates'!$L72</f>
        <v>8.8330000000000006E-2</v>
      </c>
      <c r="H38" s="383">
        <f>'Income Tax Rates'!$L72</f>
        <v>8.8330000000000006E-2</v>
      </c>
      <c r="I38" s="383">
        <f>'Income Tax Rates'!$L72</f>
        <v>8.8330000000000006E-2</v>
      </c>
      <c r="J38" s="383">
        <f>'Income Tax Rates'!$L72</f>
        <v>8.8330000000000006E-2</v>
      </c>
      <c r="K38" s="383">
        <f>'Income Tax Rates'!$L72</f>
        <v>8.8330000000000006E-2</v>
      </c>
    </row>
    <row r="39" spans="1:11">
      <c r="A39" s="354">
        <v>31</v>
      </c>
      <c r="B39" s="368" t="s">
        <v>49</v>
      </c>
      <c r="C39" s="463">
        <f>((C22*(C26-C34))+C36)*C38</f>
        <v>1.4329219772447712</v>
      </c>
      <c r="D39" s="463">
        <f>((D22*(D26-D34))+D36)*D38</f>
        <v>1.5119952137485797</v>
      </c>
      <c r="E39" s="463">
        <f t="shared" ref="E39:K39" si="4">((E22*(E26-E34))+E36)*E38</f>
        <v>1.6021083741355544</v>
      </c>
      <c r="F39" s="463">
        <f t="shared" si="4"/>
        <v>1.7320658475838546</v>
      </c>
      <c r="G39" s="463">
        <f t="shared" si="4"/>
        <v>1.9187760896140882</v>
      </c>
      <c r="H39" s="463">
        <f t="shared" si="4"/>
        <v>2.1634239187876743</v>
      </c>
      <c r="I39" s="463">
        <f t="shared" si="4"/>
        <v>2.4379438500557318</v>
      </c>
      <c r="J39" s="463">
        <f t="shared" si="4"/>
        <v>2.7041033058849733</v>
      </c>
      <c r="K39" s="463">
        <f t="shared" si="4"/>
        <v>3.0795714267203271</v>
      </c>
    </row>
    <row r="40" spans="1:11">
      <c r="A40" s="359">
        <v>32</v>
      </c>
      <c r="B40" s="368"/>
      <c r="C40" s="453"/>
      <c r="D40" s="453"/>
      <c r="E40" s="453"/>
      <c r="F40" s="453"/>
      <c r="G40" s="453"/>
      <c r="H40" s="453"/>
      <c r="I40" s="453"/>
      <c r="J40" s="453"/>
      <c r="K40" s="453"/>
    </row>
    <row r="41" spans="1:11">
      <c r="A41" s="354">
        <v>33</v>
      </c>
      <c r="B41" s="475" t="s">
        <v>50</v>
      </c>
      <c r="C41" s="453"/>
      <c r="D41" s="453"/>
      <c r="E41" s="453"/>
      <c r="F41" s="453"/>
      <c r="G41" s="453"/>
      <c r="H41" s="453"/>
      <c r="I41" s="453"/>
      <c r="J41" s="453"/>
      <c r="K41" s="453"/>
    </row>
    <row r="42" spans="1:11" ht="25.5">
      <c r="A42" s="359">
        <v>34</v>
      </c>
      <c r="B42" s="479" t="s">
        <v>109</v>
      </c>
      <c r="C42" s="453"/>
      <c r="D42" s="453"/>
      <c r="E42" s="453"/>
      <c r="F42" s="453"/>
      <c r="G42" s="453"/>
      <c r="H42" s="453"/>
      <c r="I42" s="453"/>
      <c r="J42" s="453"/>
      <c r="K42" s="453"/>
    </row>
    <row r="43" spans="1:11">
      <c r="A43" s="367">
        <v>35</v>
      </c>
      <c r="B43" s="368" t="s">
        <v>51</v>
      </c>
      <c r="C43" s="385">
        <f>'Income Tax Rates'!$L73</f>
        <v>0.35</v>
      </c>
      <c r="D43" s="385">
        <f>'Income Tax Rates'!$L73</f>
        <v>0.35</v>
      </c>
      <c r="E43" s="385">
        <f>'Income Tax Rates'!$L73</f>
        <v>0.35</v>
      </c>
      <c r="F43" s="385">
        <f>'Income Tax Rates'!$L73</f>
        <v>0.35</v>
      </c>
      <c r="G43" s="385">
        <f>'Income Tax Rates'!$L73</f>
        <v>0.35</v>
      </c>
      <c r="H43" s="385">
        <f>'Income Tax Rates'!$L73</f>
        <v>0.35</v>
      </c>
      <c r="I43" s="385">
        <f>'Income Tax Rates'!$L73</f>
        <v>0.35</v>
      </c>
      <c r="J43" s="385">
        <f>'Income Tax Rates'!$L73</f>
        <v>0.35</v>
      </c>
      <c r="K43" s="385">
        <f>'Income Tax Rates'!$L73</f>
        <v>0.35</v>
      </c>
    </row>
    <row r="44" spans="1:11">
      <c r="A44" s="359">
        <v>36</v>
      </c>
      <c r="B44" s="368" t="s">
        <v>52</v>
      </c>
      <c r="C44" s="463">
        <f>((C22*(C26-C34))-C39+C36)*C43</f>
        <v>5.1763069472224519</v>
      </c>
      <c r="D44" s="463">
        <f>((D22*(D26-D34))-D39+D36)*D43</f>
        <v>5.4619521881734245</v>
      </c>
      <c r="E44" s="463">
        <f t="shared" ref="E44:K44" si="5">((E22*(E26-E34))-E39+E36)*E43</f>
        <v>5.7874782011418118</v>
      </c>
      <c r="F44" s="463">
        <f t="shared" si="5"/>
        <v>6.2569383555232694</v>
      </c>
      <c r="G44" s="463">
        <f t="shared" si="5"/>
        <v>6.9314129872802726</v>
      </c>
      <c r="H44" s="463">
        <f t="shared" si="5"/>
        <v>7.8151821511876554</v>
      </c>
      <c r="I44" s="463">
        <f t="shared" si="5"/>
        <v>8.8068617052316096</v>
      </c>
      <c r="J44" s="463">
        <f t="shared" si="5"/>
        <v>9.7683397634626239</v>
      </c>
      <c r="K44" s="463">
        <f t="shared" si="5"/>
        <v>11.124685938065685</v>
      </c>
    </row>
    <row r="45" spans="1:11">
      <c r="A45" s="354">
        <v>37</v>
      </c>
      <c r="B45" s="368"/>
      <c r="C45" s="453"/>
      <c r="D45" s="453"/>
      <c r="E45" s="453"/>
      <c r="F45" s="453"/>
      <c r="G45" s="453"/>
      <c r="H45" s="453"/>
      <c r="I45" s="453"/>
      <c r="J45" s="453"/>
      <c r="K45" s="453"/>
    </row>
    <row r="46" spans="1:11" ht="25.5">
      <c r="A46" s="359">
        <v>38</v>
      </c>
      <c r="B46" s="477" t="s">
        <v>53</v>
      </c>
      <c r="C46" s="386"/>
      <c r="D46" s="386"/>
      <c r="E46" s="386"/>
      <c r="F46" s="386"/>
      <c r="G46" s="386"/>
      <c r="H46" s="386"/>
      <c r="I46" s="386"/>
      <c r="J46" s="386"/>
      <c r="K46" s="386"/>
    </row>
    <row r="47" spans="1:11">
      <c r="A47" s="354">
        <v>39</v>
      </c>
      <c r="B47" s="368" t="s">
        <v>58</v>
      </c>
      <c r="C47" s="462">
        <f>-'Def Tax'!$F894</f>
        <v>-3.4033275530624998</v>
      </c>
      <c r="D47" s="462">
        <f>-'Def Tax'!$F895</f>
        <v>-3.5978689338388667</v>
      </c>
      <c r="E47" s="462">
        <f>-'Def Tax'!$F896</f>
        <v>-3.801478740160944</v>
      </c>
      <c r="F47" s="462">
        <f>-'Def Tax'!$F897</f>
        <v>-4.0901081068805327</v>
      </c>
      <c r="G47" s="462">
        <f>-'Def Tax'!$F898</f>
        <v>-4.5123968980517857</v>
      </c>
      <c r="H47" s="462">
        <f>-'Def Tax'!$F899</f>
        <v>-5.0848225745103885</v>
      </c>
      <c r="I47" s="462">
        <f>-'Def Tax'!$F900</f>
        <v>-5.768455381044296</v>
      </c>
      <c r="J47" s="462">
        <f>-'Def Tax'!$F901</f>
        <v>-6.4064976626122352</v>
      </c>
      <c r="K47" s="462">
        <f>-'Def Tax'!$F902</f>
        <v>-7.1139038093133404</v>
      </c>
    </row>
    <row r="48" spans="1:11">
      <c r="A48" s="359">
        <v>40</v>
      </c>
      <c r="B48" s="368"/>
      <c r="C48" s="453"/>
      <c r="D48" s="453"/>
      <c r="E48" s="453"/>
      <c r="F48" s="453"/>
      <c r="G48" s="453"/>
      <c r="H48" s="453"/>
      <c r="I48" s="453"/>
      <c r="J48" s="453"/>
      <c r="K48" s="453"/>
    </row>
    <row r="49" spans="1:11">
      <c r="A49" s="354">
        <v>41</v>
      </c>
      <c r="B49" s="475" t="s">
        <v>54</v>
      </c>
      <c r="C49" s="453"/>
      <c r="D49" s="453"/>
      <c r="E49" s="453"/>
      <c r="F49" s="453"/>
      <c r="G49" s="453"/>
      <c r="H49" s="453"/>
      <c r="I49" s="453"/>
      <c r="J49" s="453"/>
      <c r="K49" s="453"/>
    </row>
    <row r="50" spans="1:11">
      <c r="A50" s="359">
        <v>42</v>
      </c>
      <c r="B50" s="475" t="s">
        <v>55</v>
      </c>
      <c r="C50" s="453"/>
      <c r="D50" s="453"/>
      <c r="E50" s="453"/>
      <c r="F50" s="453"/>
      <c r="G50" s="453"/>
      <c r="H50" s="453"/>
      <c r="I50" s="453"/>
      <c r="J50" s="453"/>
      <c r="K50" s="453"/>
    </row>
    <row r="51" spans="1:11" ht="25.5">
      <c r="A51" s="354">
        <v>43</v>
      </c>
      <c r="B51" s="477" t="s">
        <v>56</v>
      </c>
      <c r="C51" s="453"/>
      <c r="D51" s="453"/>
      <c r="E51" s="453"/>
      <c r="F51" s="453"/>
      <c r="G51" s="453"/>
      <c r="H51" s="453"/>
      <c r="I51" s="453"/>
      <c r="J51" s="453"/>
      <c r="K51" s="453"/>
    </row>
    <row r="52" spans="1:11">
      <c r="A52" s="371">
        <v>44</v>
      </c>
      <c r="B52" s="368" t="s">
        <v>57</v>
      </c>
      <c r="C52" s="387">
        <f>'Income Tax Rates'!$L76</f>
        <v>0.40739999999999998</v>
      </c>
      <c r="D52" s="387">
        <f>'Income Tax Rates'!$L76</f>
        <v>0.40739999999999998</v>
      </c>
      <c r="E52" s="387">
        <f>'Income Tax Rates'!$L76</f>
        <v>0.40739999999999998</v>
      </c>
      <c r="F52" s="387">
        <f>'Income Tax Rates'!$L76</f>
        <v>0.40739999999999998</v>
      </c>
      <c r="G52" s="387">
        <f>'Income Tax Rates'!$L76</f>
        <v>0.40739999999999998</v>
      </c>
      <c r="H52" s="387">
        <f>'Income Tax Rates'!$L76</f>
        <v>0.40739999999999998</v>
      </c>
      <c r="I52" s="387">
        <f>'Income Tax Rates'!$L76</f>
        <v>0.40739999999999998</v>
      </c>
      <c r="J52" s="387">
        <f>'Income Tax Rates'!$L76</f>
        <v>0.40739999999999998</v>
      </c>
      <c r="K52" s="387">
        <f>'Income Tax Rates'!$L76</f>
        <v>0.40739999999999998</v>
      </c>
    </row>
    <row r="53" spans="1:11">
      <c r="A53" s="354">
        <v>45</v>
      </c>
      <c r="B53" s="368" t="s">
        <v>59</v>
      </c>
      <c r="C53" s="464">
        <f>1/(1-C52)</f>
        <v>1.6874789065136686</v>
      </c>
      <c r="D53" s="464">
        <f>1/(1-D52)</f>
        <v>1.6874789065136686</v>
      </c>
      <c r="E53" s="464">
        <f t="shared" ref="E53:K53" si="6">1/(1-E52)</f>
        <v>1.6874789065136686</v>
      </c>
      <c r="F53" s="464">
        <f t="shared" si="6"/>
        <v>1.6874789065136686</v>
      </c>
      <c r="G53" s="464">
        <f t="shared" si="6"/>
        <v>1.6874789065136686</v>
      </c>
      <c r="H53" s="464">
        <f t="shared" si="6"/>
        <v>1.6874789065136686</v>
      </c>
      <c r="I53" s="464">
        <f t="shared" si="6"/>
        <v>1.6874789065136686</v>
      </c>
      <c r="J53" s="464">
        <f t="shared" si="6"/>
        <v>1.6874789065136686</v>
      </c>
      <c r="K53" s="464">
        <f t="shared" si="6"/>
        <v>1.6874789065136686</v>
      </c>
    </row>
    <row r="54" spans="1:11">
      <c r="A54" s="359">
        <v>46</v>
      </c>
      <c r="B54" s="368"/>
      <c r="C54" s="387"/>
      <c r="D54" s="387"/>
      <c r="E54" s="387"/>
      <c r="F54" s="387"/>
      <c r="G54" s="387"/>
      <c r="H54" s="387"/>
      <c r="I54" s="387"/>
      <c r="J54" s="387"/>
      <c r="K54" s="387"/>
    </row>
    <row r="55" spans="1:11" ht="15.75">
      <c r="A55" s="354">
        <v>47</v>
      </c>
      <c r="B55" s="473" t="s">
        <v>93</v>
      </c>
      <c r="C55" s="387"/>
      <c r="D55" s="387"/>
      <c r="E55" s="387"/>
      <c r="F55" s="387"/>
      <c r="G55" s="387"/>
      <c r="H55" s="387"/>
      <c r="I55" s="387"/>
      <c r="J55" s="387"/>
      <c r="K55" s="387"/>
    </row>
    <row r="56" spans="1:11">
      <c r="A56" s="359">
        <v>48</v>
      </c>
      <c r="B56" s="368" t="s">
        <v>49</v>
      </c>
      <c r="C56" s="454">
        <f>C39</f>
        <v>1.4329219772447712</v>
      </c>
      <c r="D56" s="454">
        <f>D39</f>
        <v>1.5119952137485797</v>
      </c>
      <c r="E56" s="454">
        <f t="shared" ref="E56:K56" si="7">E39</f>
        <v>1.6021083741355544</v>
      </c>
      <c r="F56" s="454">
        <f t="shared" si="7"/>
        <v>1.7320658475838546</v>
      </c>
      <c r="G56" s="454">
        <f t="shared" si="7"/>
        <v>1.9187760896140882</v>
      </c>
      <c r="H56" s="454">
        <f t="shared" si="7"/>
        <v>2.1634239187876743</v>
      </c>
      <c r="I56" s="454">
        <f t="shared" si="7"/>
        <v>2.4379438500557318</v>
      </c>
      <c r="J56" s="454">
        <f t="shared" si="7"/>
        <v>2.7041033058849733</v>
      </c>
      <c r="K56" s="454">
        <f t="shared" si="7"/>
        <v>3.0795714267203271</v>
      </c>
    </row>
    <row r="57" spans="1:11">
      <c r="A57" s="354">
        <v>49</v>
      </c>
      <c r="B57" s="368" t="s">
        <v>52</v>
      </c>
      <c r="C57" s="454">
        <f>C44</f>
        <v>5.1763069472224519</v>
      </c>
      <c r="D57" s="454">
        <f>D44</f>
        <v>5.4619521881734245</v>
      </c>
      <c r="E57" s="454">
        <f t="shared" ref="E57:K57" si="8">E44</f>
        <v>5.7874782011418118</v>
      </c>
      <c r="F57" s="454">
        <f t="shared" si="8"/>
        <v>6.2569383555232694</v>
      </c>
      <c r="G57" s="454">
        <f t="shared" si="8"/>
        <v>6.9314129872802726</v>
      </c>
      <c r="H57" s="454">
        <f t="shared" si="8"/>
        <v>7.8151821511876554</v>
      </c>
      <c r="I57" s="454">
        <f t="shared" si="8"/>
        <v>8.8068617052316096</v>
      </c>
      <c r="J57" s="454">
        <f t="shared" si="8"/>
        <v>9.7683397634626239</v>
      </c>
      <c r="K57" s="454">
        <f t="shared" si="8"/>
        <v>11.124685938065685</v>
      </c>
    </row>
    <row r="58" spans="1:11">
      <c r="A58" s="359">
        <v>50</v>
      </c>
      <c r="B58" s="368" t="s">
        <v>58</v>
      </c>
      <c r="C58" s="455">
        <f>C47</f>
        <v>-3.4033275530624998</v>
      </c>
      <c r="D58" s="455">
        <f>D47</f>
        <v>-3.5978689338388667</v>
      </c>
      <c r="E58" s="455">
        <f t="shared" ref="E58:K58" si="9">E47</f>
        <v>-3.801478740160944</v>
      </c>
      <c r="F58" s="455">
        <f t="shared" si="9"/>
        <v>-4.0901081068805327</v>
      </c>
      <c r="G58" s="455">
        <f t="shared" si="9"/>
        <v>-4.5123968980517857</v>
      </c>
      <c r="H58" s="455">
        <f t="shared" si="9"/>
        <v>-5.0848225745103885</v>
      </c>
      <c r="I58" s="455">
        <f t="shared" si="9"/>
        <v>-5.768455381044296</v>
      </c>
      <c r="J58" s="455">
        <f t="shared" si="9"/>
        <v>-6.4064976626122352</v>
      </c>
      <c r="K58" s="455">
        <f t="shared" si="9"/>
        <v>-7.1139038093133404</v>
      </c>
    </row>
    <row r="59" spans="1:11">
      <c r="A59" s="354">
        <v>51</v>
      </c>
      <c r="B59" s="368" t="s">
        <v>59</v>
      </c>
      <c r="C59" s="456">
        <f>C53</f>
        <v>1.6874789065136686</v>
      </c>
      <c r="D59" s="456">
        <f>D53</f>
        <v>1.6874789065136686</v>
      </c>
      <c r="E59" s="456">
        <f t="shared" ref="E59:K59" si="10">E53</f>
        <v>1.6874789065136686</v>
      </c>
      <c r="F59" s="456">
        <f t="shared" si="10"/>
        <v>1.6874789065136686</v>
      </c>
      <c r="G59" s="456">
        <f t="shared" si="10"/>
        <v>1.6874789065136686</v>
      </c>
      <c r="H59" s="456">
        <f t="shared" si="10"/>
        <v>1.6874789065136686</v>
      </c>
      <c r="I59" s="456">
        <f t="shared" si="10"/>
        <v>1.6874789065136686</v>
      </c>
      <c r="J59" s="456">
        <f t="shared" si="10"/>
        <v>1.6874789065136686</v>
      </c>
      <c r="K59" s="456">
        <f t="shared" si="10"/>
        <v>1.6874789065136686</v>
      </c>
    </row>
    <row r="60" spans="1:11">
      <c r="A60" s="359">
        <v>52</v>
      </c>
      <c r="B60" s="466" t="s">
        <v>60</v>
      </c>
      <c r="C60" s="465">
        <f>(C56+C57+C58)*C59</f>
        <v>5.4098909406087126</v>
      </c>
      <c r="D60" s="465">
        <f>(D56+D57+D58)*D59</f>
        <v>5.6970612016252735</v>
      </c>
      <c r="E60" s="465">
        <f t="shared" ref="E60:K60" si="11">(E56+E57+E58)*E59</f>
        <v>6.0548562860553874</v>
      </c>
      <c r="F60" s="465">
        <f t="shared" si="11"/>
        <v>6.5793049210708592</v>
      </c>
      <c r="G60" s="465">
        <f t="shared" si="11"/>
        <v>7.3199328026368136</v>
      </c>
      <c r="H60" s="465">
        <f t="shared" si="11"/>
        <v>8.258156421641818</v>
      </c>
      <c r="I60" s="465">
        <f t="shared" si="11"/>
        <v>9.2412254037175927</v>
      </c>
      <c r="J60" s="465">
        <f t="shared" si="11"/>
        <v>10.236154921929401</v>
      </c>
      <c r="K60" s="465">
        <f t="shared" si="11"/>
        <v>11.964822064584329</v>
      </c>
    </row>
    <row r="61" spans="1:11">
      <c r="A61" s="354">
        <v>53</v>
      </c>
      <c r="B61" s="453"/>
      <c r="C61" s="453"/>
      <c r="D61" s="453"/>
      <c r="E61" s="453"/>
      <c r="F61" s="453"/>
      <c r="G61" s="453"/>
      <c r="H61" s="453"/>
      <c r="I61" s="453"/>
      <c r="J61" s="453"/>
      <c r="K61" s="453"/>
    </row>
    <row r="62" spans="1:11">
      <c r="A62" s="359">
        <v>54</v>
      </c>
      <c r="B62" s="534" t="s">
        <v>308</v>
      </c>
      <c r="C62" s="453"/>
      <c r="D62" s="453"/>
      <c r="E62" s="453"/>
      <c r="F62" s="453"/>
      <c r="G62" s="453"/>
      <c r="H62" s="453"/>
      <c r="I62" s="453"/>
      <c r="J62" s="453"/>
      <c r="K62" s="453"/>
    </row>
    <row r="63" spans="1:11" ht="15.75">
      <c r="A63" s="354">
        <v>55</v>
      </c>
      <c r="B63" s="468" t="s">
        <v>9</v>
      </c>
      <c r="C63" s="453"/>
      <c r="D63" s="453"/>
      <c r="E63" s="453"/>
      <c r="F63" s="453"/>
      <c r="G63" s="453"/>
      <c r="H63" s="453"/>
      <c r="I63" s="453"/>
      <c r="J63" s="453"/>
      <c r="K63" s="453"/>
    </row>
    <row r="64" spans="1:11" ht="15">
      <c r="A64" s="359">
        <v>56</v>
      </c>
      <c r="B64" s="480" t="s">
        <v>63</v>
      </c>
      <c r="C64" s="453"/>
      <c r="D64" s="453"/>
      <c r="E64" s="453"/>
      <c r="F64" s="453"/>
      <c r="G64" s="453"/>
      <c r="H64" s="453"/>
      <c r="I64" s="453"/>
      <c r="J64" s="453"/>
      <c r="K64" s="453"/>
    </row>
    <row r="65" spans="1:11">
      <c r="A65" s="367">
        <v>57</v>
      </c>
      <c r="B65" s="368" t="s">
        <v>13</v>
      </c>
      <c r="C65" s="457">
        <f>C22</f>
        <v>1646.7240325176876</v>
      </c>
      <c r="D65" s="457">
        <f>D22</f>
        <v>1734.1359234744114</v>
      </c>
      <c r="E65" s="457">
        <f t="shared" ref="E65:K65" si="12">E22</f>
        <v>1843.0460465984879</v>
      </c>
      <c r="F65" s="457">
        <f t="shared" si="12"/>
        <v>2002.6844321391284</v>
      </c>
      <c r="G65" s="457">
        <f t="shared" si="12"/>
        <v>2228.1259541444037</v>
      </c>
      <c r="H65" s="457">
        <f t="shared" si="12"/>
        <v>2513.713438115893</v>
      </c>
      <c r="I65" s="457">
        <f t="shared" si="12"/>
        <v>2812.9499455527939</v>
      </c>
      <c r="J65" s="457">
        <f t="shared" si="12"/>
        <v>3115.7976675704895</v>
      </c>
      <c r="K65" s="457">
        <f t="shared" si="12"/>
        <v>3641.9959499730985</v>
      </c>
    </row>
    <row r="66" spans="1:11">
      <c r="A66" s="371">
        <v>58</v>
      </c>
      <c r="B66" s="368" t="s">
        <v>48</v>
      </c>
      <c r="C66" s="458">
        <f>C26</f>
        <v>6.9283333333333324E-3</v>
      </c>
      <c r="D66" s="458">
        <f>D26</f>
        <v>6.9283333333333324E-3</v>
      </c>
      <c r="E66" s="458">
        <f t="shared" ref="E66:K66" si="13">E26</f>
        <v>6.9283333333333324E-3</v>
      </c>
      <c r="F66" s="458">
        <f t="shared" si="13"/>
        <v>6.9283333333333324E-3</v>
      </c>
      <c r="G66" s="458">
        <f t="shared" si="13"/>
        <v>6.9283333333333324E-3</v>
      </c>
      <c r="H66" s="458">
        <f t="shared" si="13"/>
        <v>6.9283333333333324E-3</v>
      </c>
      <c r="I66" s="458">
        <f t="shared" si="13"/>
        <v>6.9283333333333324E-3</v>
      </c>
      <c r="J66" s="458">
        <f t="shared" si="13"/>
        <v>6.9283333333333324E-3</v>
      </c>
      <c r="K66" s="458">
        <f t="shared" si="13"/>
        <v>6.9283333333333324E-3</v>
      </c>
    </row>
    <row r="67" spans="1:11">
      <c r="A67" s="367">
        <v>59</v>
      </c>
      <c r="B67" s="368" t="s">
        <v>152</v>
      </c>
      <c r="C67" s="455">
        <f>C65*C66</f>
        <v>11.409053005293378</v>
      </c>
      <c r="D67" s="455">
        <f t="shared" ref="D67:K67" si="14">D65*D66</f>
        <v>12.014671723138544</v>
      </c>
      <c r="E67" s="455">
        <f t="shared" si="14"/>
        <v>12.769237359516522</v>
      </c>
      <c r="F67" s="455">
        <f t="shared" si="14"/>
        <v>13.875265307337258</v>
      </c>
      <c r="G67" s="455">
        <f t="shared" si="14"/>
        <v>15.437199318963808</v>
      </c>
      <c r="H67" s="455">
        <f t="shared" si="14"/>
        <v>17.415844603746276</v>
      </c>
      <c r="I67" s="455">
        <f t="shared" si="14"/>
        <v>19.489054872771604</v>
      </c>
      <c r="J67" s="455">
        <f t="shared" si="14"/>
        <v>21.587284840150872</v>
      </c>
      <c r="K67" s="455">
        <f t="shared" si="14"/>
        <v>25.232961940063614</v>
      </c>
    </row>
    <row r="68" spans="1:11">
      <c r="A68" s="371">
        <v>60</v>
      </c>
      <c r="B68" s="368" t="s">
        <v>151</v>
      </c>
      <c r="C68" s="457">
        <f>C60</f>
        <v>5.4098909406087126</v>
      </c>
      <c r="D68" s="457">
        <f>D60</f>
        <v>5.6970612016252735</v>
      </c>
      <c r="E68" s="457">
        <f t="shared" ref="E68:K68" si="15">E60</f>
        <v>6.0548562860553874</v>
      </c>
      <c r="F68" s="457">
        <f t="shared" si="15"/>
        <v>6.5793049210708592</v>
      </c>
      <c r="G68" s="457">
        <f t="shared" si="15"/>
        <v>7.3199328026368136</v>
      </c>
      <c r="H68" s="457">
        <f t="shared" si="15"/>
        <v>8.258156421641818</v>
      </c>
      <c r="I68" s="457">
        <f t="shared" si="15"/>
        <v>9.2412254037175927</v>
      </c>
      <c r="J68" s="457">
        <f t="shared" si="15"/>
        <v>10.236154921929401</v>
      </c>
      <c r="K68" s="457">
        <f t="shared" si="15"/>
        <v>11.964822064584329</v>
      </c>
    </row>
    <row r="69" spans="1:11">
      <c r="A69" s="354">
        <v>61</v>
      </c>
      <c r="B69" s="466" t="s">
        <v>112</v>
      </c>
      <c r="C69" s="465">
        <f>C67+C68</f>
        <v>16.818943945902092</v>
      </c>
      <c r="D69" s="465">
        <f t="shared" ref="D69:K69" si="16">D67+D68</f>
        <v>17.711732924763819</v>
      </c>
      <c r="E69" s="465">
        <f t="shared" si="16"/>
        <v>18.82409364557191</v>
      </c>
      <c r="F69" s="465">
        <f t="shared" si="16"/>
        <v>20.454570228408116</v>
      </c>
      <c r="G69" s="465">
        <f t="shared" si="16"/>
        <v>22.75713212160062</v>
      </c>
      <c r="H69" s="465">
        <f t="shared" si="16"/>
        <v>25.674001025388094</v>
      </c>
      <c r="I69" s="465">
        <f t="shared" si="16"/>
        <v>28.730280276489196</v>
      </c>
      <c r="J69" s="465">
        <f t="shared" si="16"/>
        <v>31.823439762080273</v>
      </c>
      <c r="K69" s="465">
        <f t="shared" si="16"/>
        <v>37.197784004647943</v>
      </c>
    </row>
    <row r="70" spans="1:11">
      <c r="A70" s="389"/>
      <c r="B70" s="453"/>
      <c r="C70" s="453"/>
      <c r="D70" s="453"/>
      <c r="E70" s="453"/>
      <c r="F70" s="453"/>
      <c r="G70" s="453"/>
      <c r="H70" s="453"/>
      <c r="I70" s="453"/>
      <c r="J70" s="453"/>
      <c r="K70" s="453"/>
    </row>
    <row r="71" spans="1:11">
      <c r="A71" s="389"/>
      <c r="B71" s="453"/>
      <c r="C71" s="453"/>
      <c r="D71" s="453"/>
      <c r="E71" s="453"/>
      <c r="F71" s="453"/>
      <c r="G71" s="453"/>
      <c r="H71" s="453"/>
      <c r="I71" s="453"/>
      <c r="J71" s="453"/>
      <c r="K71" s="453"/>
    </row>
    <row r="72" spans="1:11">
      <c r="A72" s="389"/>
      <c r="B72" s="453"/>
      <c r="C72" s="453"/>
      <c r="D72" s="453"/>
      <c r="E72" s="453"/>
      <c r="F72" s="453"/>
      <c r="G72" s="453"/>
      <c r="H72" s="453"/>
      <c r="I72" s="453"/>
      <c r="J72" s="453"/>
      <c r="K72" s="453"/>
    </row>
    <row r="73" spans="1:11" ht="15">
      <c r="A73" s="389"/>
      <c r="B73" s="481"/>
      <c r="C73" s="453"/>
      <c r="D73" s="453"/>
      <c r="E73" s="453"/>
      <c r="F73" s="453"/>
      <c r="G73" s="453"/>
      <c r="H73" s="453"/>
      <c r="I73" s="453"/>
      <c r="J73" s="453"/>
      <c r="K73" s="453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2" orientation="portrait" verticalDpi="1200" r:id="rId1"/>
  <headerFooter>
    <oddHeader>&amp;RTO9 Annual Update
Attachment 4
WP-Schedule 3-CWIPBA Model
Page &amp;P of &amp;N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tabColor rgb="FFCCFFCC"/>
    <pageSetUpPr fitToPage="1"/>
  </sheetPr>
  <dimension ref="A1:I68"/>
  <sheetViews>
    <sheetView zoomScaleNormal="100" zoomScaleSheetLayoutView="100" workbookViewId="0">
      <selection sqref="A1:E1"/>
    </sheetView>
  </sheetViews>
  <sheetFormatPr defaultColWidth="11.42578125" defaultRowHeight="15"/>
  <cols>
    <col min="1" max="1" width="10.5703125" style="123" bestFit="1" customWidth="1"/>
    <col min="2" max="2" width="14" style="123" customWidth="1"/>
    <col min="3" max="3" width="16.28515625" style="123" customWidth="1"/>
    <col min="4" max="4" width="12.28515625" style="123" customWidth="1"/>
    <col min="5" max="5" width="14.85546875" style="123" bestFit="1" customWidth="1"/>
    <col min="6" max="7" width="11.42578125" style="123" customWidth="1"/>
    <col min="8" max="8" width="12.28515625" style="123" customWidth="1"/>
    <col min="9" max="16384" width="11.42578125" style="123"/>
  </cols>
  <sheetData>
    <row r="1" spans="1:9" ht="15.75">
      <c r="A1" s="651" t="s">
        <v>0</v>
      </c>
      <c r="B1" s="651"/>
      <c r="C1" s="651"/>
      <c r="D1" s="651"/>
      <c r="E1" s="651"/>
      <c r="I1" s="264"/>
    </row>
    <row r="2" spans="1:9" ht="15.75">
      <c r="A2" s="652" t="s">
        <v>148</v>
      </c>
      <c r="B2" s="653"/>
      <c r="C2" s="653"/>
      <c r="D2" s="653"/>
      <c r="E2" s="653"/>
    </row>
    <row r="3" spans="1:9">
      <c r="A3" s="654" t="s">
        <v>325</v>
      </c>
      <c r="B3" s="655"/>
      <c r="C3" s="655"/>
      <c r="D3" s="655"/>
      <c r="E3" s="655"/>
    </row>
    <row r="4" spans="1:9">
      <c r="A4" s="656" t="s">
        <v>1</v>
      </c>
      <c r="B4" s="656"/>
      <c r="C4" s="656"/>
      <c r="D4" s="656"/>
      <c r="E4" s="656"/>
    </row>
    <row r="5" spans="1:9">
      <c r="A5" s="124"/>
      <c r="B5" s="124"/>
      <c r="C5" s="124"/>
      <c r="D5" s="124"/>
      <c r="E5" s="125"/>
    </row>
    <row r="6" spans="1:9">
      <c r="A6" s="124"/>
      <c r="B6" s="124"/>
      <c r="C6" s="124"/>
      <c r="D6" s="124"/>
      <c r="E6" s="124"/>
    </row>
    <row r="7" spans="1:9">
      <c r="A7" s="124"/>
      <c r="B7" s="124"/>
      <c r="C7" s="175"/>
      <c r="D7" s="176"/>
      <c r="E7" s="176"/>
    </row>
    <row r="8" spans="1:9" ht="15" customHeight="1">
      <c r="A8" s="123" t="s">
        <v>113</v>
      </c>
      <c r="B8" s="126"/>
      <c r="C8" s="177"/>
      <c r="D8" s="178"/>
      <c r="E8" s="179"/>
    </row>
    <row r="9" spans="1:9">
      <c r="B9" s="126"/>
      <c r="C9" s="177"/>
      <c r="D9" s="178"/>
      <c r="E9" s="180"/>
    </row>
    <row r="10" spans="1:9">
      <c r="B10" s="126"/>
      <c r="C10" s="177"/>
      <c r="D10" s="181"/>
      <c r="E10" s="180"/>
    </row>
    <row r="11" spans="1:9">
      <c r="B11" s="126"/>
      <c r="C11" s="127"/>
      <c r="D11" s="128"/>
      <c r="E11" s="129"/>
    </row>
    <row r="12" spans="1:9">
      <c r="A12" s="124"/>
      <c r="B12" s="124"/>
      <c r="C12" s="124"/>
      <c r="D12" s="124"/>
      <c r="E12" s="124"/>
    </row>
    <row r="13" spans="1:9" ht="45.75" customHeight="1">
      <c r="A13" s="660" t="s">
        <v>114</v>
      </c>
      <c r="B13" s="662" t="s">
        <v>160</v>
      </c>
      <c r="C13" s="662" t="s">
        <v>161</v>
      </c>
      <c r="D13" s="658" t="s">
        <v>115</v>
      </c>
      <c r="E13" s="660" t="s">
        <v>116</v>
      </c>
      <c r="F13" s="238"/>
    </row>
    <row r="14" spans="1:9" ht="15" customHeight="1">
      <c r="A14" s="661"/>
      <c r="B14" s="663"/>
      <c r="C14" s="659"/>
      <c r="D14" s="659"/>
      <c r="E14" s="661"/>
      <c r="F14" s="238"/>
    </row>
    <row r="15" spans="1:9">
      <c r="A15" s="130" t="s">
        <v>117</v>
      </c>
      <c r="B15" s="131"/>
      <c r="C15" s="132"/>
      <c r="D15" s="131"/>
      <c r="E15" s="161">
        <v>0</v>
      </c>
      <c r="F15" s="238"/>
    </row>
    <row r="16" spans="1:9">
      <c r="A16" s="130" t="s">
        <v>118</v>
      </c>
      <c r="B16" s="132"/>
      <c r="C16" s="132"/>
      <c r="D16" s="131"/>
      <c r="E16" s="161">
        <v>0</v>
      </c>
      <c r="F16" s="238"/>
    </row>
    <row r="17" spans="1:5">
      <c r="A17" s="265" t="s">
        <v>119</v>
      </c>
      <c r="B17" s="132"/>
      <c r="C17" s="132"/>
      <c r="D17" s="131"/>
      <c r="E17" s="221">
        <v>21720.008730000001</v>
      </c>
    </row>
    <row r="18" spans="1:5">
      <c r="A18" s="265" t="s">
        <v>120</v>
      </c>
      <c r="B18" s="185">
        <f>D18-C18</f>
        <v>67.934149999997771</v>
      </c>
      <c r="C18" s="221">
        <f>(826.4297+2013.33321)-(826.27257+2013.08021)</f>
        <v>0.41012999999975364</v>
      </c>
      <c r="D18" s="185">
        <f>IF(E18=0,0,E18-E17)</f>
        <v>68.344279999997525</v>
      </c>
      <c r="E18" s="221">
        <v>21788.353009999999</v>
      </c>
    </row>
    <row r="19" spans="1:5">
      <c r="A19" s="265" t="s">
        <v>121</v>
      </c>
      <c r="B19" s="185">
        <f>D19-C19</f>
        <v>439.7651400000027</v>
      </c>
      <c r="C19" s="221">
        <f>(828.29909+2029.64846)-(826.4297+2013.33321)</f>
        <v>18.184639999999945</v>
      </c>
      <c r="D19" s="185">
        <f>IF(E19=0,0,E19-E18)</f>
        <v>457.94978000000265</v>
      </c>
      <c r="E19" s="221">
        <v>22246.302790000002</v>
      </c>
    </row>
    <row r="20" spans="1:5">
      <c r="A20" s="265" t="s">
        <v>75</v>
      </c>
      <c r="B20" s="171">
        <f t="shared" ref="B20:B39" si="0">D20-C20</f>
        <v>321.18628999999783</v>
      </c>
      <c r="C20" s="221">
        <f>(828.29909+2029.64846)-(828.29909+2029.64846)</f>
        <v>0</v>
      </c>
      <c r="D20" s="185">
        <f t="shared" ref="D20:D39" si="1">IF(E20=0,0,E20-E19)</f>
        <v>321.18628999999783</v>
      </c>
      <c r="E20" s="221">
        <v>22567.489079999999</v>
      </c>
    </row>
    <row r="21" spans="1:5">
      <c r="A21" s="265" t="s">
        <v>122</v>
      </c>
      <c r="B21" s="266">
        <f t="shared" si="0"/>
        <v>518.01512000000002</v>
      </c>
      <c r="C21" s="221">
        <f>(828.29909+2029.64846)-(828.29909+2029.64846)</f>
        <v>0</v>
      </c>
      <c r="D21" s="267">
        <f t="shared" si="1"/>
        <v>518.01512000000002</v>
      </c>
      <c r="E21" s="221">
        <v>23085.504199999999</v>
      </c>
    </row>
    <row r="22" spans="1:5">
      <c r="A22" s="265" t="s">
        <v>123</v>
      </c>
      <c r="B22" s="266">
        <f t="shared" si="0"/>
        <v>219.32871000000205</v>
      </c>
      <c r="C22" s="221">
        <f>(828.29909+2029.77833)-(828.29909+2029.64846)</f>
        <v>0.12987000000020998</v>
      </c>
      <c r="D22" s="267">
        <f t="shared" si="1"/>
        <v>219.45858000000226</v>
      </c>
      <c r="E22" s="221">
        <v>23304.962780000002</v>
      </c>
    </row>
    <row r="23" spans="1:5">
      <c r="A23" s="265" t="s">
        <v>124</v>
      </c>
      <c r="B23" s="266">
        <f t="shared" si="0"/>
        <v>361.81208999999808</v>
      </c>
      <c r="C23" s="221">
        <f>(828.29909+2029.79755)-(828.29909+2029.77833)</f>
        <v>1.9219999999677384E-2</v>
      </c>
      <c r="D23" s="267">
        <f t="shared" si="1"/>
        <v>361.83130999999776</v>
      </c>
      <c r="E23" s="221">
        <v>23666.794089999999</v>
      </c>
    </row>
    <row r="24" spans="1:5">
      <c r="A24" s="265" t="s">
        <v>125</v>
      </c>
      <c r="B24" s="266">
        <f t="shared" si="0"/>
        <v>687.66363999999885</v>
      </c>
      <c r="C24" s="221">
        <f>(828.29909+2029.79755)-(828.29909+2029.79755)</f>
        <v>0</v>
      </c>
      <c r="D24" s="267">
        <f t="shared" si="1"/>
        <v>687.66363999999885</v>
      </c>
      <c r="E24" s="221">
        <v>24354.457729999998</v>
      </c>
    </row>
    <row r="25" spans="1:5">
      <c r="A25" s="265" t="s">
        <v>126</v>
      </c>
      <c r="B25" s="266">
        <f t="shared" si="0"/>
        <v>329.24722000000111</v>
      </c>
      <c r="C25" s="221">
        <f>(828.29909+2029.79755)-(828.29909+2029.79755)</f>
        <v>0</v>
      </c>
      <c r="D25" s="267">
        <f t="shared" si="1"/>
        <v>329.24722000000111</v>
      </c>
      <c r="E25" s="221">
        <v>24683.704949999999</v>
      </c>
    </row>
    <row r="26" spans="1:5">
      <c r="A26" s="265" t="s">
        <v>127</v>
      </c>
      <c r="B26" s="266">
        <f t="shared" si="0"/>
        <v>151.50504999999976</v>
      </c>
      <c r="C26" s="221">
        <f>(828.29909+2029.79755)-(828.29909+2029.79755)</f>
        <v>0</v>
      </c>
      <c r="D26" s="267">
        <f>IF(E26=0,0,E26-E25)</f>
        <v>151.50504999999976</v>
      </c>
      <c r="E26" s="221">
        <v>24835.21</v>
      </c>
    </row>
    <row r="27" spans="1:5">
      <c r="A27" s="268" t="s">
        <v>128</v>
      </c>
      <c r="B27" s="269">
        <f t="shared" si="0"/>
        <v>1087.00533</v>
      </c>
      <c r="C27" s="221">
        <f>(830.81237+2036.09589)-(828.29909+2029.79755)</f>
        <v>8.8116200000004028</v>
      </c>
      <c r="D27" s="267">
        <f>IF(E27=0,0,E27-E26)</f>
        <v>1095.8169500000004</v>
      </c>
      <c r="E27" s="270">
        <v>25931.026949999999</v>
      </c>
    </row>
    <row r="28" spans="1:5">
      <c r="A28" s="265" t="s">
        <v>188</v>
      </c>
      <c r="B28" s="266">
        <f t="shared" si="0"/>
        <v>378.52183999999988</v>
      </c>
      <c r="C28" s="221">
        <f>(830.81237+2036.14103)-(830.81237+2036.09589)</f>
        <v>4.5139999999719294E-2</v>
      </c>
      <c r="D28" s="267">
        <f t="shared" si="1"/>
        <v>378.5669799999996</v>
      </c>
      <c r="E28" s="270">
        <v>26309.593929999999</v>
      </c>
    </row>
    <row r="29" spans="1:5">
      <c r="A29" s="265" t="s">
        <v>119</v>
      </c>
      <c r="B29" s="269">
        <f t="shared" si="0"/>
        <v>397.00971999999911</v>
      </c>
      <c r="C29" s="221">
        <f>(830.81237+2036.24784)-(830.81237+2036.14103)</f>
        <v>0.10681000000022323</v>
      </c>
      <c r="D29" s="267">
        <f t="shared" si="1"/>
        <v>397.11652999999933</v>
      </c>
      <c r="E29" s="270">
        <v>26706.710459999998</v>
      </c>
    </row>
    <row r="30" spans="1:5">
      <c r="A30" s="265" t="s">
        <v>120</v>
      </c>
      <c r="B30" s="266">
        <f t="shared" si="0"/>
        <v>1022.9283600000017</v>
      </c>
      <c r="C30" s="221">
        <f>(830.81237+2036.24784)-(830.81237+2036.24784)</f>
        <v>0</v>
      </c>
      <c r="D30" s="267">
        <f t="shared" si="1"/>
        <v>1022.9283600000017</v>
      </c>
      <c r="E30" s="270">
        <v>27729.63882</v>
      </c>
    </row>
    <row r="31" spans="1:5">
      <c r="A31" s="265" t="s">
        <v>121</v>
      </c>
      <c r="B31" s="269">
        <f t="shared" si="0"/>
        <v>1151.9205499999989</v>
      </c>
      <c r="C31" s="221">
        <f>(830.81237+2036.24784)-(830.81237+2036.24784)</f>
        <v>0</v>
      </c>
      <c r="D31" s="267">
        <f t="shared" si="1"/>
        <v>1151.9205499999989</v>
      </c>
      <c r="E31" s="270">
        <v>28881.559369999999</v>
      </c>
    </row>
    <row r="32" spans="1:5">
      <c r="A32" s="265" t="s">
        <v>75</v>
      </c>
      <c r="B32" s="269">
        <f t="shared" si="0"/>
        <v>2355.6386999999995</v>
      </c>
      <c r="C32" s="221">
        <f>(830.81237+2036.24784)-(830.81237+2036.24784)</f>
        <v>0</v>
      </c>
      <c r="D32" s="267">
        <f t="shared" si="1"/>
        <v>2355.6386999999995</v>
      </c>
      <c r="E32" s="270">
        <v>31237.198069999999</v>
      </c>
    </row>
    <row r="33" spans="1:5">
      <c r="A33" s="265" t="s">
        <v>122</v>
      </c>
      <c r="B33" s="269">
        <f t="shared" si="0"/>
        <v>-430.37274999999863</v>
      </c>
      <c r="C33" s="221">
        <f>(830.81237+2036.24784)-(830.81237+2036.24784)</f>
        <v>0</v>
      </c>
      <c r="D33" s="267">
        <f t="shared" si="1"/>
        <v>-430.37274999999863</v>
      </c>
      <c r="E33" s="270">
        <v>30806.82532</v>
      </c>
    </row>
    <row r="34" spans="1:5">
      <c r="A34" s="265" t="s">
        <v>123</v>
      </c>
      <c r="B34" s="240">
        <f t="shared" si="0"/>
        <v>3066.2355599999983</v>
      </c>
      <c r="C34" s="221">
        <f>(831.17639+2036.24784)-(830.81237+2036.24784)</f>
        <v>0.36401999999998225</v>
      </c>
      <c r="D34" s="185">
        <f t="shared" si="1"/>
        <v>3066.5995799999982</v>
      </c>
      <c r="E34" s="270">
        <v>33873.424899999998</v>
      </c>
    </row>
    <row r="35" spans="1:5">
      <c r="A35" s="265" t="s">
        <v>124</v>
      </c>
      <c r="B35" s="240">
        <f t="shared" si="0"/>
        <v>2736.71774</v>
      </c>
      <c r="C35" s="221">
        <f>(831.17639+2036.24784)-(831.17639+2036.24784)</f>
        <v>0</v>
      </c>
      <c r="D35" s="240">
        <f t="shared" si="1"/>
        <v>2736.71774</v>
      </c>
      <c r="E35" s="270">
        <v>36610.142639999998</v>
      </c>
    </row>
    <row r="36" spans="1:5">
      <c r="A36" s="265" t="s">
        <v>125</v>
      </c>
      <c r="B36" s="240">
        <f t="shared" si="0"/>
        <v>2969.6935000000044</v>
      </c>
      <c r="C36" s="221">
        <f>(831.32585+2036.43999)-(831.17639+2036.24784)</f>
        <v>0.34160999999994601</v>
      </c>
      <c r="D36" s="240">
        <f t="shared" si="1"/>
        <v>2970.0351100000044</v>
      </c>
      <c r="E36" s="270">
        <v>39580.177750000003</v>
      </c>
    </row>
    <row r="37" spans="1:5">
      <c r="A37" s="265" t="s">
        <v>126</v>
      </c>
      <c r="B37" s="240">
        <f t="shared" si="0"/>
        <v>-1865.2597900000037</v>
      </c>
      <c r="C37" s="221">
        <f>(831.41341+2036.52755)-(831.32585+2036.43999)</f>
        <v>0.17511999999987893</v>
      </c>
      <c r="D37" s="240">
        <f t="shared" si="1"/>
        <v>-1865.0846700000038</v>
      </c>
      <c r="E37" s="270">
        <v>37715.093079999999</v>
      </c>
    </row>
    <row r="38" spans="1:5">
      <c r="A38" s="265" t="s">
        <v>127</v>
      </c>
      <c r="B38" s="171">
        <f t="shared" si="0"/>
        <v>-2133.4270699999961</v>
      </c>
      <c r="C38" s="221">
        <f>(831.47627+2036.61136)-(831.41341+2036.52755)</f>
        <v>0.14667000000008557</v>
      </c>
      <c r="D38" s="240">
        <f t="shared" si="1"/>
        <v>-2133.280399999996</v>
      </c>
      <c r="E38" s="270">
        <v>35581.812680000003</v>
      </c>
    </row>
    <row r="39" spans="1:5">
      <c r="A39" s="268" t="s">
        <v>189</v>
      </c>
      <c r="B39" s="240">
        <f t="shared" si="0"/>
        <v>3038.27952</v>
      </c>
      <c r="C39" s="270">
        <f>(831.52587+2036.74566)-(831.47627+2036.61136)</f>
        <v>0.18389999999999418</v>
      </c>
      <c r="D39" s="240">
        <f t="shared" si="1"/>
        <v>3038.46342</v>
      </c>
      <c r="E39" s="270">
        <v>38620.276100000003</v>
      </c>
    </row>
    <row r="40" spans="1:5" collapsed="1">
      <c r="A40" s="265" t="s">
        <v>225</v>
      </c>
      <c r="B40" s="266">
        <f t="shared" ref="B40:B51" si="2">D40-C40</f>
        <v>-184.22481000000653</v>
      </c>
      <c r="C40" s="553">
        <f>(831.52587+2036.76234)-(831.52587+2036.74566)</f>
        <v>1.6680000000178552E-2</v>
      </c>
      <c r="D40" s="267">
        <f t="shared" ref="D40:D51" si="3">IF(E40=0,0,E40-E39)</f>
        <v>-184.20813000000635</v>
      </c>
      <c r="E40" s="270">
        <v>38436.067969999996</v>
      </c>
    </row>
    <row r="41" spans="1:5">
      <c r="A41" s="265" t="s">
        <v>119</v>
      </c>
      <c r="B41" s="269">
        <f t="shared" si="2"/>
        <v>115.21733000000677</v>
      </c>
      <c r="C41" s="554">
        <f>(831.52587+2036.76234)-(831.52587+2036.76234)</f>
        <v>0</v>
      </c>
      <c r="D41" s="267">
        <f t="shared" si="3"/>
        <v>115.21733000000677</v>
      </c>
      <c r="E41" s="270">
        <v>38551.285300000003</v>
      </c>
    </row>
    <row r="42" spans="1:5">
      <c r="A42" s="265" t="s">
        <v>120</v>
      </c>
      <c r="B42" s="266">
        <f t="shared" si="2"/>
        <v>1222.866909999997</v>
      </c>
      <c r="C42" s="270">
        <f>(831.52587+2036.76234)-(831.52587+2036.76234)</f>
        <v>0</v>
      </c>
      <c r="D42" s="267">
        <f t="shared" si="3"/>
        <v>1222.866909999997</v>
      </c>
      <c r="E42" s="270">
        <v>39774.15221</v>
      </c>
    </row>
    <row r="43" spans="1:5">
      <c r="A43" s="265" t="s">
        <v>121</v>
      </c>
      <c r="B43" s="269">
        <f t="shared" si="2"/>
        <v>821.61348000000226</v>
      </c>
      <c r="C43" s="270">
        <f>(831.52587+2036.76254)-(831.52587+2036.76234)</f>
        <v>1.9999999994979589E-4</v>
      </c>
      <c r="D43" s="267">
        <f t="shared" si="3"/>
        <v>821.6136800000022</v>
      </c>
      <c r="E43" s="270">
        <v>40595.765890000002</v>
      </c>
    </row>
    <row r="44" spans="1:5" s="187" customFormat="1">
      <c r="A44" s="265" t="s">
        <v>75</v>
      </c>
      <c r="B44" s="269">
        <f t="shared" si="2"/>
        <v>1341.7660699999983</v>
      </c>
      <c r="C44" s="270">
        <f>(833.87695+2036.76254)-(831.52587+2036.76254)</f>
        <v>2.3510799999999108</v>
      </c>
      <c r="D44" s="267">
        <f t="shared" si="3"/>
        <v>1344.1171499999982</v>
      </c>
      <c r="E44" s="270">
        <v>41939.883040000001</v>
      </c>
    </row>
    <row r="45" spans="1:5">
      <c r="A45" s="265" t="s">
        <v>122</v>
      </c>
      <c r="B45" s="269">
        <f t="shared" si="2"/>
        <v>-6857.0599600000041</v>
      </c>
      <c r="C45" s="270">
        <f>(609.31323+2036.76254)-(833.87695+2036.76254)</f>
        <v>-224.5637200000001</v>
      </c>
      <c r="D45" s="267">
        <f t="shared" si="3"/>
        <v>-7081.6236800000042</v>
      </c>
      <c r="E45" s="270">
        <v>34858.259359999996</v>
      </c>
    </row>
    <row r="46" spans="1:5">
      <c r="A46" s="265" t="s">
        <v>123</v>
      </c>
      <c r="B46" s="240">
        <f t="shared" si="2"/>
        <v>935.6165800000017</v>
      </c>
      <c r="C46" s="270">
        <f>(609.31323+2036.76254)-(609.31323+2036.76254)</f>
        <v>0</v>
      </c>
      <c r="D46" s="267">
        <f t="shared" si="3"/>
        <v>935.6165800000017</v>
      </c>
      <c r="E46" s="270">
        <v>35793.875939999998</v>
      </c>
    </row>
    <row r="47" spans="1:5">
      <c r="A47" s="265" t="s">
        <v>124</v>
      </c>
      <c r="B47" s="240">
        <f t="shared" si="2"/>
        <v>1199.9137000000005</v>
      </c>
      <c r="C47" s="270">
        <f>(610.34305+2036.76254)-(609.31323+2036.76254)</f>
        <v>1.0298200000001998</v>
      </c>
      <c r="D47" s="269">
        <f t="shared" si="3"/>
        <v>1200.9435200000007</v>
      </c>
      <c r="E47" s="270">
        <v>36994.819459999999</v>
      </c>
    </row>
    <row r="48" spans="1:5">
      <c r="A48" s="265" t="s">
        <v>125</v>
      </c>
      <c r="B48" s="240">
        <f t="shared" si="2"/>
        <v>1895.496820000003</v>
      </c>
      <c r="C48" s="270">
        <f>(617.03924+2036.76254)-(610.34305+2036.76254)</f>
        <v>6.6961899999996604</v>
      </c>
      <c r="D48" s="269">
        <f t="shared" si="3"/>
        <v>1902.1930100000027</v>
      </c>
      <c r="E48" s="270">
        <v>38897.012470000001</v>
      </c>
    </row>
    <row r="49" spans="1:7">
      <c r="A49" s="265" t="s">
        <v>126</v>
      </c>
      <c r="B49" s="240">
        <f t="shared" si="2"/>
        <v>3663.5226100000004</v>
      </c>
      <c r="C49" s="270">
        <f>(617.03924+2036.80673)-(617.03924+2036.76254)</f>
        <v>4.419000000007145E-2</v>
      </c>
      <c r="D49" s="269">
        <f t="shared" si="3"/>
        <v>3663.5668000000005</v>
      </c>
      <c r="E49" s="270">
        <v>42560.579270000002</v>
      </c>
    </row>
    <row r="50" spans="1:7">
      <c r="A50" s="265" t="s">
        <v>127</v>
      </c>
      <c r="B50" s="266">
        <f t="shared" si="2"/>
        <v>717.38587999999481</v>
      </c>
      <c r="C50" s="270">
        <f>(622.20411+2036.80673)-(617.03924+2036.80673)</f>
        <v>5.1648700000000645</v>
      </c>
      <c r="D50" s="269">
        <f t="shared" si="3"/>
        <v>722.55074999999488</v>
      </c>
      <c r="E50" s="270">
        <v>43283.130019999997</v>
      </c>
      <c r="F50" s="589"/>
      <c r="G50" s="589"/>
    </row>
    <row r="51" spans="1:7">
      <c r="A51" s="268" t="s">
        <v>226</v>
      </c>
      <c r="B51" s="240">
        <f t="shared" si="2"/>
        <v>2805.3715500000058</v>
      </c>
      <c r="C51" s="270">
        <f>(639.69787+2072.38618)-(622.20411+2036.80673)</f>
        <v>53.073210000000017</v>
      </c>
      <c r="D51" s="269">
        <f t="shared" si="3"/>
        <v>2858.4447600000058</v>
      </c>
      <c r="E51" s="270">
        <v>46141.574780000003</v>
      </c>
      <c r="F51" s="589"/>
      <c r="G51" s="589"/>
    </row>
    <row r="52" spans="1:7">
      <c r="A52" s="411" t="s">
        <v>261</v>
      </c>
      <c r="B52" s="266">
        <f t="shared" ref="B52:B63" si="4">D52-C52</f>
        <v>1262.9751599999977</v>
      </c>
      <c r="C52" s="591">
        <f>(647.58197+2072.38618)-(639.69787+2072.38618)</f>
        <v>7.8840999999997621</v>
      </c>
      <c r="D52" s="267">
        <f t="shared" ref="D52:D63" si="5">IF(E52=0,0,E52-E51)</f>
        <v>1270.8592599999974</v>
      </c>
      <c r="E52" s="270">
        <v>47412.43404</v>
      </c>
      <c r="F52" s="589"/>
      <c r="G52" s="589"/>
    </row>
    <row r="53" spans="1:7">
      <c r="A53" s="265" t="s">
        <v>119</v>
      </c>
      <c r="B53" s="269">
        <f t="shared" si="4"/>
        <v>1726.6331499999974</v>
      </c>
      <c r="C53" s="270">
        <f>(648.83304+2205.88469)-(647.58197+2072.38618)</f>
        <v>134.74958000000015</v>
      </c>
      <c r="D53" s="267">
        <f t="shared" si="5"/>
        <v>1861.3827299999975</v>
      </c>
      <c r="E53" s="270">
        <v>49273.816769999998</v>
      </c>
      <c r="F53" s="589"/>
      <c r="G53" s="589"/>
    </row>
    <row r="54" spans="1:7">
      <c r="A54" s="265" t="s">
        <v>120</v>
      </c>
      <c r="B54" s="266">
        <f t="shared" si="4"/>
        <v>3023.0879699999991</v>
      </c>
      <c r="C54" s="270">
        <f>(655.08121+2212.63211)-(648.83304+2205.88469)</f>
        <v>12.995589999999993</v>
      </c>
      <c r="D54" s="267">
        <f>IF(E54=0,0,E54-E53)</f>
        <v>3036.0835599999991</v>
      </c>
      <c r="E54" s="270">
        <v>52309.900329999997</v>
      </c>
      <c r="F54" s="589"/>
      <c r="G54" s="589"/>
    </row>
    <row r="55" spans="1:7">
      <c r="A55" s="265" t="s">
        <v>121</v>
      </c>
      <c r="B55" s="269">
        <f t="shared" si="4"/>
        <v>1842.9603999999999</v>
      </c>
      <c r="C55" s="270">
        <f>(659.36212+2090.07252)-(655.08121+2212.63211)</f>
        <v>-118.27867999999944</v>
      </c>
      <c r="D55" s="267">
        <f>IF(E55=0,0,E55-E54)</f>
        <v>1724.6817200000005</v>
      </c>
      <c r="E55" s="270">
        <v>54034.582049999997</v>
      </c>
      <c r="F55" s="589"/>
      <c r="G55" s="589"/>
    </row>
    <row r="56" spans="1:7" s="187" customFormat="1">
      <c r="A56" s="265" t="s">
        <v>75</v>
      </c>
      <c r="B56" s="269">
        <f>D56-C56</f>
        <v>2804.6824600000068</v>
      </c>
      <c r="C56" s="270">
        <f>(661.26802+2097.05188)-(659.36212+2090.07252)</f>
        <v>8.8852599999995618</v>
      </c>
      <c r="D56" s="267">
        <f>IF(E56=0,0,E56-E55)</f>
        <v>2813.5677200000064</v>
      </c>
      <c r="E56" s="270">
        <v>56848.149770000004</v>
      </c>
      <c r="F56" s="590"/>
      <c r="G56" s="589"/>
    </row>
    <row r="57" spans="1:7">
      <c r="A57" s="265" t="s">
        <v>122</v>
      </c>
      <c r="B57" s="269">
        <f t="shared" si="4"/>
        <v>5510.2652699999999</v>
      </c>
      <c r="C57" s="270">
        <f>(680.12081+2102.98295)-(661.26802+2097.05188)</f>
        <v>24.783860000000004</v>
      </c>
      <c r="D57" s="267">
        <f t="shared" si="5"/>
        <v>5535.0491299999994</v>
      </c>
      <c r="E57" s="270">
        <v>62383.198900000003</v>
      </c>
      <c r="F57" s="589"/>
      <c r="G57" s="589"/>
    </row>
    <row r="58" spans="1:7">
      <c r="A58" s="265" t="s">
        <v>123</v>
      </c>
      <c r="B58" s="240">
        <f t="shared" si="4"/>
        <v>4383.6595699999916</v>
      </c>
      <c r="C58" s="270">
        <f>(690.29063+2168.59701)-(680.12081+2102.98295)</f>
        <v>75.783879999999954</v>
      </c>
      <c r="D58" s="267">
        <f t="shared" si="5"/>
        <v>4459.4434499999916</v>
      </c>
      <c r="E58" s="270">
        <v>66842.642349999995</v>
      </c>
      <c r="F58" s="589"/>
      <c r="G58" s="589"/>
    </row>
    <row r="59" spans="1:7">
      <c r="A59" s="265" t="s">
        <v>124</v>
      </c>
      <c r="B59" s="240">
        <f t="shared" si="4"/>
        <v>6338.5940400000054</v>
      </c>
      <c r="C59" s="270">
        <f>(940.39773+2170.01259)-(690.29063+2168.59701)</f>
        <v>251.52268000000004</v>
      </c>
      <c r="D59" s="269">
        <f t="shared" si="5"/>
        <v>6590.1167200000054</v>
      </c>
      <c r="E59" s="270">
        <v>73432.75907</v>
      </c>
      <c r="F59" s="589"/>
      <c r="G59" s="589"/>
    </row>
    <row r="60" spans="1:7">
      <c r="A60" s="265" t="s">
        <v>125</v>
      </c>
      <c r="B60" s="240">
        <f t="shared" si="4"/>
        <v>12926.751049999995</v>
      </c>
      <c r="C60" s="241">
        <f>(940.88353+2170.02607)-(940.39773+2170.01259)</f>
        <v>0.49927999999999884</v>
      </c>
      <c r="D60" s="240">
        <f t="shared" si="5"/>
        <v>12927.250329999995</v>
      </c>
      <c r="E60" s="270">
        <v>86360.009399999995</v>
      </c>
      <c r="F60" s="589"/>
      <c r="G60" s="589"/>
    </row>
    <row r="61" spans="1:7">
      <c r="A61" s="265" t="s">
        <v>126</v>
      </c>
      <c r="B61" s="240">
        <f t="shared" si="4"/>
        <v>15691.614730000008</v>
      </c>
      <c r="C61" s="241">
        <f>(959.29797+2170.02607)-(940.88353+2170.02607)</f>
        <v>18.414440000000013</v>
      </c>
      <c r="D61" s="240">
        <f t="shared" si="5"/>
        <v>15710.029170000009</v>
      </c>
      <c r="E61" s="270">
        <v>102070.03857</v>
      </c>
      <c r="F61" s="589"/>
      <c r="G61" s="589"/>
    </row>
    <row r="62" spans="1:7">
      <c r="A62" s="265" t="s">
        <v>127</v>
      </c>
      <c r="B62" s="171">
        <f t="shared" si="4"/>
        <v>23473.462189999998</v>
      </c>
      <c r="C62" s="241">
        <f>(971.8702+2179.44264)-(959.29797+2170.02607)</f>
        <v>21.988800000000083</v>
      </c>
      <c r="D62" s="240">
        <f t="shared" si="5"/>
        <v>23495.450989999998</v>
      </c>
      <c r="E62" s="270">
        <v>125565.48956</v>
      </c>
      <c r="F62" s="589"/>
      <c r="G62" s="589"/>
    </row>
    <row r="63" spans="1:7">
      <c r="A63" s="584" t="s">
        <v>262</v>
      </c>
      <c r="B63" s="212">
        <f t="shared" si="4"/>
        <v>25409.018119999986</v>
      </c>
      <c r="C63" s="173">
        <f>(982.89796+2191.26837)-(971.8702+2179.44264)</f>
        <v>22.853489999999965</v>
      </c>
      <c r="D63" s="212">
        <f t="shared" si="5"/>
        <v>25431.871609999987</v>
      </c>
      <c r="E63" s="573">
        <v>150997.36116999999</v>
      </c>
      <c r="F63" s="589"/>
      <c r="G63" s="589"/>
    </row>
    <row r="64" spans="1:7">
      <c r="A64" s="133" t="s">
        <v>115</v>
      </c>
      <c r="B64" s="185">
        <f>SUM(B15:B39)</f>
        <v>16871.348620000004</v>
      </c>
      <c r="C64" s="241">
        <f t="shared" ref="C64" si="6">(690.29063+2168.59701)-(680.12081+2102.98295)</f>
        <v>75.783879999999954</v>
      </c>
      <c r="D64" s="161">
        <f>SUM(D15:D51)</f>
        <v>24421.566050000001</v>
      </c>
      <c r="E64" s="241">
        <f>SUM(E15:E63)</f>
        <v>2057193.0551199999</v>
      </c>
    </row>
    <row r="65" spans="1:5">
      <c r="A65" s="133"/>
      <c r="C65" s="172"/>
      <c r="E65" s="172"/>
    </row>
    <row r="66" spans="1:5">
      <c r="A66" s="133"/>
      <c r="C66" s="172"/>
    </row>
    <row r="67" spans="1:5">
      <c r="A67" s="186" t="s">
        <v>162</v>
      </c>
    </row>
    <row r="68" spans="1:5" ht="30" customHeight="1">
      <c r="A68" s="657" t="s">
        <v>163</v>
      </c>
      <c r="B68" s="657"/>
      <c r="C68" s="657"/>
      <c r="D68" s="657"/>
      <c r="E68" s="657"/>
    </row>
  </sheetData>
  <mergeCells count="10">
    <mergeCell ref="A1:E1"/>
    <mergeCell ref="A2:E2"/>
    <mergeCell ref="A3:E3"/>
    <mergeCell ref="A4:E4"/>
    <mergeCell ref="A68:E68"/>
    <mergeCell ref="D13:D14"/>
    <mergeCell ref="E13:E14"/>
    <mergeCell ref="C13:C14"/>
    <mergeCell ref="A13:A14"/>
    <mergeCell ref="B13:B14"/>
  </mergeCells>
  <phoneticPr fontId="4" type="noConversion"/>
  <pageMargins left="0.7" right="0.7" top="0.75" bottom="0.75" header="0.3" footer="0.3"/>
  <pageSetup scale="65" orientation="portrait" cellComments="asDisplayed" r:id="rId1"/>
  <headerFooter alignWithMargins="0">
    <oddHeader>&amp;RTO9 Annual Update
Attachment 4
WP-Schedule 3-CWIPBA Model
Page &amp;P of &amp;N</oddHeader>
    <oddFooter>&amp;R&amp;A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K31"/>
  <sheetViews>
    <sheetView zoomScaleNormal="100" zoomScaleSheetLayoutView="100" workbookViewId="0"/>
  </sheetViews>
  <sheetFormatPr defaultRowHeight="12.75"/>
  <cols>
    <col min="1" max="1" width="12.5703125" customWidth="1"/>
    <col min="2" max="3" width="15" customWidth="1"/>
    <col min="4" max="4" width="14.140625" customWidth="1"/>
    <col min="5" max="5" width="10.140625" bestFit="1" customWidth="1"/>
    <col min="6" max="7" width="13.7109375" customWidth="1"/>
    <col min="8" max="8" width="2.5703125" customWidth="1"/>
    <col min="9" max="11" width="12.85546875" customWidth="1"/>
    <col min="12" max="12" width="3" customWidth="1"/>
  </cols>
  <sheetData>
    <row r="1" spans="1:11" ht="15.75">
      <c r="A1" s="1" t="s">
        <v>315</v>
      </c>
    </row>
    <row r="4" spans="1:11" s="64" customFormat="1" ht="51">
      <c r="A4" s="287" t="s">
        <v>200</v>
      </c>
      <c r="B4" s="287" t="s">
        <v>201</v>
      </c>
      <c r="C4" s="287" t="s">
        <v>202</v>
      </c>
      <c r="D4" s="287" t="s">
        <v>203</v>
      </c>
      <c r="E4" s="287" t="s">
        <v>204</v>
      </c>
      <c r="F4" s="287" t="s">
        <v>205</v>
      </c>
      <c r="G4" s="287" t="s">
        <v>206</v>
      </c>
      <c r="H4" s="288"/>
      <c r="I4" s="287" t="s">
        <v>207</v>
      </c>
      <c r="J4" s="287" t="s">
        <v>208</v>
      </c>
      <c r="K4" s="287" t="s">
        <v>209</v>
      </c>
    </row>
    <row r="6" spans="1:11">
      <c r="A6" s="278" t="s">
        <v>213</v>
      </c>
      <c r="B6" s="276">
        <f>'DPV2 CWIP Balance'!E33-'DPV2 CWIP Balance'!D33</f>
        <v>31237.198069999999</v>
      </c>
      <c r="C6" s="276">
        <f>-'DPV2 CWIP Balance'!B33</f>
        <v>430.37274999999863</v>
      </c>
      <c r="D6" s="274">
        <f>C6/B6</f>
        <v>1.377757214445318E-2</v>
      </c>
      <c r="E6" s="276">
        <f>'Def Tax'!C145</f>
        <v>1393.7945533459315</v>
      </c>
      <c r="F6" s="276">
        <f>-E6*D6</f>
        <v>-19.203105013269468</v>
      </c>
      <c r="G6" s="276">
        <f>F6+E6</f>
        <v>1374.5914483326619</v>
      </c>
      <c r="H6" s="224"/>
      <c r="I6" s="276">
        <f>'Def Tax'!C62</f>
        <v>4553.7786741512327</v>
      </c>
      <c r="J6" s="276">
        <f>-I6*D6</f>
        <v>-62.740014212990957</v>
      </c>
      <c r="K6" s="276">
        <f>J6+I6</f>
        <v>4491.0386599382418</v>
      </c>
    </row>
    <row r="7" spans="1:11">
      <c r="A7" s="293" t="s">
        <v>219</v>
      </c>
      <c r="B7" s="276">
        <f>'DPV2 CWIP Balance'!E37-'DPV2 CWIP Balance'!D37</f>
        <v>39580.177750000003</v>
      </c>
      <c r="C7" s="276">
        <f>-'DPV2 CWIP Balance'!D37</f>
        <v>1865.0846700000038</v>
      </c>
      <c r="D7" s="274">
        <f>C7/B7</f>
        <v>4.7121685045995121E-2</v>
      </c>
      <c r="E7" s="276">
        <f>'Def Tax'!C153</f>
        <v>1680.7336668888245</v>
      </c>
      <c r="F7" s="276">
        <f>-E7*D7</f>
        <v>-79.19900249733567</v>
      </c>
      <c r="G7" s="276">
        <f>F7+E7</f>
        <v>1601.5346643914888</v>
      </c>
      <c r="H7" s="224"/>
      <c r="I7" s="276">
        <f>'Def Tax'!C70</f>
        <v>5243.7861205111494</v>
      </c>
      <c r="J7" s="276">
        <f>-I7*D7</f>
        <v>-247.09603801928699</v>
      </c>
      <c r="K7" s="276">
        <f>J7+I7</f>
        <v>4996.6900824918621</v>
      </c>
    </row>
    <row r="8" spans="1:11">
      <c r="A8" s="293" t="s">
        <v>220</v>
      </c>
      <c r="B8" s="276">
        <f>'DPV2 CWIP Balance'!E38-'DPV2 CWIP Balance'!D38</f>
        <v>37715.093079999999</v>
      </c>
      <c r="C8" s="276">
        <f>-'DPV2 CWIP Balance'!D38</f>
        <v>2133.280399999996</v>
      </c>
      <c r="D8" s="274">
        <f>C8/B8</f>
        <v>5.6563042161262941E-2</v>
      </c>
      <c r="E8" s="276">
        <f>'Def Tax'!C157</f>
        <v>1683.7918880031939</v>
      </c>
      <c r="F8" s="276">
        <f>-E8*D8</f>
        <v>-95.240391551917185</v>
      </c>
      <c r="G8" s="276">
        <f>F8+E8</f>
        <v>1588.5514964512768</v>
      </c>
      <c r="H8" s="224"/>
      <c r="I8" s="276">
        <f>'Def Tax'!C74</f>
        <v>5198.94548025932</v>
      </c>
      <c r="J8" s="276">
        <f>-I8*D8</f>
        <v>-294.06817239401533</v>
      </c>
      <c r="K8" s="276">
        <f>J8+I8</f>
        <v>4904.8773078653048</v>
      </c>
    </row>
    <row r="9" spans="1:11">
      <c r="A9" s="562">
        <v>40330</v>
      </c>
      <c r="B9" s="568">
        <f>'DPV2 CWIP Balance'!E45-'DPV2 CWIP Balance'!D45</f>
        <v>41939.883040000001</v>
      </c>
      <c r="C9" s="568">
        <f>-'DPV2 CWIP Balance'!B45-'DPV2 CWIP Balance'!C45</f>
        <v>7081.6236800000042</v>
      </c>
      <c r="D9" s="569">
        <f>C9/B9</f>
        <v>0.16885177465196871</v>
      </c>
      <c r="E9" s="568">
        <f>'Def Tax'!C170</f>
        <v>2200.2303411833145</v>
      </c>
      <c r="F9" s="568">
        <f>-E9*D9</f>
        <v>-371.51279775190926</v>
      </c>
      <c r="G9" s="568">
        <f>F9+E9</f>
        <v>1828.7175434314054</v>
      </c>
      <c r="H9" s="568"/>
      <c r="I9" s="568">
        <f>'Def Tax'!C87</f>
        <v>6407.2700028153822</v>
      </c>
      <c r="J9" s="568">
        <f>-I9*D9</f>
        <v>-1081.8789106497018</v>
      </c>
      <c r="K9" s="568">
        <f>J9+I9</f>
        <v>5325.3910921656807</v>
      </c>
    </row>
    <row r="10" spans="1:11">
      <c r="A10" s="562">
        <v>40634</v>
      </c>
      <c r="B10" s="568">
        <f>'DPV2 CWIP Balance'!E55-'DPV2 CWIP Balance'!C55</f>
        <v>54152.86073</v>
      </c>
      <c r="C10" s="568">
        <f>-'DPV2 CWIP Balance'!C55</f>
        <v>118.27867999999944</v>
      </c>
      <c r="D10" s="569">
        <f>C10/B10</f>
        <v>2.1841630969363459E-3</v>
      </c>
      <c r="E10" s="568">
        <f>'Def Tax'!C186</f>
        <v>3170.599311343688</v>
      </c>
      <c r="F10" s="568">
        <f>-E10*D10</f>
        <v>-6.9251060110086753</v>
      </c>
      <c r="G10" s="568">
        <f>F10+E10</f>
        <v>3163.6742053326793</v>
      </c>
      <c r="H10" s="568"/>
      <c r="I10" s="568">
        <f>'Def Tax'!C104</f>
        <v>7707.8819879856592</v>
      </c>
      <c r="J10" s="568">
        <f>-I10*D10</f>
        <v>-16.835271393698637</v>
      </c>
      <c r="K10" s="568">
        <f>J10+I10</f>
        <v>7691.0467165919608</v>
      </c>
    </row>
    <row r="11" spans="1:11" s="344" customFormat="1">
      <c r="A11" s="558"/>
      <c r="B11" s="559"/>
      <c r="C11" s="559"/>
      <c r="D11" s="560"/>
      <c r="E11" s="559"/>
      <c r="F11" s="561"/>
      <c r="G11" s="561"/>
      <c r="H11" s="561"/>
      <c r="I11" s="559"/>
      <c r="J11" s="561"/>
      <c r="K11" s="561"/>
    </row>
    <row r="12" spans="1:11">
      <c r="A12" s="275"/>
      <c r="C12" s="224"/>
      <c r="E12" s="224"/>
      <c r="F12" s="224"/>
      <c r="G12" s="224"/>
      <c r="H12" s="224"/>
      <c r="I12" s="276"/>
      <c r="J12" s="276"/>
      <c r="K12" s="276"/>
    </row>
    <row r="13" spans="1:11" s="277" customFormat="1" ht="13.5" thickBot="1">
      <c r="A13" s="283"/>
      <c r="B13" s="284">
        <f>SUM(B6:B12)</f>
        <v>204625.21267000004</v>
      </c>
      <c r="C13" s="284">
        <f>SUM(C6:C12)</f>
        <v>11628.640180000002</v>
      </c>
      <c r="D13" s="285"/>
      <c r="E13" s="284">
        <f>SUM(E6:E12)</f>
        <v>10129.149760764953</v>
      </c>
      <c r="F13" s="284">
        <f>SUM(F6:F12)</f>
        <v>-572.08040282544027</v>
      </c>
      <c r="G13" s="284">
        <f>SUM(G6:G12)</f>
        <v>9557.069357939512</v>
      </c>
      <c r="H13" s="286"/>
      <c r="I13" s="284">
        <f>SUM(I6:I12)</f>
        <v>29111.662265722745</v>
      </c>
      <c r="J13" s="284">
        <f>SUM(J6:J12)</f>
        <v>-1702.6184066696935</v>
      </c>
      <c r="K13" s="284">
        <f>SUM(K6:K12)</f>
        <v>27409.04385905305</v>
      </c>
    </row>
    <row r="14" spans="1:11" ht="13.5" thickTop="1"/>
    <row r="16" spans="1:11">
      <c r="I16" s="664" t="s">
        <v>316</v>
      </c>
      <c r="J16" s="664"/>
      <c r="K16" s="664"/>
    </row>
    <row r="17" spans="7:11">
      <c r="I17" s="563" t="s">
        <v>311</v>
      </c>
      <c r="J17" s="563" t="s">
        <v>312</v>
      </c>
      <c r="K17" s="563" t="s">
        <v>115</v>
      </c>
    </row>
    <row r="19" spans="7:11">
      <c r="G19" s="278" t="s">
        <v>213</v>
      </c>
      <c r="I19" s="244">
        <v>0</v>
      </c>
      <c r="J19" s="244">
        <f>1-I19</f>
        <v>1</v>
      </c>
      <c r="K19" s="567">
        <f>-J6*1000</f>
        <v>62740.014212990958</v>
      </c>
    </row>
    <row r="20" spans="7:11">
      <c r="G20" s="293" t="s">
        <v>219</v>
      </c>
      <c r="I20" s="244">
        <v>0</v>
      </c>
      <c r="J20" s="244">
        <f t="shared" ref="J20:J23" si="0">1-I20</f>
        <v>1</v>
      </c>
      <c r="K20" s="567">
        <f>-J7*1000</f>
        <v>247096.03801928699</v>
      </c>
    </row>
    <row r="21" spans="7:11">
      <c r="G21" s="293" t="s">
        <v>220</v>
      </c>
      <c r="I21" s="244">
        <v>0</v>
      </c>
      <c r="J21" s="244">
        <f t="shared" si="0"/>
        <v>1</v>
      </c>
      <c r="K21" s="567">
        <f>-J8*1000</f>
        <v>294068.17239401536</v>
      </c>
    </row>
    <row r="22" spans="7:11">
      <c r="G22" s="562">
        <v>40330</v>
      </c>
      <c r="I22" s="244">
        <f>'DPV2 CWIP Balance'!C45/'DPV2 CWIP Balance'!D45</f>
        <v>3.1710767212075289E-2</v>
      </c>
      <c r="J22" s="244">
        <f t="shared" si="0"/>
        <v>0.96828923278792467</v>
      </c>
      <c r="K22" s="567">
        <f>-J9*1000</f>
        <v>1081878.9106497017</v>
      </c>
    </row>
    <row r="23" spans="7:11">
      <c r="G23" s="562">
        <v>40634</v>
      </c>
      <c r="I23" s="244">
        <v>1</v>
      </c>
      <c r="J23" s="244">
        <f t="shared" si="0"/>
        <v>0</v>
      </c>
      <c r="K23" s="567">
        <f>-J10*1000</f>
        <v>16835.271393698637</v>
      </c>
    </row>
    <row r="25" spans="7:11">
      <c r="G25" s="278" t="s">
        <v>213</v>
      </c>
      <c r="I25" s="567">
        <f>I19*$K19</f>
        <v>0</v>
      </c>
      <c r="J25" s="567">
        <f>J19*$K19</f>
        <v>62740.014212990958</v>
      </c>
      <c r="K25" s="567">
        <f>SUM(I25:J25)</f>
        <v>62740.014212990958</v>
      </c>
    </row>
    <row r="26" spans="7:11">
      <c r="G26" s="293" t="s">
        <v>219</v>
      </c>
      <c r="I26" s="567">
        <f t="shared" ref="I26:J26" si="1">I20*$K20</f>
        <v>0</v>
      </c>
      <c r="J26" s="567">
        <f t="shared" si="1"/>
        <v>247096.03801928699</v>
      </c>
      <c r="K26" s="567">
        <f t="shared" ref="K26:K29" si="2">SUM(I26:J26)</f>
        <v>247096.03801928699</v>
      </c>
    </row>
    <row r="27" spans="7:11">
      <c r="G27" s="293" t="s">
        <v>220</v>
      </c>
      <c r="I27" s="567">
        <f t="shared" ref="I27:J27" si="3">I21*$K21</f>
        <v>0</v>
      </c>
      <c r="J27" s="567">
        <f t="shared" si="3"/>
        <v>294068.17239401536</v>
      </c>
      <c r="K27" s="567">
        <f t="shared" si="2"/>
        <v>294068.17239401536</v>
      </c>
    </row>
    <row r="28" spans="7:11">
      <c r="G28" s="562">
        <v>40330</v>
      </c>
      <c r="I28" s="567">
        <f t="shared" ref="I28:J28" si="4">I22*$K22</f>
        <v>34307.210287266294</v>
      </c>
      <c r="J28" s="567">
        <f t="shared" si="4"/>
        <v>1047571.7003624354</v>
      </c>
      <c r="K28" s="567">
        <f t="shared" si="2"/>
        <v>1081878.9106497017</v>
      </c>
    </row>
    <row r="29" spans="7:11">
      <c r="G29" s="562">
        <v>40634</v>
      </c>
      <c r="I29" s="570">
        <f t="shared" ref="I29:J29" si="5">I23*$K23</f>
        <v>16835.271393698637</v>
      </c>
      <c r="J29" s="570">
        <f t="shared" si="5"/>
        <v>0</v>
      </c>
      <c r="K29" s="570">
        <f t="shared" si="2"/>
        <v>16835.271393698637</v>
      </c>
    </row>
    <row r="31" spans="7:11" ht="13.5" thickBot="1">
      <c r="G31" s="572" t="s">
        <v>317</v>
      </c>
      <c r="I31" s="571">
        <f>SUM(I25:I30)</f>
        <v>51142.481680964935</v>
      </c>
      <c r="J31" s="571">
        <f t="shared" ref="J31:K31" si="6">SUM(J25:J30)</f>
        <v>1651475.9249887287</v>
      </c>
      <c r="K31" s="571">
        <f t="shared" si="6"/>
        <v>1702618.4066696935</v>
      </c>
    </row>
  </sheetData>
  <mergeCells count="1">
    <mergeCell ref="I16:K16"/>
  </mergeCells>
  <phoneticPr fontId="4" type="noConversion"/>
  <pageMargins left="0.75" right="0.75" top="1" bottom="1" header="0.5" footer="0.5"/>
  <pageSetup scale="89" orientation="landscape" r:id="rId1"/>
  <headerFooter alignWithMargins="0">
    <oddHeader>&amp;RTO9 Annual Update
Attachment 4
WP-Schedule 3-CWIPBA Model
Page &amp;P of &amp;N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>
    <tabColor rgb="FFCCFFCC"/>
    <pageSetUpPr fitToPage="1"/>
  </sheetPr>
  <dimension ref="A1:J68"/>
  <sheetViews>
    <sheetView zoomScaleNormal="100" zoomScaleSheetLayoutView="100" workbookViewId="0">
      <selection sqref="A1:E1"/>
    </sheetView>
  </sheetViews>
  <sheetFormatPr defaultColWidth="11.42578125" defaultRowHeight="15"/>
  <cols>
    <col min="1" max="1" width="11.42578125" style="123" customWidth="1"/>
    <col min="2" max="2" width="14.7109375" style="123" customWidth="1"/>
    <col min="3" max="3" width="14.28515625" style="123" customWidth="1"/>
    <col min="4" max="4" width="14.7109375" style="218" customWidth="1"/>
    <col min="5" max="5" width="16.140625" style="123" bestFit="1" customWidth="1"/>
    <col min="6" max="6" width="13.42578125" style="123" customWidth="1"/>
    <col min="7" max="7" width="11.42578125" style="123" customWidth="1"/>
    <col min="8" max="8" width="6.85546875" style="123" customWidth="1"/>
    <col min="9" max="16384" width="11.42578125" style="123"/>
  </cols>
  <sheetData>
    <row r="1" spans="1:5" ht="15.75">
      <c r="A1" s="651" t="s">
        <v>0</v>
      </c>
      <c r="B1" s="651"/>
      <c r="C1" s="651"/>
      <c r="D1" s="651"/>
      <c r="E1" s="651"/>
    </row>
    <row r="2" spans="1:5" ht="15.75">
      <c r="A2" s="652" t="s">
        <v>149</v>
      </c>
      <c r="B2" s="665"/>
      <c r="C2" s="665"/>
      <c r="D2" s="665"/>
      <c r="E2" s="665"/>
    </row>
    <row r="3" spans="1:5">
      <c r="A3" s="654" t="s">
        <v>325</v>
      </c>
      <c r="B3" s="655"/>
      <c r="C3" s="655"/>
      <c r="D3" s="655"/>
      <c r="E3" s="655"/>
    </row>
    <row r="4" spans="1:5">
      <c r="A4" s="656" t="s">
        <v>1</v>
      </c>
      <c r="B4" s="656"/>
      <c r="C4" s="656"/>
      <c r="D4" s="656"/>
      <c r="E4" s="656"/>
    </row>
    <row r="5" spans="1:5">
      <c r="A5" s="124"/>
      <c r="B5" s="124"/>
      <c r="C5" s="124"/>
      <c r="D5" s="214"/>
      <c r="E5" s="124"/>
    </row>
    <row r="6" spans="1:5">
      <c r="A6" s="124"/>
      <c r="B6" s="124"/>
      <c r="C6" s="174"/>
      <c r="D6" s="215"/>
      <c r="E6" s="174"/>
    </row>
    <row r="7" spans="1:5">
      <c r="A7" s="124"/>
      <c r="B7" s="124"/>
      <c r="C7" s="175"/>
      <c r="D7" s="216"/>
      <c r="E7" s="176"/>
    </row>
    <row r="8" spans="1:5" ht="15" customHeight="1">
      <c r="A8" s="123" t="s">
        <v>129</v>
      </c>
      <c r="B8" s="126"/>
      <c r="C8" s="182"/>
      <c r="D8" s="217"/>
      <c r="E8" s="183"/>
    </row>
    <row r="9" spans="1:5">
      <c r="A9" s="123" t="s">
        <v>130</v>
      </c>
      <c r="B9" s="126"/>
      <c r="C9" s="182"/>
      <c r="D9" s="217"/>
      <c r="E9" s="183"/>
    </row>
    <row r="10" spans="1:5">
      <c r="A10" s="123" t="s">
        <v>131</v>
      </c>
      <c r="B10" s="126"/>
      <c r="C10" s="182"/>
      <c r="D10" s="217"/>
      <c r="E10" s="184"/>
    </row>
    <row r="11" spans="1:5">
      <c r="B11" s="126"/>
      <c r="C11" s="182"/>
      <c r="D11" s="217"/>
      <c r="E11" s="184"/>
    </row>
    <row r="13" spans="1:5" ht="48" customHeight="1">
      <c r="A13" s="666" t="s">
        <v>114</v>
      </c>
      <c r="B13" s="662" t="s">
        <v>160</v>
      </c>
      <c r="C13" s="662" t="s">
        <v>161</v>
      </c>
      <c r="D13" s="668" t="s">
        <v>115</v>
      </c>
      <c r="E13" s="666" t="s">
        <v>116</v>
      </c>
    </row>
    <row r="14" spans="1:5">
      <c r="A14" s="667"/>
      <c r="B14" s="663"/>
      <c r="C14" s="659"/>
      <c r="D14" s="669"/>
      <c r="E14" s="667"/>
    </row>
    <row r="15" spans="1:5">
      <c r="A15" s="130" t="s">
        <v>117</v>
      </c>
      <c r="B15" s="132"/>
      <c r="C15" s="131"/>
      <c r="D15" s="171"/>
      <c r="E15" s="161">
        <v>0</v>
      </c>
    </row>
    <row r="16" spans="1:5">
      <c r="A16" s="130" t="s">
        <v>118</v>
      </c>
      <c r="B16" s="172"/>
      <c r="C16" s="172"/>
      <c r="D16" s="185"/>
      <c r="E16" s="161">
        <v>0</v>
      </c>
    </row>
    <row r="17" spans="1:10">
      <c r="A17" s="265" t="s">
        <v>119</v>
      </c>
      <c r="B17" s="221"/>
      <c r="C17" s="221"/>
      <c r="D17" s="267"/>
      <c r="E17" s="221">
        <v>52521.085780000001</v>
      </c>
      <c r="J17" s="130"/>
    </row>
    <row r="18" spans="1:10">
      <c r="A18" s="265" t="s">
        <v>120</v>
      </c>
      <c r="B18" s="267">
        <f>D18-C18</f>
        <v>6334.933809999995</v>
      </c>
      <c r="C18" s="221">
        <f>(4184.44968+1025.4843+1099.49299+0.01+0+0+0+0+0)-(2893.42961+909.41238+960.76722)</f>
        <v>1545.8277600000001</v>
      </c>
      <c r="D18" s="267">
        <f>IF(E18=0,0,E18-E17)</f>
        <v>7880.7615699999951</v>
      </c>
      <c r="E18" s="221">
        <v>60401.847349999996</v>
      </c>
    </row>
    <row r="19" spans="1:10">
      <c r="A19" s="265" t="s">
        <v>121</v>
      </c>
      <c r="B19" s="267">
        <f>D19-C19</f>
        <v>6477.0235899999989</v>
      </c>
      <c r="C19" s="221">
        <f>(5633.09155+1127.70353+1243.67845+0.01+0+0+0+0+0)-(4184.44968+1025.4843+1099.49299+0.01+0+0+0+0+0)</f>
        <v>1695.0465600000007</v>
      </c>
      <c r="D19" s="267">
        <f>IF(E19=0,0,E19-E18)</f>
        <v>8172.0701499999996</v>
      </c>
      <c r="E19" s="221">
        <v>68573.917499999996</v>
      </c>
    </row>
    <row r="20" spans="1:10">
      <c r="A20" s="265" t="s">
        <v>75</v>
      </c>
      <c r="B20" s="267">
        <f t="shared" ref="B20:B39" si="0">D20-C20</f>
        <v>8893.9267899999977</v>
      </c>
      <c r="C20" s="221">
        <f>(8395.93149+1193.59346+1746.43573+0.01+0+0+0+0+0)-(5633.09155+1127.70353+1243.67845+0.01+0+0+0+0+0)</f>
        <v>3331.4871499999999</v>
      </c>
      <c r="D20" s="267">
        <f t="shared" ref="D20:D51" si="1">IF(E20=0,0,E20-E19)</f>
        <v>12225.413939999999</v>
      </c>
      <c r="E20" s="221">
        <v>80799.331439999994</v>
      </c>
    </row>
    <row r="21" spans="1:10">
      <c r="A21" s="265" t="s">
        <v>122</v>
      </c>
      <c r="B21" s="267">
        <f t="shared" si="0"/>
        <v>14734.65462000001</v>
      </c>
      <c r="C21" s="221">
        <f>(9785.81479+4213.64122+2907.64685+0.01+0+0+0+0+0)-(8395.93149+1193.59346+1746.43573+0.01+0+0+0+0+0)</f>
        <v>5571.1421800000007</v>
      </c>
      <c r="D21" s="267">
        <f t="shared" si="1"/>
        <v>20305.796800000011</v>
      </c>
      <c r="E21" s="221">
        <v>101105.12824000001</v>
      </c>
    </row>
    <row r="22" spans="1:10">
      <c r="A22" s="265" t="s">
        <v>123</v>
      </c>
      <c r="B22" s="267">
        <f t="shared" si="0"/>
        <v>11630.558539999998</v>
      </c>
      <c r="C22" s="221">
        <f>(9793.90323+4234.42111+3921.76974+0.01+0+0+0+0+0)-(9785.81479+4213.64122+2907.64685+0.01+0+0+0+0+0)</f>
        <v>1042.9912199999962</v>
      </c>
      <c r="D22" s="267">
        <f t="shared" si="1"/>
        <v>12673.549759999994</v>
      </c>
      <c r="E22" s="221">
        <v>113778.678</v>
      </c>
    </row>
    <row r="23" spans="1:10">
      <c r="A23" s="265" t="s">
        <v>124</v>
      </c>
      <c r="B23" s="267">
        <f t="shared" si="0"/>
        <v>16737.366640000004</v>
      </c>
      <c r="C23" s="221">
        <f>(9904.24129+4601.29007+7911.91501+5.97988+0+0+0+0+0)-(9793.90323+4234.42111+3921.76974+0.01+0+0+0+0+0)</f>
        <v>4473.3221700000031</v>
      </c>
      <c r="D23" s="267">
        <f t="shared" si="1"/>
        <v>21210.688810000007</v>
      </c>
      <c r="E23" s="221">
        <v>134989.36681000001</v>
      </c>
    </row>
    <row r="24" spans="1:10">
      <c r="A24" s="265" t="s">
        <v>125</v>
      </c>
      <c r="B24" s="267">
        <f t="shared" si="0"/>
        <v>6819.2303500000016</v>
      </c>
      <c r="C24" s="221">
        <f>(10011.19573+4867.98486+9059.91901+128.81708+0+0+0+0+0)-(9904.24129+4601.29007+7911.91501+5.97988+0+0+0+0+0)</f>
        <v>1644.4904300000017</v>
      </c>
      <c r="D24" s="267">
        <f t="shared" si="1"/>
        <v>8463.7207800000033</v>
      </c>
      <c r="E24" s="221">
        <v>143453.08759000001</v>
      </c>
    </row>
    <row r="25" spans="1:10">
      <c r="A25" s="265" t="s">
        <v>126</v>
      </c>
      <c r="B25" s="267">
        <f t="shared" si="0"/>
        <v>22047.361140000001</v>
      </c>
      <c r="C25" s="221">
        <f>(10070.38+6610.63214+10282.96277+259.706)-(10011.19573+4867.98486+9059.91901+128.81708+0+0+0+0+0)</f>
        <v>3155.7642299999934</v>
      </c>
      <c r="D25" s="267">
        <f t="shared" si="1"/>
        <v>25203.125369999994</v>
      </c>
      <c r="E25" s="221">
        <v>168656.21296</v>
      </c>
    </row>
    <row r="26" spans="1:10">
      <c r="A26" s="265" t="s">
        <v>127</v>
      </c>
      <c r="B26" s="267">
        <f t="shared" si="0"/>
        <v>6594.1118699999861</v>
      </c>
      <c r="C26" s="221">
        <f>(10076.2078+6643.68004+10545.6342+369.57758+0+0+0+0+0)-(10070.38+6610.63214+10282.96277+259.706+0+0+0+0+0)</f>
        <v>411.41871000000538</v>
      </c>
      <c r="D26" s="267">
        <f t="shared" si="1"/>
        <v>7005.5305799999915</v>
      </c>
      <c r="E26" s="221">
        <v>175661.74354</v>
      </c>
    </row>
    <row r="27" spans="1:10">
      <c r="A27" s="268" t="s">
        <v>128</v>
      </c>
      <c r="B27" s="271">
        <f t="shared" si="0"/>
        <v>28620.945019999999</v>
      </c>
      <c r="C27" s="270">
        <f>(10133.09119+11066.07224+11089.60471+420.93056+0.4472+2.08548+0+1.93882+57.5935)-(10076.2078+6643.68004+10545.6342+369.57758+0+0+0+0+0)</f>
        <v>5136.6640800000023</v>
      </c>
      <c r="D27" s="271">
        <f t="shared" si="1"/>
        <v>33757.609100000001</v>
      </c>
      <c r="E27" s="270">
        <v>209419.35264</v>
      </c>
    </row>
    <row r="28" spans="1:10">
      <c r="A28" s="265" t="s">
        <v>188</v>
      </c>
      <c r="B28" s="267">
        <f t="shared" si="0"/>
        <v>2750.6186599999928</v>
      </c>
      <c r="C28" s="270">
        <f>(10167.24318+12381.49921+11383.76046+472.73305+9.35803+4.71663+0+11.1264+119.92845)-(10133.09119+11066.07224+11089.60471+420.93056+0.4472+2.08548+0+1.93882+57.5935)</f>
        <v>1778.6017100000026</v>
      </c>
      <c r="D28" s="267">
        <f t="shared" si="1"/>
        <v>4529.2203699999955</v>
      </c>
      <c r="E28" s="585">
        <v>213948.57300999999</v>
      </c>
      <c r="F28" s="239"/>
    </row>
    <row r="29" spans="1:10">
      <c r="A29" s="265" t="s">
        <v>119</v>
      </c>
      <c r="B29" s="267">
        <f t="shared" si="0"/>
        <v>1526.0554100000081</v>
      </c>
      <c r="C29" s="270">
        <f>(10172.90566+12533.88143+11841.07401+538.27068+69.85379+21.11019+0+51.78532+254.05624)-(10167.24318+12381.49921+11383.76046+472.73305+9.35803+4.71663+0+11.1264+119.92845)</f>
        <v>932.57190999999148</v>
      </c>
      <c r="D29" s="267">
        <f t="shared" si="1"/>
        <v>2458.6273199999996</v>
      </c>
      <c r="E29" s="585">
        <v>216407.20032999999</v>
      </c>
      <c r="F29" s="239"/>
    </row>
    <row r="30" spans="1:10">
      <c r="A30" s="265" t="s">
        <v>120</v>
      </c>
      <c r="B30" s="271">
        <f t="shared" si="0"/>
        <v>18870.036870000011</v>
      </c>
      <c r="C30" s="270">
        <f>(10387.26254+12624.77439+11980.02954+655.78126+81.85826+63.20043+0+60.48858+350.03644+224.6498+215.90308+42.57956)-(10172.90566+12533.88143+11841.07401+538.27068+69.85379+21.11019+0+51.78532+254.05624)</f>
        <v>1203.6265600000042</v>
      </c>
      <c r="D30" s="271">
        <f t="shared" si="1"/>
        <v>20073.663430000015</v>
      </c>
      <c r="E30" s="585">
        <v>236480.86376000001</v>
      </c>
      <c r="F30" s="239"/>
    </row>
    <row r="31" spans="1:10">
      <c r="A31" s="265" t="s">
        <v>121</v>
      </c>
      <c r="B31" s="267">
        <f t="shared" si="0"/>
        <v>19483.781429999995</v>
      </c>
      <c r="C31" s="270">
        <f>((10394.70356+12734.84902+12102.97272+835.21913+145.3361+169.47252+0+75.63996+401.44977+345.46655+432.18615+181.72673)-(10387.26254+12624.77439+11980.02954+655.78126+81.85826+63.20043+0+60.48858+350.03644+224.6498+215.90308+42.57956))</f>
        <v>1132.4583300000013</v>
      </c>
      <c r="D31" s="267">
        <f t="shared" si="1"/>
        <v>20616.239759999997</v>
      </c>
      <c r="E31" s="585">
        <v>257097.10352</v>
      </c>
      <c r="F31" s="239"/>
    </row>
    <row r="32" spans="1:10">
      <c r="A32" s="265" t="s">
        <v>75</v>
      </c>
      <c r="B32" s="267">
        <f t="shared" si="0"/>
        <v>29663.663890000003</v>
      </c>
      <c r="C32" s="270">
        <f>(10588.38939+10380.24665+11828.99764+1088.76543+164.13917+186.10438+0+88.59976+457.13721+471.37798+482.69459+197.23471)-(10394.70356+12734.84902+12102.97272+835.21913+145.3361+169.47252+0+75.63996+401.44977+345.46655+432.18615+181.72673)</f>
        <v>-1885.3353000000134</v>
      </c>
      <c r="D32" s="267">
        <f t="shared" si="1"/>
        <v>27778.32858999999</v>
      </c>
      <c r="E32" s="585">
        <v>284875.43210999999</v>
      </c>
      <c r="F32" s="239"/>
    </row>
    <row r="33" spans="1:6">
      <c r="A33" s="265" t="s">
        <v>122</v>
      </c>
      <c r="B33" s="271">
        <f t="shared" si="0"/>
        <v>24730.14535999998</v>
      </c>
      <c r="C33" s="270">
        <f>(10582.97183+10389.35695+12538.55876+1143.06025+182.04156+305.442+117.49044+614.81725+518.17465+525.38531+313.66158)-(10588.38939+10380.24665+11828.99764+1088.76543+164.13917+186.10438+0+88.59976+457.13721+471.37798+482.69459+197.23471)</f>
        <v>1297.2736700000096</v>
      </c>
      <c r="D33" s="271">
        <f t="shared" si="1"/>
        <v>26027.41902999999</v>
      </c>
      <c r="E33" s="585">
        <v>310902.85113999998</v>
      </c>
      <c r="F33" s="239"/>
    </row>
    <row r="34" spans="1:6">
      <c r="A34" s="265" t="s">
        <v>123</v>
      </c>
      <c r="B34" s="267">
        <f t="shared" si="0"/>
        <v>24830.822480000017</v>
      </c>
      <c r="C34" s="270">
        <f>(10603.3403+10541.09285+12686.8796+1266.33673+219.42139+310.518+128.95488+675.93869+547.98521+642.24633+328.18633)-(10582.97183+10389.35695+12538.55876+1143.06025+182.04156+305.442+0+117.49044+614.81725+518.17465+525.38531+313.66158)</f>
        <v>719.93972999999824</v>
      </c>
      <c r="D34" s="267">
        <f t="shared" si="1"/>
        <v>25550.762210000015</v>
      </c>
      <c r="E34" s="585">
        <v>336453.61335</v>
      </c>
      <c r="F34" s="239"/>
    </row>
    <row r="35" spans="1:6">
      <c r="A35" s="265" t="s">
        <v>124</v>
      </c>
      <c r="B35" s="267">
        <f t="shared" si="0"/>
        <v>7119.5398299999724</v>
      </c>
      <c r="C35" s="270">
        <f>(10604.65345+10557.73448+12934.55335+1638.80379+258.79056+323.1752+0+157.9516+718.91119+627.37135+766.4616+363.51698)-(10603.3403+10541.09285+12686.8796+1266.33673+219.42139+310.518+0+128.95488+675.93869+547.98521+642.24633+328.18633)</f>
        <v>1001.0232400000023</v>
      </c>
      <c r="D35" s="267">
        <f t="shared" si="1"/>
        <v>8120.5630699999747</v>
      </c>
      <c r="E35" s="585">
        <v>344574.17641999997</v>
      </c>
      <c r="F35" s="239"/>
    </row>
    <row r="36" spans="1:6">
      <c r="A36" s="265" t="s">
        <v>125</v>
      </c>
      <c r="B36" s="271">
        <f t="shared" si="0"/>
        <v>18485.50605000004</v>
      </c>
      <c r="C36" s="270">
        <f>(10670.10791+10593.40658+14106.60003+2539.30594+305.47892+334.39712+250.96895+759.60535+734.9581+1178.99242+489.62457)-(10604.65345+10557.73448+12934.55335+1638.80379+258.79056+323.1752+0+157.9516+718.91119+627.37135+766.4616+363.51698)</f>
        <v>3011.5223400000104</v>
      </c>
      <c r="D36" s="271">
        <f t="shared" si="1"/>
        <v>21497.02839000005</v>
      </c>
      <c r="E36" s="585">
        <v>366071.20481000002</v>
      </c>
      <c r="F36" s="239"/>
    </row>
    <row r="37" spans="1:6">
      <c r="A37" s="265" t="s">
        <v>126</v>
      </c>
      <c r="B37" s="267">
        <f t="shared" si="0"/>
        <v>-113207.38149</v>
      </c>
      <c r="C37" s="270">
        <f>(0+11400.29005+15845.4158+2867.29075+311.07875+345.2105+294.60459+829.88568+775.84799+1440.07037+512.04607)-(10670.10791+10593.40658+14106.60003+2539.30594+305.47892+334.39712+0+250.96895+759.60535+734.9581+1178.99242+489.62457)</f>
        <v>-7341.705340000015</v>
      </c>
      <c r="D37" s="267">
        <f t="shared" si="1"/>
        <v>-120549.08683000001</v>
      </c>
      <c r="E37" s="585">
        <v>245522.11798000001</v>
      </c>
      <c r="F37" s="239"/>
    </row>
    <row r="38" spans="1:6">
      <c r="A38" s="265" t="s">
        <v>127</v>
      </c>
      <c r="B38" s="267">
        <f t="shared" si="0"/>
        <v>-69237.630579999997</v>
      </c>
      <c r="C38" s="270">
        <f>(0+0+15916.36487+3552.96671+315.32528+353.07552+320.86715+861.9002+831.28025+1742.97155+520.74833)-(0+11400.29005+15845.4158+2867.29075+311.07875+345.2105+0+294.60459+829.88568+775.84799+1440.07037+512.04607)</f>
        <v>-10206.240690000002</v>
      </c>
      <c r="D38" s="267">
        <f t="shared" si="1"/>
        <v>-79443.871270000003</v>
      </c>
      <c r="E38" s="585">
        <v>166078.24671000001</v>
      </c>
      <c r="F38" s="239"/>
    </row>
    <row r="39" spans="1:6">
      <c r="A39" s="268" t="s">
        <v>189</v>
      </c>
      <c r="B39" s="271">
        <f t="shared" si="0"/>
        <v>-63481.436020000008</v>
      </c>
      <c r="C39" s="270">
        <f>(0+0+16476.17085+4661.01307+374.08008+370.82897+0+364.00241+2209.2744+1894.25353+3140.79992+544.78096)-(0+0+15916.36487+3552.96671+315.32528+353.07552+0+320.86715+861.9002+831.28025+1742.97155+520.74833)</f>
        <v>5619.7043300000041</v>
      </c>
      <c r="D39" s="271">
        <f t="shared" si="1"/>
        <v>-57861.731690000001</v>
      </c>
      <c r="E39" s="604">
        <v>108216.51502000001</v>
      </c>
      <c r="F39" s="239"/>
    </row>
    <row r="40" spans="1:6">
      <c r="A40" s="265" t="s">
        <v>225</v>
      </c>
      <c r="B40" s="267">
        <f t="shared" ref="B40:B51" si="2">D40-C40</f>
        <v>8354.2859699999972</v>
      </c>
      <c r="C40" s="270">
        <f>(0+0+17133.73685+6361.33324+431.09295+386.95637+0+431.11422+2260.56001+2532.33571+3758.73413+557.00066)-(0+0+16476.17085+4661.01307+374.08008+370.82897+0+364.00241+2209.2744+1894.25353+3140.79992+544.78096)</f>
        <v>3817.6599500000011</v>
      </c>
      <c r="D40" s="267">
        <f t="shared" si="1"/>
        <v>12171.945919999998</v>
      </c>
      <c r="E40" s="604">
        <v>120388.46094</v>
      </c>
    </row>
    <row r="41" spans="1:6">
      <c r="A41" s="265" t="s">
        <v>119</v>
      </c>
      <c r="B41" s="267">
        <f t="shared" si="2"/>
        <v>17456.544849999984</v>
      </c>
      <c r="C41" s="270">
        <f>(0+0+17501.30703+6897.95489+589.79418+421.7925+456.04017+3174.67242+3040.74585+5428.80378+580.86949)-(0+0+17133.73685+6361.33324+431.09295+386.95637+0+431.11422+2260.56001+2532.33571+3758.73413+557.00066)</f>
        <v>4239.1161700000011</v>
      </c>
      <c r="D41" s="271">
        <f t="shared" si="1"/>
        <v>21695.661019999985</v>
      </c>
      <c r="E41" s="585">
        <v>142084.12195999999</v>
      </c>
    </row>
    <row r="42" spans="1:6">
      <c r="A42" s="265" t="s">
        <v>120</v>
      </c>
      <c r="B42" s="271">
        <f t="shared" si="2"/>
        <v>12050.498090000008</v>
      </c>
      <c r="C42" s="270">
        <f>(0+0+7.03798+18399.59527+7598.80313+633.42177+436.31046+0+505.77267+3333.55816+3596.75464+6095.40082+591.77197)-(0+0+17501.30703+6897.95489+589.79418+421.7925+456.04017+3174.67242+3040.74585+5428.80378+580.86949)</f>
        <v>3106.4465600000112</v>
      </c>
      <c r="D42" s="267">
        <f t="shared" si="1"/>
        <v>15156.944650000019</v>
      </c>
      <c r="E42" s="585">
        <v>157241.06661000001</v>
      </c>
    </row>
    <row r="43" spans="1:6">
      <c r="A43" s="265" t="s">
        <v>121</v>
      </c>
      <c r="B43" s="267">
        <f t="shared" si="2"/>
        <v>21997.070230000005</v>
      </c>
      <c r="C43" s="270">
        <f>(0+0+20.83116+19572.72343+8212.18664+652.78774+478.89549+0+576.22527+6377.78079+3709.21704+6548.68634+609.58011)-(0+0+7.03798+18399.59527+7598.80313+633.42177+436.31046+0+505.77267+3333.55816+3596.75464+6095.40082+591.77197)</f>
        <v>5560.4871399999902</v>
      </c>
      <c r="D43" s="271">
        <f t="shared" si="1"/>
        <v>27557.557369999995</v>
      </c>
      <c r="E43" s="585">
        <v>184798.62398</v>
      </c>
    </row>
    <row r="44" spans="1:6">
      <c r="A44" s="265" t="s">
        <v>75</v>
      </c>
      <c r="B44" s="267">
        <f t="shared" si="2"/>
        <v>30021.582609999983</v>
      </c>
      <c r="C44" s="270">
        <f>(0+0+44.28048+19668.59322+8621.26866+1451.9335+487.51253+628.40777+6764.69444+3742.28768+7099.59236+625.24839)-(0+0+20.83116+19572.72343+8212.18664+652.78774+478.89549+0+576.22527+6377.78079+3709.21704+6548.68634+609.58011)</f>
        <v>2374.9050200000056</v>
      </c>
      <c r="D44" s="267">
        <f t="shared" si="1"/>
        <v>32396.487629999989</v>
      </c>
      <c r="E44" s="585">
        <v>217195.11160999999</v>
      </c>
    </row>
    <row r="45" spans="1:6">
      <c r="A45" s="265" t="s">
        <v>122</v>
      </c>
      <c r="B45" s="271">
        <f t="shared" si="2"/>
        <v>22943.40807000002</v>
      </c>
      <c r="C45" s="270">
        <f>(0+0+2353.88304+17093.00341+9191.65254+1981.53336+497.20626+688.69088+7042.83781+3794.48912+7534.6815+630.18324)-(0+0+44.28048+19668.59322+8621.26866+1451.9335+487.51253+0+628.40777+6764.69444+3742.28768+7099.59236+625.24839)</f>
        <v>1674.34212999999</v>
      </c>
      <c r="D45" s="271">
        <f t="shared" si="1"/>
        <v>24617.750200000009</v>
      </c>
      <c r="E45" s="585">
        <v>241812.86181</v>
      </c>
    </row>
    <row r="46" spans="1:6">
      <c r="A46" s="265" t="s">
        <v>123</v>
      </c>
      <c r="B46" s="267">
        <f t="shared" si="2"/>
        <v>54535.126369999998</v>
      </c>
      <c r="C46" s="270">
        <f>(0+0+2370.13525+17177.01447+9608.40497+2556.10794+539.5871+0+742.44663+7037.25023+3846.15993+7808.30954+645.88887)-(0+0+2353.88304+17093.00341+9191.65254+1981.53336+497.20626+0+688.69088+7042.83781+3794.48912+7534.6815+630.18324)</f>
        <v>1523.1437700000097</v>
      </c>
      <c r="D46" s="267">
        <f t="shared" si="1"/>
        <v>56058.270140000008</v>
      </c>
      <c r="E46" s="585">
        <v>297871.13195000001</v>
      </c>
    </row>
    <row r="47" spans="1:6">
      <c r="A47" s="265" t="s">
        <v>124</v>
      </c>
      <c r="B47" s="267">
        <f t="shared" si="2"/>
        <v>34308.922310000002</v>
      </c>
      <c r="C47" s="270">
        <f>(0+0+2376.76976+17149.39357+10169.82733+2723.22757+542.15409+834.49257+7131.75401+3938.81654+8020.25663+650.63755)-(0+0+2370.13525+17177.01447+9608.40497+2556.10794+539.5871+0+742.44663+7037.25023+3846.15993+7808.30954+645.88887)</f>
        <v>1206.0246899999838</v>
      </c>
      <c r="D47" s="271">
        <f t="shared" si="1"/>
        <v>35514.946999999986</v>
      </c>
      <c r="E47" s="585">
        <v>333386.07895</v>
      </c>
    </row>
    <row r="48" spans="1:6">
      <c r="A48" s="265" t="s">
        <v>125</v>
      </c>
      <c r="B48" s="271">
        <f t="shared" si="2"/>
        <v>32615.414169999975</v>
      </c>
      <c r="C48" s="270">
        <f>(0+0+17223.65879+2376.72554+10390.98151+2763.89606+605.57397+0+887.77453+7237.5069+3946.55311+8077.06523+656.40543)-(0+0+2376.76976+17149.39357+10169.82733+2723.22757+542.15409+0+834.49257+7131.75401+3938.81654+8020.25663+650.63755)</f>
        <v>628.81145000000834</v>
      </c>
      <c r="D48" s="267">
        <f t="shared" si="1"/>
        <v>33244.225619999983</v>
      </c>
      <c r="E48" s="585">
        <v>366630.30456999998</v>
      </c>
    </row>
    <row r="49" spans="1:6">
      <c r="A49" s="265" t="s">
        <v>126</v>
      </c>
      <c r="B49" s="267">
        <f t="shared" si="2"/>
        <v>36786.513440000002</v>
      </c>
      <c r="C49" s="270">
        <f>(0+0+17207.83541+2389.15127+10694.16294+2821.21527+608.06402+0+1192.16006+7671.65428+3999.35426+8249.86111+659.75997)-(0+0+17223.65879+2376.72554+10390.98151+2763.89606+605.57397+0+887.77453+7237.5069+3946.55311+8077.06523+656.40543)</f>
        <v>1327.0775199999989</v>
      </c>
      <c r="D49" s="271">
        <f t="shared" si="1"/>
        <v>38113.590960000001</v>
      </c>
      <c r="E49" s="585">
        <v>404743.89552999998</v>
      </c>
    </row>
    <row r="50" spans="1:6">
      <c r="A50" s="265" t="s">
        <v>127</v>
      </c>
      <c r="B50" s="267">
        <f t="shared" si="2"/>
        <v>55443.697850000026</v>
      </c>
      <c r="C50" s="270">
        <f>(16687.55694+3006.55287+10850.42624+2858.74136+611.46452+0+1237.45436+7846.45858+4023.94761+8024.35936+664.09721)-(17207.83541+2389.15127+10694.16294+2821.21527+608.06402+0+1192.16006+7671.65428+3999.35426+8249.86111+659.75997)</f>
        <v>317.84046000000671</v>
      </c>
      <c r="D50" s="267">
        <f t="shared" si="1"/>
        <v>55761.538310000033</v>
      </c>
      <c r="E50" s="585">
        <v>460505.43384000001</v>
      </c>
      <c r="F50" s="589"/>
    </row>
    <row r="51" spans="1:6">
      <c r="A51" s="268" t="s">
        <v>226</v>
      </c>
      <c r="B51" s="271">
        <f t="shared" si="2"/>
        <v>92407.292770000029</v>
      </c>
      <c r="C51" s="270">
        <f>(17103.96272+3027.71224+11130.91187+3009.42255+635.89442+0+1261.60575+10189.00098+4095.2622+8113.87239+678.59359)-(16687.55694+3006.55287+10850.42624+2858.74136+611.46452+0+1237.45436+7846.45858+4023.94761+8024.35936+664.09721)</f>
        <v>3435.1796599999943</v>
      </c>
      <c r="D51" s="271">
        <f t="shared" si="1"/>
        <v>95842.472430000023</v>
      </c>
      <c r="E51" s="604">
        <v>556347.90627000004</v>
      </c>
      <c r="F51" s="589"/>
    </row>
    <row r="52" spans="1:6">
      <c r="A52" s="411" t="s">
        <v>261</v>
      </c>
      <c r="B52" s="267">
        <f t="shared" ref="B52:B63" si="3">D52-C52</f>
        <v>25686.812179999979</v>
      </c>
      <c r="C52" s="270">
        <f>(17093.83552+3033.08221+11205.47981+3016.91005+664.33711+1289.24602+10274.26188+4128.99827+8321.53766+691.10361)-(17103.96272+3027.71224+11130.91187+3009.42255+635.89442+0+1261.60575+10189.00098+4095.2622+8113.87239+678.59359)</f>
        <v>472.55342999999993</v>
      </c>
      <c r="D52" s="267">
        <f t="shared" ref="D52:D63" si="4">IF(E52=0,0,E52-E51)</f>
        <v>26159.365609999979</v>
      </c>
      <c r="E52" s="604">
        <v>582507.27188000001</v>
      </c>
      <c r="F52" s="589"/>
    </row>
    <row r="53" spans="1:6">
      <c r="A53" s="265" t="s">
        <v>119</v>
      </c>
      <c r="B53" s="267">
        <f t="shared" si="3"/>
        <v>42214.138549999974</v>
      </c>
      <c r="C53" s="270">
        <f>(17434.95873+3036.57235+11295.71733+2901.53345+704.44893+1342.0622+10547.48391+4147.19929+8403.67799+755.68816)-(17093.83552+3033.08221+11205.47981+3016.91005+664.33711+1289.24602+10274.26188+4128.99827+8321.53766+691.10361)</f>
        <v>850.55019999999786</v>
      </c>
      <c r="D53" s="271">
        <f t="shared" si="4"/>
        <v>43064.688749999972</v>
      </c>
      <c r="E53" s="585">
        <v>625571.96062999999</v>
      </c>
      <c r="F53" s="589"/>
    </row>
    <row r="54" spans="1:6">
      <c r="A54" s="265" t="s">
        <v>120</v>
      </c>
      <c r="B54" s="271">
        <f t="shared" si="3"/>
        <v>49999.552989999996</v>
      </c>
      <c r="C54" s="270">
        <f>(17645.70686+3052.14813+11887.29953+2936.27815+750.34948+1375.51096+10712.20964+4161.12707+8513.93374+795.75065)-(17434.95873+3036.57235+11295.71733+2901.53345+704.44893+1342.0622+10547.48391+4147.19929+8403.67799+755.68816)</f>
        <v>1260.9718700000085</v>
      </c>
      <c r="D54" s="267">
        <f t="shared" si="4"/>
        <v>51260.524860000005</v>
      </c>
      <c r="E54" s="585">
        <v>676832.48548999999</v>
      </c>
      <c r="F54" s="589"/>
    </row>
    <row r="55" spans="1:6">
      <c r="A55" s="265" t="s">
        <v>121</v>
      </c>
      <c r="B55" s="267">
        <f t="shared" si="3"/>
        <v>45804.547290000002</v>
      </c>
      <c r="C55" s="270">
        <f>(17593.90649+3059.59415+12108.06022+2948.70124+787.6536+0+1398.35584+8766.45721+4215.32579+8547.03862+828.98314)-(17645.70686+3052.14813+11887.29953+2936.27815+750.34948+1375.51096+10712.20964+4161.12707+8513.93374+795.75065)</f>
        <v>-1576.2379100000107</v>
      </c>
      <c r="D55" s="271">
        <f t="shared" si="4"/>
        <v>44228.309379999992</v>
      </c>
      <c r="E55" s="585">
        <v>721060.79486999998</v>
      </c>
      <c r="F55" s="589"/>
    </row>
    <row r="56" spans="1:6">
      <c r="A56" s="265" t="s">
        <v>75</v>
      </c>
      <c r="B56" s="267">
        <f t="shared" si="3"/>
        <v>48687.652919999979</v>
      </c>
      <c r="C56" s="270">
        <f>(17811.74841+3060.26428+12235.02693+2970.15435+829.12202+0+1431.4901+8881.20758+4225.60075+8741.22083+910.51543)-(17593.90649+3059.59415+12108.06022+2948.70124+787.6536+0+1398.35584+8766.45721+4215.32579+8547.03862+828.98314)</f>
        <v>842.27438000000257</v>
      </c>
      <c r="D56" s="267">
        <f t="shared" si="4"/>
        <v>49529.927299999981</v>
      </c>
      <c r="E56" s="585">
        <v>770590.72216999996</v>
      </c>
      <c r="F56" s="589"/>
    </row>
    <row r="57" spans="1:6">
      <c r="A57" s="265" t="s">
        <v>122</v>
      </c>
      <c r="B57" s="271">
        <f t="shared" si="3"/>
        <v>14563.283240000012</v>
      </c>
      <c r="C57" s="270">
        <f>(18024.41286+3065.13463+12365.21481+2967.5038+868.61358+0+1439.5263+8936.48779+4228.92373+9079.61217+906.35614)-(17811.74841+3060.26428+12235.02693+2970.15435+829.12202+0+1431.4901+8881.20758+4225.60075+8741.22083+910.51543)</f>
        <v>785.4351300000053</v>
      </c>
      <c r="D57" s="271">
        <f t="shared" si="4"/>
        <v>15348.718370000017</v>
      </c>
      <c r="E57" s="585">
        <v>785939.44053999998</v>
      </c>
      <c r="F57" s="589"/>
    </row>
    <row r="58" spans="1:6">
      <c r="A58" s="265" t="s">
        <v>123</v>
      </c>
      <c r="B58" s="267">
        <f t="shared" si="3"/>
        <v>36065.908229999979</v>
      </c>
      <c r="C58" s="270">
        <f>(18068.40558+3074.42265+12535.97342+2972.52475+907.741+1458.11812+9049.30469+4235.52549+9116.70074+933.42346)-(18024.41286+3065.13463+12365.21481+2967.5038+868.61358+0+1439.5263+8936.48779+4228.92373+9079.61217+906.35614)</f>
        <v>470.35409000000072</v>
      </c>
      <c r="D58" s="267">
        <f t="shared" si="4"/>
        <v>36536.26231999998</v>
      </c>
      <c r="E58" s="585">
        <v>822475.70285999996</v>
      </c>
      <c r="F58" s="589"/>
    </row>
    <row r="59" spans="1:6">
      <c r="A59" s="265" t="s">
        <v>124</v>
      </c>
      <c r="B59" s="267">
        <f t="shared" si="3"/>
        <v>35008.613110000042</v>
      </c>
      <c r="C59" s="270">
        <f>(18114.67787+3079.82028+12283.78046+2976.09721+946.92504+1510.87015+8841.41455+4049.50537+8597.13824+959.27928)-(18068.40558+3074.42265+12535.97342+2972.52475+907.741+1458.11812+9049.30469+4235.52549+9116.70074+933.42346)</f>
        <v>-992.63144999999349</v>
      </c>
      <c r="D59" s="271">
        <f t="shared" si="4"/>
        <v>34015.981660000049</v>
      </c>
      <c r="E59" s="585">
        <v>856491.68452000001</v>
      </c>
      <c r="F59" s="589"/>
    </row>
    <row r="60" spans="1:6">
      <c r="A60" s="265" t="s">
        <v>125</v>
      </c>
      <c r="B60" s="271">
        <f t="shared" si="3"/>
        <v>46873.811750000015</v>
      </c>
      <c r="C60" s="270">
        <f>(18267.12494+3086.71555+12403.57641+2986.74147+950.57883+1527.65223+12357.24829+4052.52985+8614.45557+980.86377)-(18114.67787+3079.82028+12283.78046+2976.09721+946.92504+1510.87015+8841.41455+4049.50537+8597.13824+959.27928)</f>
        <v>3867.9784599999912</v>
      </c>
      <c r="D60" s="267">
        <f t="shared" si="4"/>
        <v>50741.790210000006</v>
      </c>
      <c r="E60" s="585">
        <v>907233.47473000002</v>
      </c>
      <c r="F60" s="589"/>
    </row>
    <row r="61" spans="1:6">
      <c r="A61" s="265" t="s">
        <v>126</v>
      </c>
      <c r="B61" s="267">
        <f t="shared" si="3"/>
        <v>38446.739049999938</v>
      </c>
      <c r="C61" s="270">
        <f>(18763.18505+3088.3228+12602.44318+2989.14168+951.00988+1553.95544+12399.40755+4055.29008+8612.83703+994.56476)-(18267.12494+3086.71555+12403.57641+2986.74147+950.57883+1527.65223+12357.24829+4052.52985+8614.45557+980.86377)</f>
        <v>782.67053999999916</v>
      </c>
      <c r="D61" s="271">
        <f t="shared" si="4"/>
        <v>39229.409589999937</v>
      </c>
      <c r="E61" s="585">
        <v>946462.88431999995</v>
      </c>
      <c r="F61" s="589"/>
    </row>
    <row r="62" spans="1:6">
      <c r="A62" s="265" t="s">
        <v>127</v>
      </c>
      <c r="B62" s="267">
        <f t="shared" si="3"/>
        <v>70871.433830000038</v>
      </c>
      <c r="C62" s="270">
        <f>(3088.66221+12661.44923+2998.05806+951.93043+1567.69393+12429.80737+4060.71905+8622.13696+1011.23509)-(18763.18505+3088.3228+12602.44318+2989.14168+951.00988+1553.95544+12399.40755+4055.29008+8612.83703+994.56476)</f>
        <v>-18618.465119999993</v>
      </c>
      <c r="D62" s="267">
        <f t="shared" si="4"/>
        <v>52252.968710000045</v>
      </c>
      <c r="E62" s="585">
        <v>998715.85303</v>
      </c>
      <c r="F62" s="589"/>
    </row>
    <row r="63" spans="1:6">
      <c r="A63" s="584" t="s">
        <v>262</v>
      </c>
      <c r="B63" s="430">
        <f t="shared" si="3"/>
        <v>56069.768289999927</v>
      </c>
      <c r="C63" s="573">
        <f>(3131.59922+12958.65461+3028.60372+958.9195+1578.39383+12249.40081+4088.15075+8677.66748+1037.76795)-(3088.66221+12661.44923+2998.05806+951.93043+1567.69393+12429.80737+4060.71905+8622.13696+1011.23509)</f>
        <v>317.46553999999742</v>
      </c>
      <c r="D63" s="430">
        <f t="shared" si="4"/>
        <v>56387.233829999925</v>
      </c>
      <c r="E63" s="605">
        <v>1055103.0868599999</v>
      </c>
      <c r="F63" s="589"/>
    </row>
    <row r="64" spans="1:6">
      <c r="A64" s="586" t="s">
        <v>115</v>
      </c>
      <c r="B64" s="587">
        <f>SUM(B15:B39)</f>
        <v>30423.834259999989</v>
      </c>
      <c r="C64" s="270">
        <f>SUM(C15:C63)</f>
        <v>42945.54866</v>
      </c>
      <c r="D64" s="267">
        <f>SUM(D15:D39)</f>
        <v>55695.429240000041</v>
      </c>
      <c r="E64" s="585">
        <f>SUM(E15:E63)</f>
        <v>17627978.00993</v>
      </c>
      <c r="F64" s="238"/>
    </row>
    <row r="65" spans="1:5">
      <c r="A65" s="133"/>
      <c r="C65" s="292"/>
    </row>
    <row r="66" spans="1:5">
      <c r="A66" s="133"/>
    </row>
    <row r="67" spans="1:5">
      <c r="A67" s="186" t="s">
        <v>162</v>
      </c>
    </row>
    <row r="68" spans="1:5">
      <c r="A68" s="657" t="s">
        <v>164</v>
      </c>
      <c r="B68" s="657"/>
      <c r="C68" s="657"/>
      <c r="D68" s="657"/>
      <c r="E68" s="657"/>
    </row>
  </sheetData>
  <mergeCells count="10">
    <mergeCell ref="A1:E1"/>
    <mergeCell ref="A2:E2"/>
    <mergeCell ref="A3:E3"/>
    <mergeCell ref="A4:E4"/>
    <mergeCell ref="A68:E68"/>
    <mergeCell ref="A13:A14"/>
    <mergeCell ref="B13:B14"/>
    <mergeCell ref="C13:C14"/>
    <mergeCell ref="D13:D14"/>
    <mergeCell ref="E13:E14"/>
  </mergeCells>
  <phoneticPr fontId="4" type="noConversion"/>
  <pageMargins left="0.7" right="0.7" top="0.75" bottom="0.75" header="0.3" footer="0.3"/>
  <pageSetup scale="66" orientation="portrait" r:id="rId1"/>
  <headerFooter alignWithMargins="0">
    <oddHeader>&amp;RTO9 Annual Update
Attachment 4
WP-Schedule 3-CWIPBA Model
Page &amp;P of &amp;N</oddHeader>
    <oddFooter>&amp;R&amp;A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K32"/>
  <sheetViews>
    <sheetView zoomScaleNormal="100" zoomScaleSheetLayoutView="100" workbookViewId="0"/>
  </sheetViews>
  <sheetFormatPr defaultRowHeight="12.75"/>
  <cols>
    <col min="1" max="1" width="12.5703125" customWidth="1"/>
    <col min="2" max="3" width="15" customWidth="1"/>
    <col min="4" max="4" width="14.140625" customWidth="1"/>
    <col min="5" max="5" width="11.85546875" bestFit="1" customWidth="1"/>
    <col min="6" max="7" width="13.7109375" customWidth="1"/>
    <col min="8" max="8" width="2.5703125" customWidth="1"/>
    <col min="9" max="11" width="12.85546875" customWidth="1"/>
    <col min="12" max="12" width="2.85546875" customWidth="1"/>
  </cols>
  <sheetData>
    <row r="1" spans="1:11" ht="15.75">
      <c r="A1" s="1" t="s">
        <v>314</v>
      </c>
    </row>
    <row r="4" spans="1:11" s="64" customFormat="1" ht="51">
      <c r="A4" s="287" t="s">
        <v>200</v>
      </c>
      <c r="B4" s="287" t="s">
        <v>201</v>
      </c>
      <c r="C4" s="287" t="s">
        <v>202</v>
      </c>
      <c r="D4" s="287" t="s">
        <v>203</v>
      </c>
      <c r="E4" s="287" t="s">
        <v>204</v>
      </c>
      <c r="F4" s="287" t="s">
        <v>205</v>
      </c>
      <c r="G4" s="287" t="s">
        <v>206</v>
      </c>
      <c r="H4" s="288"/>
      <c r="I4" s="287" t="s">
        <v>207</v>
      </c>
      <c r="J4" s="287" t="s">
        <v>208</v>
      </c>
      <c r="K4" s="287" t="s">
        <v>209</v>
      </c>
    </row>
    <row r="6" spans="1:11">
      <c r="A6" s="278" t="s">
        <v>210</v>
      </c>
      <c r="B6" s="276">
        <f>'Tehachapi CWIP Balance'!E32-'Tehachapi CWIP Balance'!C32</f>
        <v>286760.76741000003</v>
      </c>
      <c r="C6" s="276">
        <f>-'Tehachapi CWIP Balance'!C32</f>
        <v>1885.3353000000134</v>
      </c>
      <c r="D6" s="274">
        <f>C6/B6</f>
        <v>6.5745928811259948E-3</v>
      </c>
      <c r="E6" s="276">
        <f>'Def Tax'!C336</f>
        <v>5018.8537289885808</v>
      </c>
      <c r="F6" s="276">
        <f>-E6*D6</f>
        <v>-32.996919998020978</v>
      </c>
      <c r="G6" s="276">
        <f>F6+E6</f>
        <v>4985.8568089905602</v>
      </c>
      <c r="H6" s="224"/>
      <c r="I6" s="276">
        <f>'Def Tax'!C255</f>
        <v>13283.949422705959</v>
      </c>
      <c r="J6" s="276">
        <f>-I6*D6</f>
        <v>-87.336559307760368</v>
      </c>
      <c r="K6" s="276">
        <f>J6+I6</f>
        <v>13196.612863398199</v>
      </c>
    </row>
    <row r="7" spans="1:11">
      <c r="A7" s="293" t="s">
        <v>219</v>
      </c>
      <c r="B7" s="276">
        <f>'Tehachapi CWIP Balance'!E37-'Tehachapi CWIP Balance'!D37</f>
        <v>366071.20481000002</v>
      </c>
      <c r="C7" s="276">
        <f>-'Tehachapi CWIP Balance'!D37</f>
        <v>120549.08683000001</v>
      </c>
      <c r="D7" s="274">
        <f>C7/B7</f>
        <v>0.32930502384793681</v>
      </c>
      <c r="E7" s="276">
        <f>'Def Tax'!C345</f>
        <v>8559.2050924805044</v>
      </c>
      <c r="F7" s="276">
        <f>-E7*D7</f>
        <v>-2818.5892370986749</v>
      </c>
      <c r="G7" s="276">
        <f>F7+E7</f>
        <v>5740.6158553818295</v>
      </c>
      <c r="H7" s="224"/>
      <c r="I7" s="276">
        <f>'Def Tax'!C264</f>
        <v>21982.819675465707</v>
      </c>
      <c r="J7" s="276">
        <f>-I7*D7</f>
        <v>-7239.0529574741295</v>
      </c>
      <c r="K7" s="276">
        <f>J7+I7</f>
        <v>14743.766717991577</v>
      </c>
    </row>
    <row r="8" spans="1:11">
      <c r="A8" s="293" t="s">
        <v>220</v>
      </c>
      <c r="B8" s="276">
        <f>'Tehachapi CWIP Balance'!E38-'Tehachapi CWIP Balance'!D38</f>
        <v>245522.11798000001</v>
      </c>
      <c r="C8" s="276">
        <f>-'Tehachapi CWIP Balance'!D38</f>
        <v>79443.871270000003</v>
      </c>
      <c r="D8" s="274">
        <f>C8/B8</f>
        <v>0.32357113861518344</v>
      </c>
      <c r="E8" s="276">
        <f>'Def Tax'!C349</f>
        <v>6278.2425743362292</v>
      </c>
      <c r="F8" s="276">
        <f>-E8*D8</f>
        <v>-2031.4580982802941</v>
      </c>
      <c r="G8" s="276">
        <f>F8+E8</f>
        <v>4246.7844760559346</v>
      </c>
      <c r="H8" s="224"/>
      <c r="I8" s="276">
        <f>'Def Tax'!C268</f>
        <v>16065.692028841268</v>
      </c>
      <c r="J8" s="276">
        <f>-I8*D8</f>
        <v>-5198.394262413045</v>
      </c>
      <c r="K8" s="276">
        <f>J8+I8</f>
        <v>10867.297766428223</v>
      </c>
    </row>
    <row r="9" spans="1:11">
      <c r="A9" s="293" t="s">
        <v>189</v>
      </c>
      <c r="B9" s="276">
        <f>'Tehachapi CWIP Balance'!E39-'Tehachapi CWIP Balance'!D39</f>
        <v>166078.24671000001</v>
      </c>
      <c r="C9" s="276">
        <f>-'Tehachapi CWIP Balance'!D39</f>
        <v>57861.731690000001</v>
      </c>
      <c r="D9" s="274">
        <f>C9/B9</f>
        <v>0.34840042471688737</v>
      </c>
      <c r="E9" s="276">
        <f>'Def Tax'!C353</f>
        <v>4610.4611975269836</v>
      </c>
      <c r="F9" s="276">
        <f>-E9*D9</f>
        <v>-1606.2866393591303</v>
      </c>
      <c r="G9" s="276">
        <f>F9+E9</f>
        <v>3004.1745581678533</v>
      </c>
      <c r="H9" s="224"/>
      <c r="I9" s="276">
        <f>'Def Tax'!C272</f>
        <v>11761.511997473888</v>
      </c>
      <c r="J9" s="276">
        <f>-I9*D9</f>
        <v>-4097.7157752326693</v>
      </c>
      <c r="K9" s="276">
        <f>J9+I9</f>
        <v>7663.7962222412189</v>
      </c>
    </row>
    <row r="10" spans="1:11">
      <c r="A10" s="562">
        <v>40848</v>
      </c>
      <c r="B10" s="564">
        <f>'Tehachapi CWIP Balance'!E62-'Tehachapi CWIP Balance'!C62</f>
        <v>1017334.3181499999</v>
      </c>
      <c r="C10" s="564">
        <f>-'Tehachapi CWIP Balance'!C62</f>
        <v>18618.465119999993</v>
      </c>
      <c r="D10" s="565">
        <f>C10/B10</f>
        <v>1.8301225848605267E-2</v>
      </c>
      <c r="E10" s="564">
        <f>'Def Tax'!C384</f>
        <v>28139.829203739799</v>
      </c>
      <c r="F10" s="564">
        <f>-E10*D10</f>
        <v>-514.99336959882021</v>
      </c>
      <c r="G10" s="564">
        <f>F10+E10</f>
        <v>27624.835834140977</v>
      </c>
      <c r="H10" s="566"/>
      <c r="I10" s="564">
        <f>'Def Tax'!C303</f>
        <v>69369.602887030138</v>
      </c>
      <c r="J10" s="564">
        <f>-I10*D10</f>
        <v>-1269.5487694635985</v>
      </c>
      <c r="K10" s="564">
        <f>J10+I10</f>
        <v>68100.054117566542</v>
      </c>
    </row>
    <row r="11" spans="1:11">
      <c r="A11" s="279"/>
      <c r="B11" s="276"/>
      <c r="C11" s="276"/>
      <c r="D11" s="274"/>
      <c r="E11" s="276"/>
      <c r="F11" s="276"/>
      <c r="G11" s="276"/>
      <c r="H11" s="224"/>
      <c r="I11" s="276"/>
      <c r="J11" s="276"/>
      <c r="K11" s="276"/>
    </row>
    <row r="12" spans="1:11">
      <c r="A12" s="279"/>
      <c r="B12" s="276"/>
      <c r="C12" s="276"/>
      <c r="D12" s="274"/>
      <c r="E12" s="276"/>
      <c r="F12" s="276"/>
      <c r="G12" s="276"/>
      <c r="H12" s="224"/>
      <c r="I12" s="276"/>
      <c r="J12" s="276"/>
      <c r="K12" s="276"/>
    </row>
    <row r="13" spans="1:11">
      <c r="A13" s="275"/>
      <c r="C13" s="224"/>
      <c r="E13" s="224"/>
      <c r="F13" s="224"/>
      <c r="G13" s="224"/>
      <c r="H13" s="224"/>
      <c r="I13" s="276"/>
      <c r="J13" s="276"/>
      <c r="K13" s="276"/>
    </row>
    <row r="14" spans="1:11" s="277" customFormat="1" ht="13.5" thickBot="1">
      <c r="A14" s="283"/>
      <c r="B14" s="284">
        <f>SUM(B6:B13)</f>
        <v>2081766.65506</v>
      </c>
      <c r="C14" s="284">
        <f>SUM(C6:C13)</f>
        <v>278358.49021000002</v>
      </c>
      <c r="D14" s="285"/>
      <c r="E14" s="284">
        <f>SUM(E6:E13)</f>
        <v>52606.591797072091</v>
      </c>
      <c r="F14" s="284">
        <f>SUM(F6:F13)</f>
        <v>-7004.3242643349404</v>
      </c>
      <c r="G14" s="284">
        <f>SUM(G6:G13)</f>
        <v>45602.267532737154</v>
      </c>
      <c r="H14" s="286"/>
      <c r="I14" s="284">
        <f>SUM(I6:I13)</f>
        <v>132463.57601151697</v>
      </c>
      <c r="J14" s="284">
        <f>SUM(J6:J13)</f>
        <v>-17892.048323891202</v>
      </c>
      <c r="K14" s="284">
        <f>SUM(K6:K13)</f>
        <v>114571.52768762576</v>
      </c>
    </row>
    <row r="15" spans="1:11" ht="13.5" thickTop="1"/>
    <row r="17" spans="7:11">
      <c r="I17" s="664" t="s">
        <v>316</v>
      </c>
      <c r="J17" s="664"/>
      <c r="K17" s="664"/>
    </row>
    <row r="18" spans="7:11">
      <c r="I18" s="563" t="s">
        <v>311</v>
      </c>
      <c r="J18" s="563" t="s">
        <v>312</v>
      </c>
      <c r="K18" s="563" t="s">
        <v>115</v>
      </c>
    </row>
    <row r="20" spans="7:11">
      <c r="G20" s="278" t="s">
        <v>210</v>
      </c>
      <c r="I20" s="244">
        <v>1</v>
      </c>
      <c r="J20" s="244">
        <v>0</v>
      </c>
      <c r="K20" s="567">
        <f>-J6*1000</f>
        <v>87336.55930776037</v>
      </c>
    </row>
    <row r="21" spans="7:11">
      <c r="G21" s="293" t="s">
        <v>219</v>
      </c>
      <c r="I21" s="244">
        <f>ABS('Tehachapi CWIP Balance'!C37/'Tehachapi CWIP Balance'!D37)</f>
        <v>6.0902206172273946E-2</v>
      </c>
      <c r="J21" s="244">
        <f>1-I21</f>
        <v>0.93909779382772607</v>
      </c>
      <c r="K21" s="567">
        <f>-J7*1000</f>
        <v>7239052.9574741293</v>
      </c>
    </row>
    <row r="22" spans="7:11">
      <c r="G22" s="293" t="s">
        <v>220</v>
      </c>
      <c r="I22" s="244">
        <f>ABS('Tehachapi CWIP Balance'!C38/'Tehachapi CWIP Balance'!D38)</f>
        <v>0.12847108942252836</v>
      </c>
      <c r="J22" s="244">
        <f t="shared" ref="J22:J23" si="0">1-I22</f>
        <v>0.87152891057747162</v>
      </c>
      <c r="K22" s="567">
        <f>-J8*1000</f>
        <v>5198394.2624130454</v>
      </c>
    </row>
    <row r="23" spans="7:11">
      <c r="G23" s="293" t="s">
        <v>189</v>
      </c>
      <c r="I23" s="244">
        <v>0</v>
      </c>
      <c r="J23" s="244">
        <f t="shared" si="0"/>
        <v>1</v>
      </c>
      <c r="K23" s="567">
        <f>-J9*1000</f>
        <v>4097715.7752326694</v>
      </c>
    </row>
    <row r="24" spans="7:11">
      <c r="G24" s="562">
        <v>40848</v>
      </c>
      <c r="I24" s="244">
        <v>1</v>
      </c>
      <c r="J24" s="244">
        <v>0</v>
      </c>
      <c r="K24" s="567">
        <f>-J10*1000</f>
        <v>1269548.7694635985</v>
      </c>
    </row>
    <row r="26" spans="7:11">
      <c r="G26" s="278" t="s">
        <v>210</v>
      </c>
      <c r="I26" s="567">
        <f>I20*$K20</f>
        <v>87336.55930776037</v>
      </c>
      <c r="J26" s="567">
        <f>J20*$K20</f>
        <v>0</v>
      </c>
      <c r="K26" s="567">
        <f>SUM(I26:J26)</f>
        <v>87336.55930776037</v>
      </c>
    </row>
    <row r="27" spans="7:11">
      <c r="G27" s="293" t="s">
        <v>219</v>
      </c>
      <c r="I27" s="567">
        <f t="shared" ref="I27:J30" si="1">I21*$K21</f>
        <v>440874.29570809886</v>
      </c>
      <c r="J27" s="567">
        <f t="shared" si="1"/>
        <v>6798178.6617660308</v>
      </c>
      <c r="K27" s="567">
        <f t="shared" ref="K27:K30" si="2">SUM(I27:J27)</f>
        <v>7239052.9574741293</v>
      </c>
    </row>
    <row r="28" spans="7:11">
      <c r="G28" s="293" t="s">
        <v>220</v>
      </c>
      <c r="I28" s="567">
        <f t="shared" si="1"/>
        <v>667843.37414002465</v>
      </c>
      <c r="J28" s="567">
        <f t="shared" si="1"/>
        <v>4530550.8882730203</v>
      </c>
      <c r="K28" s="567">
        <f t="shared" si="2"/>
        <v>5198394.2624130454</v>
      </c>
    </row>
    <row r="29" spans="7:11">
      <c r="G29" s="293" t="s">
        <v>189</v>
      </c>
      <c r="I29" s="567">
        <f t="shared" si="1"/>
        <v>0</v>
      </c>
      <c r="J29" s="567">
        <f t="shared" si="1"/>
        <v>4097715.7752326694</v>
      </c>
      <c r="K29" s="567">
        <f t="shared" si="2"/>
        <v>4097715.7752326694</v>
      </c>
    </row>
    <row r="30" spans="7:11">
      <c r="G30" s="562">
        <v>40848</v>
      </c>
      <c r="I30" s="570">
        <f t="shared" si="1"/>
        <v>1269548.7694635985</v>
      </c>
      <c r="J30" s="570">
        <f t="shared" si="1"/>
        <v>0</v>
      </c>
      <c r="K30" s="570">
        <f t="shared" si="2"/>
        <v>1269548.7694635985</v>
      </c>
    </row>
    <row r="32" spans="7:11" ht="13.5" thickBot="1">
      <c r="G32" s="572" t="s">
        <v>317</v>
      </c>
      <c r="I32" s="571">
        <f>SUM(I26:I31)</f>
        <v>2465602.9986194824</v>
      </c>
      <c r="J32" s="571">
        <f t="shared" ref="J32:K32" si="3">SUM(J26:J31)</f>
        <v>15426445.32527172</v>
      </c>
      <c r="K32" s="571">
        <f t="shared" si="3"/>
        <v>17892048.323891204</v>
      </c>
    </row>
  </sheetData>
  <mergeCells count="1">
    <mergeCell ref="I17:K17"/>
  </mergeCells>
  <phoneticPr fontId="4" type="noConversion"/>
  <pageMargins left="0.75" right="0.75" top="1" bottom="1" header="0.5" footer="0.5"/>
  <pageSetup scale="88" orientation="landscape" r:id="rId1"/>
  <headerFooter alignWithMargins="0">
    <oddHeader>&amp;RTO9 Annual Update
Attachment 4
WP-Schedule 3-CWIPBA Model
Page &amp;P of &amp;N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enableFormatConditionsCalculation="0">
    <tabColor rgb="FFCCFFCC"/>
    <pageSetUpPr fitToPage="1"/>
  </sheetPr>
  <dimension ref="A1:H68"/>
  <sheetViews>
    <sheetView zoomScaleNormal="100" workbookViewId="0">
      <selection sqref="A1:E1"/>
    </sheetView>
  </sheetViews>
  <sheetFormatPr defaultColWidth="11.42578125" defaultRowHeight="15"/>
  <cols>
    <col min="1" max="1" width="10.5703125" style="123" bestFit="1" customWidth="1"/>
    <col min="2" max="3" width="13.85546875" style="123" customWidth="1"/>
    <col min="4" max="4" width="11.7109375" style="218" customWidth="1"/>
    <col min="5" max="5" width="14.42578125" style="123" bestFit="1" customWidth="1"/>
    <col min="6" max="16384" width="11.42578125" style="123"/>
  </cols>
  <sheetData>
    <row r="1" spans="1:5" ht="15.75">
      <c r="A1" s="651" t="s">
        <v>0</v>
      </c>
      <c r="B1" s="651"/>
      <c r="C1" s="651"/>
      <c r="D1" s="651"/>
      <c r="E1" s="651"/>
    </row>
    <row r="2" spans="1:5" ht="15.75">
      <c r="A2" s="652" t="s">
        <v>150</v>
      </c>
      <c r="B2" s="665"/>
      <c r="C2" s="665"/>
      <c r="D2" s="665"/>
      <c r="E2" s="665"/>
    </row>
    <row r="3" spans="1:5">
      <c r="A3" s="654" t="s">
        <v>325</v>
      </c>
      <c r="B3" s="655"/>
      <c r="C3" s="655"/>
      <c r="D3" s="655"/>
      <c r="E3" s="655"/>
    </row>
    <row r="4" spans="1:5">
      <c r="A4" s="656" t="s">
        <v>1</v>
      </c>
      <c r="B4" s="656"/>
      <c r="C4" s="656"/>
      <c r="D4" s="656"/>
      <c r="E4" s="656"/>
    </row>
    <row r="5" spans="1:5">
      <c r="A5" s="124"/>
      <c r="B5" s="124"/>
      <c r="C5" s="124"/>
      <c r="D5" s="214"/>
      <c r="E5" s="124"/>
    </row>
    <row r="6" spans="1:5">
      <c r="A6" s="124"/>
      <c r="B6" s="124"/>
      <c r="C6" s="174"/>
      <c r="D6" s="215"/>
      <c r="E6" s="174"/>
    </row>
    <row r="7" spans="1:5">
      <c r="A7" s="124"/>
      <c r="B7" s="124"/>
      <c r="C7" s="175"/>
      <c r="D7" s="216"/>
      <c r="E7" s="176"/>
    </row>
    <row r="8" spans="1:5" ht="15" customHeight="1">
      <c r="A8" s="123" t="s">
        <v>132</v>
      </c>
      <c r="B8" s="126"/>
      <c r="C8" s="182"/>
      <c r="D8" s="217"/>
      <c r="E8" s="183"/>
    </row>
    <row r="9" spans="1:5">
      <c r="B9" s="126"/>
      <c r="C9" s="182"/>
      <c r="D9" s="217"/>
      <c r="E9" s="183"/>
    </row>
    <row r="10" spans="1:5">
      <c r="B10" s="126"/>
      <c r="C10" s="182"/>
      <c r="D10" s="217"/>
      <c r="E10" s="184"/>
    </row>
    <row r="11" spans="1:5">
      <c r="B11" s="126"/>
      <c r="C11" s="134"/>
      <c r="D11" s="219"/>
      <c r="E11" s="129"/>
    </row>
    <row r="13" spans="1:5" ht="48.75" customHeight="1">
      <c r="A13" s="671" t="s">
        <v>114</v>
      </c>
      <c r="B13" s="662" t="s">
        <v>160</v>
      </c>
      <c r="C13" s="662" t="s">
        <v>161</v>
      </c>
      <c r="D13" s="668" t="s">
        <v>115</v>
      </c>
      <c r="E13" s="671" t="s">
        <v>116</v>
      </c>
    </row>
    <row r="14" spans="1:5">
      <c r="A14" s="672"/>
      <c r="B14" s="663"/>
      <c r="C14" s="659"/>
      <c r="D14" s="669"/>
      <c r="E14" s="672"/>
    </row>
    <row r="15" spans="1:5">
      <c r="A15" s="130" t="s">
        <v>117</v>
      </c>
      <c r="B15" s="131"/>
      <c r="C15" s="131"/>
      <c r="D15" s="171"/>
      <c r="E15" s="161">
        <v>0</v>
      </c>
    </row>
    <row r="16" spans="1:5">
      <c r="A16" s="130" t="s">
        <v>118</v>
      </c>
      <c r="B16" s="132"/>
      <c r="C16" s="132"/>
      <c r="D16" s="171"/>
      <c r="E16" s="161">
        <v>0</v>
      </c>
    </row>
    <row r="17" spans="1:5">
      <c r="A17" s="265" t="s">
        <v>119</v>
      </c>
      <c r="B17" s="272"/>
      <c r="C17" s="272"/>
      <c r="D17" s="266"/>
      <c r="E17" s="221">
        <v>32161.686249999999</v>
      </c>
    </row>
    <row r="18" spans="1:5">
      <c r="A18" s="265" t="s">
        <v>120</v>
      </c>
      <c r="B18" s="266">
        <f>D18-C18</f>
        <v>34297.179180000006</v>
      </c>
      <c r="C18" s="272">
        <f>(1280.43938)-(1280.43938)</f>
        <v>0</v>
      </c>
      <c r="D18" s="266">
        <f>IF(E18=0,0,E18-E17)</f>
        <v>34297.179180000006</v>
      </c>
      <c r="E18" s="221">
        <v>66458.865430000005</v>
      </c>
    </row>
    <row r="19" spans="1:5">
      <c r="A19" s="265" t="s">
        <v>121</v>
      </c>
      <c r="B19" s="266">
        <f>D19-C19</f>
        <v>5810.6030800000008</v>
      </c>
      <c r="C19" s="272">
        <f>1280.43938-1280.43938</f>
        <v>0</v>
      </c>
      <c r="D19" s="266">
        <f>IF(E19=0,0,E19-E18)</f>
        <v>5810.6030800000008</v>
      </c>
      <c r="E19" s="221">
        <v>72269.468510000006</v>
      </c>
    </row>
    <row r="20" spans="1:5">
      <c r="A20" s="265" t="s">
        <v>75</v>
      </c>
      <c r="B20" s="266">
        <f t="shared" ref="B20:B39" si="0">D20-C20</f>
        <v>3527.0402199999899</v>
      </c>
      <c r="C20" s="221">
        <f>1323.28638-1280.43938</f>
        <v>42.84699999999998</v>
      </c>
      <c r="D20" s="266">
        <f t="shared" ref="D20:D39" si="1">IF(E20=0,0,E20-E19)</f>
        <v>3569.8872199999896</v>
      </c>
      <c r="E20" s="221">
        <v>75839.355729999996</v>
      </c>
    </row>
    <row r="21" spans="1:5">
      <c r="A21" s="265" t="s">
        <v>122</v>
      </c>
      <c r="B21" s="266">
        <f t="shared" si="0"/>
        <v>25392.457020000002</v>
      </c>
      <c r="C21" s="272">
        <f t="shared" ref="C21:C26" si="2">1323.28638-1323.28638</f>
        <v>0</v>
      </c>
      <c r="D21" s="266">
        <f t="shared" si="1"/>
        <v>25392.457020000002</v>
      </c>
      <c r="E21" s="221">
        <v>101231.81275</v>
      </c>
    </row>
    <row r="22" spans="1:5">
      <c r="A22" s="265" t="s">
        <v>123</v>
      </c>
      <c r="B22" s="266">
        <f t="shared" si="0"/>
        <v>41979.168099999995</v>
      </c>
      <c r="C22" s="272">
        <f t="shared" si="2"/>
        <v>0</v>
      </c>
      <c r="D22" s="266">
        <f t="shared" si="1"/>
        <v>41979.168099999995</v>
      </c>
      <c r="E22" s="221">
        <v>143210.98084999999</v>
      </c>
    </row>
    <row r="23" spans="1:5">
      <c r="A23" s="265" t="s">
        <v>124</v>
      </c>
      <c r="B23" s="266">
        <f t="shared" si="0"/>
        <v>-24625.118059999993</v>
      </c>
      <c r="C23" s="272">
        <f t="shared" si="2"/>
        <v>0</v>
      </c>
      <c r="D23" s="266">
        <f t="shared" si="1"/>
        <v>-24625.118059999993</v>
      </c>
      <c r="E23" s="221">
        <v>118585.86279</v>
      </c>
    </row>
    <row r="24" spans="1:5">
      <c r="A24" s="265" t="s">
        <v>125</v>
      </c>
      <c r="B24" s="266">
        <f t="shared" si="0"/>
        <v>2138.7827300000063</v>
      </c>
      <c r="C24" s="272">
        <f t="shared" si="2"/>
        <v>0</v>
      </c>
      <c r="D24" s="266">
        <f t="shared" si="1"/>
        <v>2138.7827300000063</v>
      </c>
      <c r="E24" s="221">
        <v>120724.64552000001</v>
      </c>
    </row>
    <row r="25" spans="1:5">
      <c r="A25" s="265" t="s">
        <v>126</v>
      </c>
      <c r="B25" s="266">
        <f t="shared" si="0"/>
        <v>4088.7613699999929</v>
      </c>
      <c r="C25" s="272">
        <f t="shared" si="2"/>
        <v>0</v>
      </c>
      <c r="D25" s="266">
        <f t="shared" si="1"/>
        <v>4088.7613699999929</v>
      </c>
      <c r="E25" s="221">
        <v>124813.40689</v>
      </c>
    </row>
    <row r="26" spans="1:5">
      <c r="A26" s="265" t="s">
        <v>127</v>
      </c>
      <c r="B26" s="266">
        <f t="shared" si="0"/>
        <v>14076.434029999989</v>
      </c>
      <c r="C26" s="272">
        <f t="shared" si="2"/>
        <v>0</v>
      </c>
      <c r="D26" s="266">
        <f t="shared" si="1"/>
        <v>14076.434029999989</v>
      </c>
      <c r="E26" s="221">
        <v>138889.84091999999</v>
      </c>
    </row>
    <row r="27" spans="1:5">
      <c r="A27" s="268" t="s">
        <v>128</v>
      </c>
      <c r="B27" s="269">
        <f t="shared" si="0"/>
        <v>13525.630480000022</v>
      </c>
      <c r="C27" s="221">
        <f>1327.41297-1323.28638</f>
        <v>4.1265900000000784</v>
      </c>
      <c r="D27" s="269">
        <f t="shared" si="1"/>
        <v>13529.757070000021</v>
      </c>
      <c r="E27" s="270">
        <v>152419.59799000001</v>
      </c>
    </row>
    <row r="28" spans="1:5">
      <c r="A28" s="265" t="s">
        <v>188</v>
      </c>
      <c r="B28" s="266">
        <f t="shared" si="0"/>
        <v>2538.5772099999886</v>
      </c>
      <c r="C28" s="221">
        <f>1327.41297-1327.41297</f>
        <v>0</v>
      </c>
      <c r="D28" s="266">
        <f t="shared" si="1"/>
        <v>2538.5772099999886</v>
      </c>
      <c r="E28" s="270">
        <v>154958.1752</v>
      </c>
    </row>
    <row r="29" spans="1:5">
      <c r="A29" s="265" t="s">
        <v>119</v>
      </c>
      <c r="B29" s="269">
        <f t="shared" si="0"/>
        <v>5675.4634500000102</v>
      </c>
      <c r="C29" s="221">
        <f>1327.41297-1327.41297</f>
        <v>0</v>
      </c>
      <c r="D29" s="269">
        <f t="shared" si="1"/>
        <v>5675.4634500000102</v>
      </c>
      <c r="E29" s="270">
        <v>160633.63865000001</v>
      </c>
    </row>
    <row r="30" spans="1:5">
      <c r="A30" s="265" t="s">
        <v>120</v>
      </c>
      <c r="B30" s="266">
        <f t="shared" si="0"/>
        <v>320.51657999999588</v>
      </c>
      <c r="C30" s="221">
        <f>1327.41297-1327.41297</f>
        <v>0</v>
      </c>
      <c r="D30" s="266">
        <f t="shared" si="1"/>
        <v>320.51657999999588</v>
      </c>
      <c r="E30" s="270">
        <v>160954.15523</v>
      </c>
    </row>
    <row r="31" spans="1:5">
      <c r="A31" s="265" t="s">
        <v>121</v>
      </c>
      <c r="B31" s="269">
        <f t="shared" si="0"/>
        <v>11955.520379999991</v>
      </c>
      <c r="C31" s="221">
        <f>1330.06962-1327.41297</f>
        <v>2.6566499999998996</v>
      </c>
      <c r="D31" s="269">
        <f t="shared" si="1"/>
        <v>11958.177029999992</v>
      </c>
      <c r="E31" s="270">
        <v>172912.33226</v>
      </c>
    </row>
    <row r="32" spans="1:5">
      <c r="A32" s="265" t="s">
        <v>75</v>
      </c>
      <c r="B32" s="269">
        <f t="shared" si="0"/>
        <v>0</v>
      </c>
      <c r="C32" s="273">
        <v>0</v>
      </c>
      <c r="D32" s="266">
        <f t="shared" si="1"/>
        <v>0</v>
      </c>
      <c r="E32" s="270">
        <v>0</v>
      </c>
    </row>
    <row r="33" spans="1:8">
      <c r="A33" s="265" t="s">
        <v>122</v>
      </c>
      <c r="B33" s="269">
        <f t="shared" si="0"/>
        <v>0</v>
      </c>
      <c r="C33" s="273">
        <v>0</v>
      </c>
      <c r="D33" s="269">
        <f t="shared" si="1"/>
        <v>0</v>
      </c>
      <c r="E33" s="270">
        <v>0</v>
      </c>
    </row>
    <row r="34" spans="1:8">
      <c r="A34" s="265" t="s">
        <v>123</v>
      </c>
      <c r="B34" s="266">
        <f t="shared" si="0"/>
        <v>0</v>
      </c>
      <c r="C34" s="273">
        <v>0</v>
      </c>
      <c r="D34" s="266">
        <f t="shared" si="1"/>
        <v>0</v>
      </c>
      <c r="E34" s="270">
        <v>0</v>
      </c>
    </row>
    <row r="35" spans="1:8">
      <c r="A35" s="265" t="s">
        <v>124</v>
      </c>
      <c r="B35" s="269">
        <f t="shared" si="0"/>
        <v>0</v>
      </c>
      <c r="C35" s="273">
        <v>0</v>
      </c>
      <c r="D35" s="269">
        <f t="shared" si="1"/>
        <v>0</v>
      </c>
      <c r="E35" s="270">
        <v>0</v>
      </c>
    </row>
    <row r="36" spans="1:8">
      <c r="A36" s="265" t="s">
        <v>125</v>
      </c>
      <c r="B36" s="266">
        <f t="shared" si="0"/>
        <v>0</v>
      </c>
      <c r="C36" s="273">
        <v>0</v>
      </c>
      <c r="D36" s="266">
        <f t="shared" si="1"/>
        <v>0</v>
      </c>
      <c r="E36" s="270">
        <v>0</v>
      </c>
    </row>
    <row r="37" spans="1:8">
      <c r="A37" s="265" t="s">
        <v>126</v>
      </c>
      <c r="B37" s="269">
        <f t="shared" si="0"/>
        <v>0</v>
      </c>
      <c r="C37" s="273">
        <v>0</v>
      </c>
      <c r="D37" s="269">
        <f t="shared" si="1"/>
        <v>0</v>
      </c>
      <c r="E37" s="270">
        <v>0</v>
      </c>
    </row>
    <row r="38" spans="1:8">
      <c r="A38" s="265" t="s">
        <v>127</v>
      </c>
      <c r="B38" s="266">
        <f t="shared" si="0"/>
        <v>0</v>
      </c>
      <c r="C38" s="273">
        <v>0</v>
      </c>
      <c r="D38" s="266">
        <f t="shared" si="1"/>
        <v>0</v>
      </c>
      <c r="E38" s="270">
        <v>0</v>
      </c>
    </row>
    <row r="39" spans="1:8">
      <c r="A39" s="268" t="s">
        <v>189</v>
      </c>
      <c r="B39" s="269">
        <f t="shared" si="0"/>
        <v>0</v>
      </c>
      <c r="C39" s="273">
        <v>0</v>
      </c>
      <c r="D39" s="269">
        <f t="shared" si="1"/>
        <v>0</v>
      </c>
      <c r="E39" s="270">
        <v>0</v>
      </c>
    </row>
    <row r="40" spans="1:8" collapsed="1">
      <c r="A40" s="265" t="s">
        <v>225</v>
      </c>
      <c r="B40" s="266">
        <f t="shared" ref="B40:B51" si="3">D40-C40</f>
        <v>0</v>
      </c>
      <c r="C40" s="273">
        <v>0</v>
      </c>
      <c r="D40" s="266">
        <f t="shared" ref="D40:D51" si="4">IF(E40=0,0,E40-E39)</f>
        <v>0</v>
      </c>
      <c r="E40" s="270">
        <v>0</v>
      </c>
    </row>
    <row r="41" spans="1:8">
      <c r="A41" s="265" t="s">
        <v>119</v>
      </c>
      <c r="B41" s="269">
        <f t="shared" si="3"/>
        <v>0</v>
      </c>
      <c r="C41" s="273">
        <v>0</v>
      </c>
      <c r="D41" s="269">
        <f t="shared" si="4"/>
        <v>0</v>
      </c>
      <c r="E41" s="270">
        <v>0</v>
      </c>
    </row>
    <row r="42" spans="1:8">
      <c r="A42" s="265" t="s">
        <v>120</v>
      </c>
      <c r="B42" s="266">
        <f t="shared" si="3"/>
        <v>0</v>
      </c>
      <c r="C42" s="273">
        <v>0</v>
      </c>
      <c r="D42" s="266">
        <f t="shared" si="4"/>
        <v>0</v>
      </c>
      <c r="E42" s="270">
        <v>0</v>
      </c>
      <c r="H42" s="187"/>
    </row>
    <row r="43" spans="1:8">
      <c r="A43" s="265" t="s">
        <v>121</v>
      </c>
      <c r="B43" s="269">
        <f t="shared" si="3"/>
        <v>0</v>
      </c>
      <c r="C43" s="273">
        <v>0</v>
      </c>
      <c r="D43" s="269">
        <f t="shared" si="4"/>
        <v>0</v>
      </c>
      <c r="E43" s="270">
        <v>0</v>
      </c>
    </row>
    <row r="44" spans="1:8" s="187" customFormat="1">
      <c r="A44" s="265" t="s">
        <v>75</v>
      </c>
      <c r="B44" s="269">
        <f t="shared" si="3"/>
        <v>0</v>
      </c>
      <c r="C44" s="273">
        <v>0</v>
      </c>
      <c r="D44" s="266">
        <f t="shared" si="4"/>
        <v>0</v>
      </c>
      <c r="E44" s="270">
        <v>0</v>
      </c>
    </row>
    <row r="45" spans="1:8">
      <c r="A45" s="265" t="s">
        <v>122</v>
      </c>
      <c r="B45" s="269">
        <f t="shared" si="3"/>
        <v>0</v>
      </c>
      <c r="C45" s="273">
        <f>0-0</f>
        <v>0</v>
      </c>
      <c r="D45" s="269">
        <f t="shared" si="4"/>
        <v>0</v>
      </c>
      <c r="E45" s="270">
        <v>0</v>
      </c>
    </row>
    <row r="46" spans="1:8">
      <c r="A46" s="265" t="s">
        <v>123</v>
      </c>
      <c r="B46" s="266">
        <f t="shared" si="3"/>
        <v>0</v>
      </c>
      <c r="C46" s="273">
        <f t="shared" ref="C46:C51" si="5">0-0</f>
        <v>0</v>
      </c>
      <c r="D46" s="266">
        <f t="shared" si="4"/>
        <v>0</v>
      </c>
      <c r="E46" s="270">
        <v>0</v>
      </c>
    </row>
    <row r="47" spans="1:8">
      <c r="A47" s="265" t="s">
        <v>124</v>
      </c>
      <c r="B47" s="269">
        <f t="shared" si="3"/>
        <v>0</v>
      </c>
      <c r="C47" s="273">
        <f t="shared" si="5"/>
        <v>0</v>
      </c>
      <c r="D47" s="269">
        <f t="shared" si="4"/>
        <v>0</v>
      </c>
      <c r="E47" s="270">
        <v>0</v>
      </c>
    </row>
    <row r="48" spans="1:8">
      <c r="A48" s="265" t="s">
        <v>125</v>
      </c>
      <c r="B48" s="266">
        <f t="shared" si="3"/>
        <v>0</v>
      </c>
      <c r="C48" s="273">
        <f t="shared" si="5"/>
        <v>0</v>
      </c>
      <c r="D48" s="266">
        <f t="shared" si="4"/>
        <v>0</v>
      </c>
      <c r="E48" s="270">
        <v>0</v>
      </c>
    </row>
    <row r="49" spans="1:8">
      <c r="A49" s="265" t="s">
        <v>126</v>
      </c>
      <c r="B49" s="269">
        <f t="shared" si="3"/>
        <v>0</v>
      </c>
      <c r="C49" s="273">
        <f t="shared" si="5"/>
        <v>0</v>
      </c>
      <c r="D49" s="269">
        <f t="shared" si="4"/>
        <v>0</v>
      </c>
      <c r="E49" s="270">
        <v>0</v>
      </c>
    </row>
    <row r="50" spans="1:8">
      <c r="A50" s="265" t="s">
        <v>127</v>
      </c>
      <c r="B50" s="266">
        <f t="shared" si="3"/>
        <v>0</v>
      </c>
      <c r="C50" s="273">
        <f t="shared" si="5"/>
        <v>0</v>
      </c>
      <c r="D50" s="266">
        <f t="shared" si="4"/>
        <v>0</v>
      </c>
      <c r="E50" s="270">
        <v>0</v>
      </c>
    </row>
    <row r="51" spans="1:8">
      <c r="A51" s="268" t="s">
        <v>226</v>
      </c>
      <c r="B51" s="269">
        <f t="shared" si="3"/>
        <v>0</v>
      </c>
      <c r="C51" s="273">
        <f t="shared" si="5"/>
        <v>0</v>
      </c>
      <c r="D51" s="269">
        <f t="shared" si="4"/>
        <v>0</v>
      </c>
      <c r="E51" s="270">
        <v>0</v>
      </c>
    </row>
    <row r="52" spans="1:8">
      <c r="A52" s="411" t="s">
        <v>261</v>
      </c>
      <c r="B52" s="266">
        <f t="shared" ref="B52:B63" si="6">D52-C52</f>
        <v>0</v>
      </c>
      <c r="C52" s="273">
        <v>0</v>
      </c>
      <c r="D52" s="266">
        <f t="shared" ref="D52:D63" si="7">IF(E52=0,0,E52-E51)</f>
        <v>0</v>
      </c>
      <c r="E52" s="270">
        <v>0</v>
      </c>
    </row>
    <row r="53" spans="1:8">
      <c r="A53" s="265" t="s">
        <v>119</v>
      </c>
      <c r="B53" s="269">
        <f t="shared" si="6"/>
        <v>0</v>
      </c>
      <c r="C53" s="273">
        <v>0</v>
      </c>
      <c r="D53" s="269">
        <f t="shared" si="7"/>
        <v>0</v>
      </c>
      <c r="E53" s="270">
        <v>0</v>
      </c>
    </row>
    <row r="54" spans="1:8">
      <c r="A54" s="265" t="s">
        <v>120</v>
      </c>
      <c r="B54" s="266">
        <f t="shared" si="6"/>
        <v>0</v>
      </c>
      <c r="C54" s="273">
        <v>0</v>
      </c>
      <c r="D54" s="266">
        <f t="shared" si="7"/>
        <v>0</v>
      </c>
      <c r="E54" s="270">
        <v>0</v>
      </c>
      <c r="H54" s="187"/>
    </row>
    <row r="55" spans="1:8">
      <c r="A55" s="265" t="s">
        <v>121</v>
      </c>
      <c r="B55" s="269">
        <f t="shared" si="6"/>
        <v>0</v>
      </c>
      <c r="C55" s="273">
        <v>0</v>
      </c>
      <c r="D55" s="269">
        <f t="shared" si="7"/>
        <v>0</v>
      </c>
      <c r="E55" s="270">
        <v>0</v>
      </c>
    </row>
    <row r="56" spans="1:8" s="187" customFormat="1">
      <c r="A56" s="265" t="s">
        <v>75</v>
      </c>
      <c r="B56" s="269">
        <f t="shared" si="6"/>
        <v>0</v>
      </c>
      <c r="C56" s="273">
        <v>0</v>
      </c>
      <c r="D56" s="266">
        <f t="shared" si="7"/>
        <v>0</v>
      </c>
      <c r="E56" s="270">
        <v>0</v>
      </c>
    </row>
    <row r="57" spans="1:8">
      <c r="A57" s="265" t="s">
        <v>122</v>
      </c>
      <c r="B57" s="269">
        <f t="shared" si="6"/>
        <v>0</v>
      </c>
      <c r="C57" s="273">
        <f>0-0</f>
        <v>0</v>
      </c>
      <c r="D57" s="269">
        <f t="shared" si="7"/>
        <v>0</v>
      </c>
      <c r="E57" s="270">
        <v>0</v>
      </c>
    </row>
    <row r="58" spans="1:8">
      <c r="A58" s="265" t="s">
        <v>123</v>
      </c>
      <c r="B58" s="266">
        <f t="shared" si="6"/>
        <v>0</v>
      </c>
      <c r="C58" s="273">
        <f t="shared" ref="C58:C63" si="8">0-0</f>
        <v>0</v>
      </c>
      <c r="D58" s="266">
        <f t="shared" si="7"/>
        <v>0</v>
      </c>
      <c r="E58" s="270">
        <v>0</v>
      </c>
    </row>
    <row r="59" spans="1:8">
      <c r="A59" s="265" t="s">
        <v>124</v>
      </c>
      <c r="B59" s="269">
        <f t="shared" si="6"/>
        <v>0</v>
      </c>
      <c r="C59" s="273">
        <f t="shared" si="8"/>
        <v>0</v>
      </c>
      <c r="D59" s="269">
        <f t="shared" si="7"/>
        <v>0</v>
      </c>
      <c r="E59" s="270">
        <v>0</v>
      </c>
    </row>
    <row r="60" spans="1:8">
      <c r="A60" s="265" t="s">
        <v>125</v>
      </c>
      <c r="B60" s="266">
        <f t="shared" si="6"/>
        <v>0</v>
      </c>
      <c r="C60" s="273">
        <f t="shared" si="8"/>
        <v>0</v>
      </c>
      <c r="D60" s="266">
        <f t="shared" si="7"/>
        <v>0</v>
      </c>
      <c r="E60" s="270">
        <v>0</v>
      </c>
    </row>
    <row r="61" spans="1:8">
      <c r="A61" s="265" t="s">
        <v>126</v>
      </c>
      <c r="B61" s="269">
        <f t="shared" si="6"/>
        <v>0</v>
      </c>
      <c r="C61" s="273">
        <f t="shared" si="8"/>
        <v>0</v>
      </c>
      <c r="D61" s="269">
        <f t="shared" si="7"/>
        <v>0</v>
      </c>
      <c r="E61" s="270">
        <v>0</v>
      </c>
    </row>
    <row r="62" spans="1:8">
      <c r="A62" s="265" t="s">
        <v>127</v>
      </c>
      <c r="B62" s="266">
        <f t="shared" si="6"/>
        <v>0</v>
      </c>
      <c r="C62" s="273">
        <f t="shared" si="8"/>
        <v>0</v>
      </c>
      <c r="D62" s="266">
        <f t="shared" si="7"/>
        <v>0</v>
      </c>
      <c r="E62" s="270">
        <v>0</v>
      </c>
    </row>
    <row r="63" spans="1:8">
      <c r="A63" s="584" t="s">
        <v>262</v>
      </c>
      <c r="B63" s="588">
        <f t="shared" si="6"/>
        <v>0</v>
      </c>
      <c r="C63" s="306">
        <f t="shared" si="8"/>
        <v>0</v>
      </c>
      <c r="D63" s="588">
        <f t="shared" si="7"/>
        <v>0</v>
      </c>
      <c r="E63" s="573">
        <v>0</v>
      </c>
    </row>
    <row r="64" spans="1:8">
      <c r="A64" s="133" t="s">
        <v>115</v>
      </c>
      <c r="B64" s="131">
        <f>SUM(B18:B63)</f>
        <v>140701.01577</v>
      </c>
      <c r="C64" s="131">
        <f>SUM(C15:C63)</f>
        <v>49.630239999999958</v>
      </c>
      <c r="D64" s="171">
        <f>SUM(D18:D63)</f>
        <v>140750.64601</v>
      </c>
      <c r="E64" s="131">
        <f>SUM(E15:E63)</f>
        <v>1796063.82497</v>
      </c>
    </row>
    <row r="65" spans="1:5">
      <c r="A65" s="133"/>
    </row>
    <row r="66" spans="1:5">
      <c r="A66" s="133"/>
    </row>
    <row r="67" spans="1:5">
      <c r="A67" s="186" t="s">
        <v>162</v>
      </c>
    </row>
    <row r="68" spans="1:5">
      <c r="A68" s="670" t="s">
        <v>165</v>
      </c>
      <c r="B68" s="670"/>
      <c r="C68" s="670"/>
      <c r="D68" s="670"/>
      <c r="E68" s="670"/>
    </row>
  </sheetData>
  <mergeCells count="10">
    <mergeCell ref="A68:E68"/>
    <mergeCell ref="A13:A14"/>
    <mergeCell ref="B13:B14"/>
    <mergeCell ref="D13:D14"/>
    <mergeCell ref="A1:E1"/>
    <mergeCell ref="A2:E2"/>
    <mergeCell ref="A3:E3"/>
    <mergeCell ref="A4:E4"/>
    <mergeCell ref="E13:E14"/>
    <mergeCell ref="C13:C14"/>
  </mergeCells>
  <phoneticPr fontId="4" type="noConversion"/>
  <pageMargins left="0.7" right="0.7" top="0.75" bottom="0.75" header="0.3" footer="0.3"/>
  <pageSetup scale="66" orientation="portrait" r:id="rId1"/>
  <headerFooter alignWithMargins="0">
    <oddHeader>&amp;RTO9 Annual Update
Attachment 4
WP-Schedule 3-CWIPBA Model
Page &amp;P of &amp;N</oddHeader>
    <oddFooter>&amp;R&amp;A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K25"/>
  <sheetViews>
    <sheetView zoomScaleNormal="100" zoomScaleSheetLayoutView="100" workbookViewId="0"/>
  </sheetViews>
  <sheetFormatPr defaultRowHeight="12.75"/>
  <cols>
    <col min="1" max="1" width="12.5703125" customWidth="1"/>
    <col min="2" max="3" width="15" customWidth="1"/>
    <col min="4" max="4" width="14.140625" customWidth="1"/>
    <col min="5" max="5" width="10.140625" bestFit="1" customWidth="1"/>
    <col min="6" max="7" width="13.7109375" customWidth="1"/>
    <col min="8" max="8" width="2.5703125" customWidth="1"/>
    <col min="9" max="11" width="12.85546875" customWidth="1"/>
    <col min="12" max="12" width="2.85546875" customWidth="1"/>
  </cols>
  <sheetData>
    <row r="1" spans="1:11" ht="15.75">
      <c r="A1" s="1" t="s">
        <v>313</v>
      </c>
    </row>
    <row r="4" spans="1:11" s="64" customFormat="1" ht="51">
      <c r="A4" s="287" t="s">
        <v>200</v>
      </c>
      <c r="B4" s="287" t="s">
        <v>201</v>
      </c>
      <c r="C4" s="287" t="s">
        <v>202</v>
      </c>
      <c r="D4" s="287" t="s">
        <v>203</v>
      </c>
      <c r="E4" s="287" t="s">
        <v>204</v>
      </c>
      <c r="F4" s="287" t="s">
        <v>205</v>
      </c>
      <c r="G4" s="287" t="s">
        <v>206</v>
      </c>
      <c r="H4" s="288"/>
      <c r="I4" s="287" t="s">
        <v>207</v>
      </c>
      <c r="J4" s="287" t="s">
        <v>208</v>
      </c>
      <c r="K4" s="287" t="s">
        <v>209</v>
      </c>
    </row>
    <row r="6" spans="1:11">
      <c r="A6" s="278" t="s">
        <v>218</v>
      </c>
      <c r="B6" s="276">
        <f>'Rancho Vista CWIP Balance'!E23-'Rancho Vista CWIP Balance'!D23</f>
        <v>143210.98084999999</v>
      </c>
      <c r="C6" s="276">
        <f>-'Rancho Vista CWIP Balance'!B23</f>
        <v>24625.118059999993</v>
      </c>
      <c r="D6" s="274">
        <f>C6/B6</f>
        <v>0.17194992949453006</v>
      </c>
      <c r="E6" s="276">
        <f>'Def Tax'!C509</f>
        <v>1176.6811707780719</v>
      </c>
      <c r="F6" s="276">
        <f>-E6*D6</f>
        <v>-202.33024435283053</v>
      </c>
      <c r="G6" s="276">
        <f>F6+E6</f>
        <v>974.35092642524137</v>
      </c>
      <c r="H6" s="224"/>
      <c r="I6" s="276">
        <f>'Def Tax'!C437</f>
        <v>3364.5735320946383</v>
      </c>
      <c r="J6" s="276">
        <f>-I6*D6</f>
        <v>-578.53818162283505</v>
      </c>
      <c r="K6" s="276">
        <f>J6+I6</f>
        <v>2786.0353504718032</v>
      </c>
    </row>
    <row r="7" spans="1:11">
      <c r="A7" s="278" t="s">
        <v>210</v>
      </c>
      <c r="B7" s="276">
        <f>'Rancho Vista CWIP Balance'!E31</f>
        <v>172912.33226</v>
      </c>
      <c r="C7" s="276">
        <f>B7</f>
        <v>172912.33226</v>
      </c>
      <c r="D7" s="274">
        <f>C7/B7</f>
        <v>1</v>
      </c>
      <c r="E7" s="276">
        <f>'Def Tax'!C524</f>
        <v>3657.3645750713736</v>
      </c>
      <c r="F7" s="276">
        <f>-E7*D7</f>
        <v>-3657.3645750713736</v>
      </c>
      <c r="G7" s="276">
        <f>F7+E7</f>
        <v>0</v>
      </c>
      <c r="H7" s="224"/>
      <c r="I7" s="276">
        <f>'Def Tax'!C452</f>
        <v>9387.7858454526504</v>
      </c>
      <c r="J7" s="276">
        <f>-I7*D7</f>
        <v>-9387.7858454526504</v>
      </c>
      <c r="K7" s="276">
        <f>J7+I7</f>
        <v>0</v>
      </c>
    </row>
    <row r="8" spans="1:11">
      <c r="A8" s="193"/>
      <c r="B8" s="276"/>
      <c r="C8" s="276"/>
      <c r="D8" s="274"/>
      <c r="E8" s="276"/>
      <c r="F8" s="276"/>
      <c r="G8" s="276"/>
      <c r="H8" s="224"/>
      <c r="I8" s="276"/>
      <c r="J8" s="276"/>
      <c r="K8" s="276"/>
    </row>
    <row r="9" spans="1:11">
      <c r="A9" s="279"/>
      <c r="B9" s="276"/>
      <c r="C9" s="276"/>
      <c r="D9" s="274"/>
      <c r="E9" s="276"/>
      <c r="F9" s="276"/>
      <c r="G9" s="276"/>
      <c r="H9" s="224"/>
      <c r="I9" s="276"/>
      <c r="J9" s="276"/>
      <c r="K9" s="276"/>
    </row>
    <row r="10" spans="1:11">
      <c r="A10" s="279"/>
      <c r="B10" s="276"/>
      <c r="C10" s="276"/>
      <c r="D10" s="274"/>
      <c r="E10" s="276"/>
      <c r="F10" s="276"/>
      <c r="G10" s="276"/>
      <c r="H10" s="224"/>
      <c r="I10" s="276"/>
      <c r="J10" s="276"/>
      <c r="K10" s="276"/>
    </row>
    <row r="11" spans="1:11">
      <c r="A11" s="279"/>
      <c r="B11" s="276"/>
      <c r="C11" s="276"/>
      <c r="D11" s="274"/>
      <c r="E11" s="276"/>
      <c r="F11" s="276"/>
      <c r="G11" s="276"/>
      <c r="H11" s="224"/>
      <c r="I11" s="276"/>
      <c r="J11" s="276"/>
      <c r="K11" s="276"/>
    </row>
    <row r="12" spans="1:11">
      <c r="A12" s="275"/>
      <c r="C12" s="224"/>
      <c r="E12" s="224"/>
      <c r="F12" s="224"/>
      <c r="G12" s="224"/>
      <c r="H12" s="224"/>
      <c r="I12" s="276"/>
      <c r="J12" s="276"/>
      <c r="K12" s="276"/>
    </row>
    <row r="13" spans="1:11" s="277" customFormat="1" ht="13.5" thickBot="1">
      <c r="A13" s="283"/>
      <c r="B13" s="284">
        <f>SUM(B6:B12)</f>
        <v>316123.31310999999</v>
      </c>
      <c r="C13" s="284">
        <f>SUM(C6:C12)</f>
        <v>197537.45032</v>
      </c>
      <c r="D13" s="285"/>
      <c r="E13" s="284">
        <f>SUM(E6:E12)</f>
        <v>4834.0457458494457</v>
      </c>
      <c r="F13" s="284">
        <f>SUM(F6:F12)</f>
        <v>-3859.6948194242041</v>
      </c>
      <c r="G13" s="284">
        <f>SUM(G6:G12)</f>
        <v>974.35092642524137</v>
      </c>
      <c r="H13" s="286"/>
      <c r="I13" s="284">
        <f>SUM(I6:I12)</f>
        <v>12752.359377547289</v>
      </c>
      <c r="J13" s="284">
        <f>SUM(J6:J12)</f>
        <v>-9966.324027075485</v>
      </c>
      <c r="K13" s="284">
        <f>SUM(K6:K12)</f>
        <v>2786.0353504718032</v>
      </c>
    </row>
    <row r="14" spans="1:11" ht="13.5" thickTop="1"/>
    <row r="16" spans="1:11">
      <c r="I16" s="664" t="s">
        <v>316</v>
      </c>
      <c r="J16" s="664"/>
      <c r="K16" s="664"/>
    </row>
    <row r="17" spans="7:11">
      <c r="I17" s="563" t="s">
        <v>311</v>
      </c>
      <c r="J17" s="563" t="s">
        <v>312</v>
      </c>
      <c r="K17" s="563" t="s">
        <v>115</v>
      </c>
    </row>
    <row r="19" spans="7:11">
      <c r="G19" s="278" t="s">
        <v>218</v>
      </c>
      <c r="I19" s="244">
        <v>0</v>
      </c>
      <c r="J19" s="244">
        <f>1-I19</f>
        <v>1</v>
      </c>
      <c r="K19" s="567">
        <f>-J6*1000</f>
        <v>578538.18162283511</v>
      </c>
    </row>
    <row r="20" spans="7:11">
      <c r="G20" s="278" t="s">
        <v>210</v>
      </c>
      <c r="I20" s="244">
        <v>0</v>
      </c>
      <c r="J20" s="244">
        <f>1-I20</f>
        <v>1</v>
      </c>
      <c r="K20" s="567">
        <f>-J7*1000</f>
        <v>9387785.8454526495</v>
      </c>
    </row>
    <row r="22" spans="7:11">
      <c r="G22" s="278" t="s">
        <v>218</v>
      </c>
      <c r="I22" s="567">
        <f>I19*$K19</f>
        <v>0</v>
      </c>
      <c r="J22" s="567">
        <f>J19*$K19</f>
        <v>578538.18162283511</v>
      </c>
      <c r="K22" s="567">
        <f>SUM(I22:J22)</f>
        <v>578538.18162283511</v>
      </c>
    </row>
    <row r="23" spans="7:11">
      <c r="G23" s="278" t="s">
        <v>210</v>
      </c>
      <c r="I23" s="570">
        <f>I20*$K20</f>
        <v>0</v>
      </c>
      <c r="J23" s="570">
        <f>J20*$K20</f>
        <v>9387785.8454526495</v>
      </c>
      <c r="K23" s="570">
        <f>SUM(I23:J23)</f>
        <v>9387785.8454526495</v>
      </c>
    </row>
    <row r="25" spans="7:11" ht="13.5" thickBot="1">
      <c r="G25" s="572" t="s">
        <v>317</v>
      </c>
      <c r="I25" s="571">
        <f>SUM(I22:I24)</f>
        <v>0</v>
      </c>
      <c r="J25" s="571">
        <f t="shared" ref="J25:K25" si="0">SUM(J22:J24)</f>
        <v>9966324.0270754844</v>
      </c>
      <c r="K25" s="571">
        <f t="shared" si="0"/>
        <v>9966324.0270754844</v>
      </c>
    </row>
  </sheetData>
  <mergeCells count="1">
    <mergeCell ref="I16:K16"/>
  </mergeCells>
  <phoneticPr fontId="4" type="noConversion"/>
  <pageMargins left="0.75" right="0.75" top="1" bottom="1" header="0.5" footer="0.5"/>
  <pageSetup scale="89" orientation="landscape" r:id="rId1"/>
  <headerFooter alignWithMargins="0">
    <oddHeader>&amp;RTO9 Annual Update
Attachment 4
WP-Schedule 3-CWIPBA Model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2"/>
  </sheetPr>
  <dimension ref="A1:BE63"/>
  <sheetViews>
    <sheetView topLeftCell="AL1" zoomScaleNormal="100" zoomScaleSheetLayoutView="70" workbookViewId="0">
      <selection activeCell="AL1" sqref="AL1:AW1"/>
    </sheetView>
  </sheetViews>
  <sheetFormatPr defaultRowHeight="12.75"/>
  <cols>
    <col min="1" max="1" width="49.5703125" customWidth="1"/>
    <col min="2" max="2" width="10" customWidth="1"/>
    <col min="3" max="3" width="10.28515625" customWidth="1"/>
    <col min="4" max="4" width="11" style="60" customWidth="1" collapsed="1"/>
    <col min="5" max="6" width="11" style="60" customWidth="1"/>
    <col min="7" max="9" width="11" customWidth="1"/>
    <col min="10" max="10" width="12.42578125" customWidth="1"/>
    <col min="11" max="16" width="12.28515625" customWidth="1"/>
    <col min="17" max="21" width="11" customWidth="1"/>
    <col min="22" max="22" width="12.42578125" customWidth="1"/>
    <col min="23" max="23" width="11" customWidth="1"/>
    <col min="24" max="24" width="11.5703125" customWidth="1"/>
    <col min="25" max="25" width="11.85546875" customWidth="1"/>
    <col min="26" max="26" width="11" customWidth="1" collapsed="1"/>
    <col min="27" max="27" width="11" customWidth="1"/>
    <col min="28" max="33" width="12.28515625" customWidth="1"/>
    <col min="34" max="34" width="12.42578125" customWidth="1"/>
    <col min="35" max="35" width="12.28515625" customWidth="1" collapsed="1"/>
    <col min="36" max="37" width="12.28515625" customWidth="1"/>
    <col min="38" max="40" width="11.5703125" bestFit="1" customWidth="1"/>
    <col min="41" max="45" width="12.28515625" bestFit="1" customWidth="1"/>
    <col min="46" max="46" width="12.42578125" customWidth="1"/>
    <col min="47" max="47" width="12.28515625" bestFit="1" customWidth="1"/>
    <col min="48" max="48" width="12.42578125" bestFit="1" customWidth="1"/>
    <col min="49" max="49" width="15" bestFit="1" customWidth="1"/>
    <col min="50" max="50" width="12.85546875" bestFit="1" customWidth="1"/>
  </cols>
  <sheetData>
    <row r="1" spans="1:57" ht="18">
      <c r="A1" s="594"/>
      <c r="B1" s="636" t="s">
        <v>0</v>
      </c>
      <c r="C1" s="636"/>
      <c r="D1" s="636"/>
      <c r="E1" s="636"/>
      <c r="F1" s="636"/>
      <c r="G1" s="636"/>
      <c r="H1" s="636"/>
      <c r="I1" s="636"/>
      <c r="J1" s="636"/>
      <c r="K1" s="636"/>
      <c r="L1" s="636"/>
      <c r="M1" s="636"/>
      <c r="N1" s="636" t="s">
        <v>0</v>
      </c>
      <c r="O1" s="636"/>
      <c r="P1" s="636"/>
      <c r="Q1" s="636"/>
      <c r="R1" s="636"/>
      <c r="S1" s="636"/>
      <c r="T1" s="636"/>
      <c r="U1" s="636"/>
      <c r="V1" s="636"/>
      <c r="W1" s="636"/>
      <c r="X1" s="636"/>
      <c r="Y1" s="636"/>
      <c r="Z1" s="636" t="s">
        <v>0</v>
      </c>
      <c r="AA1" s="636"/>
      <c r="AB1" s="636"/>
      <c r="AC1" s="636"/>
      <c r="AD1" s="636"/>
      <c r="AE1" s="636"/>
      <c r="AF1" s="636"/>
      <c r="AG1" s="636"/>
      <c r="AH1" s="636"/>
      <c r="AI1" s="636"/>
      <c r="AJ1" s="636"/>
      <c r="AK1" s="636"/>
      <c r="AL1" s="636" t="s">
        <v>0</v>
      </c>
      <c r="AM1" s="636"/>
      <c r="AN1" s="636"/>
      <c r="AO1" s="636"/>
      <c r="AP1" s="636"/>
      <c r="AQ1" s="636"/>
      <c r="AR1" s="636"/>
      <c r="AS1" s="636"/>
      <c r="AT1" s="636"/>
      <c r="AU1" s="636"/>
      <c r="AV1" s="636"/>
      <c r="AW1" s="636"/>
    </row>
    <row r="2" spans="1:57" ht="30" customHeight="1">
      <c r="A2" s="595"/>
      <c r="B2" s="637" t="s">
        <v>90</v>
      </c>
      <c r="C2" s="637"/>
      <c r="D2" s="637"/>
      <c r="E2" s="637"/>
      <c r="F2" s="637"/>
      <c r="G2" s="637"/>
      <c r="H2" s="637"/>
      <c r="I2" s="637"/>
      <c r="J2" s="637"/>
      <c r="K2" s="637"/>
      <c r="L2" s="637"/>
      <c r="M2" s="637"/>
      <c r="N2" s="637" t="s">
        <v>90</v>
      </c>
      <c r="O2" s="637"/>
      <c r="P2" s="637"/>
      <c r="Q2" s="637"/>
      <c r="R2" s="637"/>
      <c r="S2" s="637"/>
      <c r="T2" s="637"/>
      <c r="U2" s="637"/>
      <c r="V2" s="637"/>
      <c r="W2" s="637"/>
      <c r="X2" s="637"/>
      <c r="Y2" s="637"/>
      <c r="Z2" s="637" t="s">
        <v>90</v>
      </c>
      <c r="AA2" s="637"/>
      <c r="AB2" s="637"/>
      <c r="AC2" s="637"/>
      <c r="AD2" s="637"/>
      <c r="AE2" s="637"/>
      <c r="AF2" s="637"/>
      <c r="AG2" s="637"/>
      <c r="AH2" s="637"/>
      <c r="AI2" s="637"/>
      <c r="AJ2" s="637"/>
      <c r="AK2" s="637"/>
      <c r="AL2" s="637" t="s">
        <v>90</v>
      </c>
      <c r="AM2" s="637"/>
      <c r="AN2" s="637"/>
      <c r="AO2" s="637"/>
      <c r="AP2" s="637"/>
      <c r="AQ2" s="637"/>
      <c r="AR2" s="637"/>
      <c r="AS2" s="637"/>
      <c r="AT2" s="637"/>
      <c r="AU2" s="637"/>
      <c r="AV2" s="637"/>
      <c r="AW2" s="637"/>
    </row>
    <row r="3" spans="1:57" ht="15">
      <c r="A3" s="595"/>
      <c r="B3" s="637">
        <v>2008</v>
      </c>
      <c r="C3" s="637"/>
      <c r="D3" s="637"/>
      <c r="E3" s="637"/>
      <c r="F3" s="637"/>
      <c r="G3" s="637"/>
      <c r="H3" s="637"/>
      <c r="I3" s="637"/>
      <c r="J3" s="637"/>
      <c r="K3" s="637"/>
      <c r="L3" s="637"/>
      <c r="M3" s="637"/>
      <c r="N3" s="637">
        <v>2009</v>
      </c>
      <c r="O3" s="637"/>
      <c r="P3" s="637"/>
      <c r="Q3" s="637"/>
      <c r="R3" s="637"/>
      <c r="S3" s="637"/>
      <c r="T3" s="637"/>
      <c r="U3" s="637"/>
      <c r="V3" s="637"/>
      <c r="W3" s="637"/>
      <c r="X3" s="637"/>
      <c r="Y3" s="637"/>
      <c r="Z3" s="637">
        <v>2010</v>
      </c>
      <c r="AA3" s="637"/>
      <c r="AB3" s="637"/>
      <c r="AC3" s="637"/>
      <c r="AD3" s="637"/>
      <c r="AE3" s="637"/>
      <c r="AF3" s="637"/>
      <c r="AG3" s="637"/>
      <c r="AH3" s="637"/>
      <c r="AI3" s="637"/>
      <c r="AJ3" s="637"/>
      <c r="AK3" s="637"/>
      <c r="AL3" s="637">
        <v>2011</v>
      </c>
      <c r="AM3" s="637"/>
      <c r="AN3" s="637"/>
      <c r="AO3" s="637"/>
      <c r="AP3" s="637"/>
      <c r="AQ3" s="637"/>
      <c r="AR3" s="637"/>
      <c r="AS3" s="637"/>
      <c r="AT3" s="637"/>
      <c r="AU3" s="637"/>
      <c r="AV3" s="637"/>
      <c r="AW3" s="637"/>
    </row>
    <row r="4" spans="1:57">
      <c r="A4" s="596"/>
      <c r="B4" s="627" t="s">
        <v>1</v>
      </c>
      <c r="C4" s="627"/>
      <c r="D4" s="627"/>
      <c r="E4" s="627"/>
      <c r="F4" s="627"/>
      <c r="G4" s="627"/>
      <c r="H4" s="627"/>
      <c r="I4" s="627"/>
      <c r="J4" s="627"/>
      <c r="K4" s="627"/>
      <c r="L4" s="627"/>
      <c r="M4" s="627"/>
      <c r="N4" s="627" t="s">
        <v>1</v>
      </c>
      <c r="O4" s="627"/>
      <c r="P4" s="627"/>
      <c r="Q4" s="627"/>
      <c r="R4" s="627"/>
      <c r="S4" s="627"/>
      <c r="T4" s="627"/>
      <c r="U4" s="627"/>
      <c r="V4" s="627"/>
      <c r="W4" s="627"/>
      <c r="X4" s="627"/>
      <c r="Y4" s="627"/>
      <c r="Z4" s="627" t="s">
        <v>1</v>
      </c>
      <c r="AA4" s="627"/>
      <c r="AB4" s="627"/>
      <c r="AC4" s="627"/>
      <c r="AD4" s="627"/>
      <c r="AE4" s="627"/>
      <c r="AF4" s="627"/>
      <c r="AG4" s="627"/>
      <c r="AH4" s="627"/>
      <c r="AI4" s="627"/>
      <c r="AJ4" s="627"/>
      <c r="AK4" s="627"/>
      <c r="AL4" s="627" t="s">
        <v>1</v>
      </c>
      <c r="AM4" s="627"/>
      <c r="AN4" s="627"/>
      <c r="AO4" s="627"/>
      <c r="AP4" s="627"/>
      <c r="AQ4" s="627"/>
      <c r="AR4" s="627"/>
      <c r="AS4" s="627"/>
      <c r="AT4" s="627"/>
      <c r="AU4" s="627"/>
      <c r="AV4" s="627"/>
      <c r="AW4" s="627"/>
    </row>
    <row r="5" spans="1:57">
      <c r="A5" s="329"/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</row>
    <row r="6" spans="1:57" ht="15.75">
      <c r="B6" s="639">
        <v>2008</v>
      </c>
      <c r="C6" s="640"/>
      <c r="D6" s="640"/>
      <c r="E6" s="640"/>
      <c r="F6" s="640"/>
      <c r="G6" s="640"/>
      <c r="H6" s="640"/>
      <c r="I6" s="640"/>
      <c r="J6" s="640"/>
      <c r="K6" s="640"/>
      <c r="L6" s="640"/>
      <c r="M6" s="641"/>
      <c r="N6" s="639">
        <v>2009</v>
      </c>
      <c r="O6" s="640"/>
      <c r="P6" s="640"/>
      <c r="Q6" s="640"/>
      <c r="R6" s="640"/>
      <c r="S6" s="640"/>
      <c r="T6" s="640"/>
      <c r="U6" s="640"/>
      <c r="V6" s="640"/>
      <c r="W6" s="640"/>
      <c r="X6" s="640"/>
      <c r="Y6" s="641"/>
      <c r="Z6" s="639">
        <v>2010</v>
      </c>
      <c r="AA6" s="640"/>
      <c r="AB6" s="640"/>
      <c r="AC6" s="640"/>
      <c r="AD6" s="640"/>
      <c r="AE6" s="640"/>
      <c r="AF6" s="640"/>
      <c r="AG6" s="640"/>
      <c r="AH6" s="640"/>
      <c r="AI6" s="640"/>
      <c r="AJ6" s="640"/>
      <c r="AK6" s="641"/>
      <c r="AL6" s="639">
        <v>2011</v>
      </c>
      <c r="AM6" s="640"/>
      <c r="AN6" s="640"/>
      <c r="AO6" s="640"/>
      <c r="AP6" s="640"/>
      <c r="AQ6" s="640"/>
      <c r="AR6" s="640"/>
      <c r="AS6" s="640"/>
      <c r="AT6" s="640"/>
      <c r="AU6" s="640"/>
      <c r="AV6" s="640"/>
      <c r="AW6" s="641"/>
    </row>
    <row r="7" spans="1:57">
      <c r="B7" s="211" t="s">
        <v>174</v>
      </c>
      <c r="C7" s="211" t="s">
        <v>174</v>
      </c>
      <c r="D7" s="211" t="s">
        <v>174</v>
      </c>
      <c r="E7" s="211" t="s">
        <v>174</v>
      </c>
      <c r="F7" s="211" t="s">
        <v>174</v>
      </c>
      <c r="G7" s="211" t="s">
        <v>174</v>
      </c>
      <c r="H7" s="211" t="s">
        <v>174</v>
      </c>
      <c r="I7" s="211" t="s">
        <v>174</v>
      </c>
      <c r="J7" s="211" t="s">
        <v>174</v>
      </c>
      <c r="K7" s="211" t="s">
        <v>174</v>
      </c>
      <c r="L7" s="211" t="s">
        <v>174</v>
      </c>
      <c r="M7" s="211" t="s">
        <v>174</v>
      </c>
      <c r="N7" s="211" t="s">
        <v>174</v>
      </c>
      <c r="O7" s="211" t="s">
        <v>174</v>
      </c>
      <c r="P7" s="211" t="s">
        <v>174</v>
      </c>
      <c r="Q7" s="211" t="s">
        <v>174</v>
      </c>
      <c r="R7" s="211" t="s">
        <v>174</v>
      </c>
      <c r="S7" s="211" t="s">
        <v>174</v>
      </c>
      <c r="T7" s="211" t="s">
        <v>174</v>
      </c>
      <c r="U7" s="211" t="s">
        <v>174</v>
      </c>
      <c r="V7" s="211" t="s">
        <v>174</v>
      </c>
      <c r="W7" s="211" t="s">
        <v>174</v>
      </c>
      <c r="X7" s="211" t="s">
        <v>174</v>
      </c>
      <c r="Y7" s="211" t="s">
        <v>174</v>
      </c>
      <c r="Z7" s="318" t="s">
        <v>174</v>
      </c>
      <c r="AA7" s="211" t="s">
        <v>174</v>
      </c>
      <c r="AB7" s="211" t="s">
        <v>174</v>
      </c>
      <c r="AC7" s="211" t="s">
        <v>174</v>
      </c>
      <c r="AD7" s="211" t="s">
        <v>174</v>
      </c>
      <c r="AE7" s="211" t="s">
        <v>174</v>
      </c>
      <c r="AF7" s="211" t="s">
        <v>174</v>
      </c>
      <c r="AG7" s="211" t="s">
        <v>174</v>
      </c>
      <c r="AH7" s="211" t="s">
        <v>174</v>
      </c>
      <c r="AI7" s="211" t="s">
        <v>174</v>
      </c>
      <c r="AJ7" s="211" t="s">
        <v>174</v>
      </c>
      <c r="AK7" s="211" t="s">
        <v>174</v>
      </c>
      <c r="AL7" s="318" t="s">
        <v>174</v>
      </c>
      <c r="AM7" s="211" t="s">
        <v>174</v>
      </c>
      <c r="AN7" s="211" t="s">
        <v>174</v>
      </c>
      <c r="AO7" s="211" t="s">
        <v>174</v>
      </c>
      <c r="AP7" s="211" t="s">
        <v>174</v>
      </c>
      <c r="AQ7" s="211" t="s">
        <v>174</v>
      </c>
      <c r="AR7" s="211" t="s">
        <v>174</v>
      </c>
      <c r="AS7" s="211" t="s">
        <v>174</v>
      </c>
      <c r="AT7" s="211" t="s">
        <v>174</v>
      </c>
      <c r="AU7" s="211" t="s">
        <v>174</v>
      </c>
      <c r="AV7" s="211" t="s">
        <v>174</v>
      </c>
      <c r="AW7" s="211" t="s">
        <v>174</v>
      </c>
    </row>
    <row r="8" spans="1:57" s="110" customFormat="1" ht="24" customHeight="1">
      <c r="A8" s="108"/>
      <c r="B8" s="109" t="s">
        <v>100</v>
      </c>
      <c r="C8" s="109" t="s">
        <v>76</v>
      </c>
      <c r="D8" s="109" t="s">
        <v>77</v>
      </c>
      <c r="E8" s="109" t="s">
        <v>78</v>
      </c>
      <c r="F8" s="109" t="s">
        <v>75</v>
      </c>
      <c r="G8" s="109" t="s">
        <v>79</v>
      </c>
      <c r="H8" s="109" t="s">
        <v>80</v>
      </c>
      <c r="I8" s="109" t="s">
        <v>81</v>
      </c>
      <c r="J8" s="109" t="s">
        <v>82</v>
      </c>
      <c r="K8" s="109" t="s">
        <v>83</v>
      </c>
      <c r="L8" s="109" t="s">
        <v>84</v>
      </c>
      <c r="M8" s="109" t="s">
        <v>101</v>
      </c>
      <c r="N8" s="109" t="s">
        <v>100</v>
      </c>
      <c r="O8" s="109" t="s">
        <v>76</v>
      </c>
      <c r="P8" s="109" t="s">
        <v>77</v>
      </c>
      <c r="Q8" s="109" t="s">
        <v>78</v>
      </c>
      <c r="R8" s="109" t="s">
        <v>75</v>
      </c>
      <c r="S8" s="109" t="s">
        <v>79</v>
      </c>
      <c r="T8" s="109" t="s">
        <v>80</v>
      </c>
      <c r="U8" s="109" t="s">
        <v>81</v>
      </c>
      <c r="V8" s="109" t="s">
        <v>82</v>
      </c>
      <c r="W8" s="109" t="s">
        <v>83</v>
      </c>
      <c r="X8" s="109" t="s">
        <v>84</v>
      </c>
      <c r="Y8" s="109" t="s">
        <v>101</v>
      </c>
      <c r="Z8" s="109" t="s">
        <v>100</v>
      </c>
      <c r="AA8" s="109" t="s">
        <v>76</v>
      </c>
      <c r="AB8" s="109" t="s">
        <v>77</v>
      </c>
      <c r="AC8" s="109" t="s">
        <v>78</v>
      </c>
      <c r="AD8" s="109" t="s">
        <v>75</v>
      </c>
      <c r="AE8" s="109" t="s">
        <v>79</v>
      </c>
      <c r="AF8" s="109" t="s">
        <v>80</v>
      </c>
      <c r="AG8" s="109" t="s">
        <v>81</v>
      </c>
      <c r="AH8" s="109" t="s">
        <v>82</v>
      </c>
      <c r="AI8" s="109" t="s">
        <v>83</v>
      </c>
      <c r="AJ8" s="109" t="s">
        <v>84</v>
      </c>
      <c r="AK8" s="109" t="s">
        <v>101</v>
      </c>
      <c r="AL8" s="109" t="s">
        <v>100</v>
      </c>
      <c r="AM8" s="109" t="s">
        <v>76</v>
      </c>
      <c r="AN8" s="109" t="s">
        <v>77</v>
      </c>
      <c r="AO8" s="109" t="s">
        <v>78</v>
      </c>
      <c r="AP8" s="109" t="s">
        <v>75</v>
      </c>
      <c r="AQ8" s="109" t="s">
        <v>79</v>
      </c>
      <c r="AR8" s="109" t="s">
        <v>80</v>
      </c>
      <c r="AS8" s="109" t="s">
        <v>81</v>
      </c>
      <c r="AT8" s="109" t="s">
        <v>82</v>
      </c>
      <c r="AU8" s="109" t="s">
        <v>83</v>
      </c>
      <c r="AV8" s="109" t="s">
        <v>84</v>
      </c>
      <c r="AW8" s="109" t="s">
        <v>101</v>
      </c>
    </row>
    <row r="9" spans="1:57" s="113" customFormat="1" ht="15">
      <c r="A9" s="111"/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</row>
    <row r="10" spans="1:57" s="108" customFormat="1" ht="15">
      <c r="A10" s="114" t="s">
        <v>10</v>
      </c>
      <c r="B10" s="185">
        <v>0</v>
      </c>
      <c r="C10" s="185">
        <f>B18</f>
        <v>0</v>
      </c>
      <c r="D10" s="185">
        <f>C18</f>
        <v>0</v>
      </c>
      <c r="E10" s="185">
        <f>D18+D23</f>
        <v>-86.856810774155036</v>
      </c>
      <c r="F10" s="185">
        <f>E18</f>
        <v>-1871.5632813123693</v>
      </c>
      <c r="G10" s="185">
        <f>F18</f>
        <v>-3512.356315858096</v>
      </c>
      <c r="H10" s="185">
        <f>G18+G23</f>
        <v>-5056.5722971111409</v>
      </c>
      <c r="I10" s="185">
        <f>H18</f>
        <v>-6716.3754922069529</v>
      </c>
      <c r="J10" s="185">
        <f>I18</f>
        <v>-7777.2898831433649</v>
      </c>
      <c r="K10" s="185">
        <f>J18+J23</f>
        <v>-9021.9828112635241</v>
      </c>
      <c r="L10" s="185">
        <f>K18</f>
        <v>-9624.0263561279062</v>
      </c>
      <c r="M10" s="185">
        <f>L18</f>
        <v>-9079.3481953097398</v>
      </c>
      <c r="N10" s="247">
        <f>M18+M23</f>
        <v>-8983.8565908469263</v>
      </c>
      <c r="O10" s="246">
        <f>N18</f>
        <v>-7761.0997920346126</v>
      </c>
      <c r="P10" s="246">
        <f>O18</f>
        <v>-5980.8294942291395</v>
      </c>
      <c r="Q10" s="246">
        <f>P18+P23</f>
        <v>-4380.8915664502256</v>
      </c>
      <c r="R10" s="246">
        <f>Q18</f>
        <v>-2379.2671019256072</v>
      </c>
      <c r="S10" s="246">
        <f>R18</f>
        <v>-1934.6863548890688</v>
      </c>
      <c r="T10" s="246">
        <f>S18+S23</f>
        <v>-1466.3364557930702</v>
      </c>
      <c r="U10" s="246">
        <f>T18</f>
        <v>-1028.1403302528881</v>
      </c>
      <c r="V10" s="246">
        <f>U18</f>
        <v>-426.94826731569151</v>
      </c>
      <c r="W10" s="246">
        <f>V18+V23</f>
        <v>223.05911197167029</v>
      </c>
      <c r="X10" s="246">
        <f>W18</f>
        <v>712.08440628983112</v>
      </c>
      <c r="Y10" s="246">
        <f>X18</f>
        <v>663.60895750887516</v>
      </c>
      <c r="Z10" s="247">
        <f>Y18+Y23</f>
        <v>-604.42730766959278</v>
      </c>
      <c r="AA10" s="246">
        <f>Z18</f>
        <v>-1975.9898023249489</v>
      </c>
      <c r="AB10" s="246">
        <f>AA18</f>
        <v>-3250.2470726621214</v>
      </c>
      <c r="AC10" s="246">
        <f>AB18+AB23</f>
        <v>-4584.4839566227238</v>
      </c>
      <c r="AD10" s="246">
        <f>AC18</f>
        <v>-5254.6649676176521</v>
      </c>
      <c r="AE10" s="246">
        <f>AD18</f>
        <v>-5333.8518193788304</v>
      </c>
      <c r="AF10" s="246">
        <f>AE18+AE23</f>
        <v>-5964.074656067216</v>
      </c>
      <c r="AG10" s="246">
        <f>AF18</f>
        <v>-6630.2887906850574</v>
      </c>
      <c r="AH10" s="246">
        <f>AG18</f>
        <v>-7167.9346958722317</v>
      </c>
      <c r="AI10" s="246">
        <f>AH18+AH23</f>
        <v>-7194.0400293966022</v>
      </c>
      <c r="AJ10" s="246">
        <f>AI18</f>
        <v>-6457.0439804363486</v>
      </c>
      <c r="AK10" s="423">
        <f>AJ18</f>
        <v>-4757.8890086880292</v>
      </c>
      <c r="AL10" s="424">
        <f>AK18+AK23</f>
        <v>-2468.7711720919751</v>
      </c>
      <c r="AM10" s="423">
        <f>AL18</f>
        <v>691.43587284034629</v>
      </c>
      <c r="AN10" s="423">
        <f>AM18</f>
        <v>4803.5082653592799</v>
      </c>
      <c r="AO10" s="423">
        <f>AN18+AN23</f>
        <v>5657.2835316112369</v>
      </c>
      <c r="AP10" s="423">
        <f>AO18</f>
        <v>2882.3629224454116</v>
      </c>
      <c r="AQ10" s="423">
        <f>AP18</f>
        <v>536.60422772534639</v>
      </c>
      <c r="AR10" s="423">
        <f>AQ18+AQ23</f>
        <v>-2035.7113132914028</v>
      </c>
      <c r="AS10" s="423">
        <f>AR18</f>
        <v>-4856.343732647133</v>
      </c>
      <c r="AT10" s="423">
        <f>AS18</f>
        <v>-9293.4079723866926</v>
      </c>
      <c r="AU10" s="423">
        <f>AT18+AT23</f>
        <v>-12576.568184669935</v>
      </c>
      <c r="AV10" s="423">
        <f>AU18</f>
        <v>-12556.510271555291</v>
      </c>
      <c r="AW10" s="423">
        <f>AV18</f>
        <v>-6274.8197797107114</v>
      </c>
      <c r="AX10" s="342"/>
      <c r="AY10" s="342"/>
      <c r="AZ10" s="342"/>
      <c r="BA10" s="342"/>
      <c r="BB10" s="342"/>
      <c r="BC10" s="342"/>
      <c r="BD10" s="342"/>
      <c r="BE10" s="342"/>
    </row>
    <row r="11" spans="1:57" s="108" customFormat="1" ht="15"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AK11" s="342"/>
      <c r="AL11" s="342"/>
      <c r="AM11" s="342"/>
      <c r="AN11" s="342"/>
      <c r="AO11" s="342"/>
      <c r="AP11" s="342"/>
      <c r="AQ11" s="342"/>
      <c r="AR11" s="342"/>
      <c r="AS11" s="342"/>
      <c r="AT11" s="342"/>
      <c r="AU11" s="342"/>
      <c r="AV11" s="342"/>
      <c r="AW11" s="342"/>
      <c r="AX11" s="342"/>
      <c r="AY11" s="342"/>
      <c r="AZ11" s="342"/>
      <c r="BA11" s="342"/>
      <c r="BB11" s="342"/>
      <c r="BC11" s="342"/>
      <c r="BD11" s="342"/>
      <c r="BE11" s="342"/>
    </row>
    <row r="12" spans="1:57" s="108" customFormat="1" ht="15.75">
      <c r="A12" s="108" t="s">
        <v>102</v>
      </c>
      <c r="B12" s="229">
        <f>'Monthly Entry'!C27</f>
        <v>0</v>
      </c>
      <c r="C12" s="229">
        <f>'Monthly Entry'!D27</f>
        <v>0</v>
      </c>
      <c r="D12" s="229">
        <f>'Monthly Entry'!E27</f>
        <v>1435.9104174383156</v>
      </c>
      <c r="E12" s="229">
        <f>'Monthly Entry'!F27</f>
        <v>1750.3495754883286</v>
      </c>
      <c r="F12" s="229">
        <f>'Monthly Entry'!G27</f>
        <v>1922.8609354327746</v>
      </c>
      <c r="G12" s="229">
        <f>'Monthly Entry'!H27</f>
        <v>2270.9423681649646</v>
      </c>
      <c r="H12" s="229">
        <f>'Monthly Entry'!I27</f>
        <v>2830.8181045994934</v>
      </c>
      <c r="I12" s="229">
        <f>'Monthly Entry'!J27</f>
        <v>3121.3140643919992</v>
      </c>
      <c r="J12" s="229">
        <f>'Monthly Entry'!K27</f>
        <v>3172.8190272461143</v>
      </c>
      <c r="K12" s="229">
        <f>'Monthly Entry'!L27</f>
        <v>3403.4047969145695</v>
      </c>
      <c r="L12" s="229">
        <f>'Monthly Entry'!M27</f>
        <v>3687.5347603033201</v>
      </c>
      <c r="M12" s="229">
        <f>'Monthly Entry'!N27</f>
        <v>4075.2351235649098</v>
      </c>
      <c r="N12" s="229">
        <f>'Monthly Entry'!O27</f>
        <v>4317.5583879168335</v>
      </c>
      <c r="O12" s="229">
        <f>'Monthly Entry'!P27</f>
        <v>4412.6833625756217</v>
      </c>
      <c r="P12" s="229">
        <f>'Monthly Entry'!Q27</f>
        <v>4584.9772360063835</v>
      </c>
      <c r="Q12" s="229">
        <f>'Monthly Entry'!R27</f>
        <v>4895.2463412614788</v>
      </c>
      <c r="R12" s="229">
        <f>'Monthly Entry'!S27</f>
        <v>3375.5662102652623</v>
      </c>
      <c r="S12" s="229">
        <f>'Monthly Entry'!T27</f>
        <v>3687.9685621766971</v>
      </c>
      <c r="T12" s="229">
        <f>'Monthly Entry'!U27</f>
        <v>3991.7906485555854</v>
      </c>
      <c r="U12" s="229">
        <f>'Monthly Entry'!V27</f>
        <v>4213.6192316913011</v>
      </c>
      <c r="V12" s="229">
        <f>'Monthly Entry'!W27</f>
        <v>4411.9022142902031</v>
      </c>
      <c r="W12" s="229">
        <f>'Monthly Entry'!X27</f>
        <v>3868.707840637443</v>
      </c>
      <c r="X12" s="229">
        <f>'Monthly Entry'!Y27</f>
        <v>2736.3315201724927</v>
      </c>
      <c r="Y12" s="229">
        <f>'Monthly Entry'!Z27</f>
        <v>1980.1700760970007</v>
      </c>
      <c r="Z12" s="229">
        <f>'Monthly Entry'!AA27</f>
        <v>1745.6518483038806</v>
      </c>
      <c r="AA12" s="229">
        <f>'Monthly Entry'!AB27</f>
        <v>1936.248555513037</v>
      </c>
      <c r="AB12" s="229">
        <f>'Monthly Entry'!AC27</f>
        <v>2151.1958208641709</v>
      </c>
      <c r="AC12" s="229">
        <f>'Monthly Entry'!AD27</f>
        <v>2402.5349886281956</v>
      </c>
      <c r="AD12" s="229">
        <f>'Monthly Entry'!AE27</f>
        <v>2750.0375459740931</v>
      </c>
      <c r="AE12" s="229">
        <f>'Monthly Entry'!AF27</f>
        <v>3050.8201201051638</v>
      </c>
      <c r="AF12" s="229">
        <f>'Monthly Entry'!AG27</f>
        <v>3470.0961605509156</v>
      </c>
      <c r="AG12" s="229">
        <f>'Monthly Entry'!AH27</f>
        <v>3995.4475055798839</v>
      </c>
      <c r="AH12" s="229">
        <f>'Monthly Entry'!AI27</f>
        <v>4398.5695267756564</v>
      </c>
      <c r="AI12" s="229">
        <f>'Monthly Entry'!AJ27</f>
        <v>4829.1908736439837</v>
      </c>
      <c r="AJ12" s="229">
        <f>'Monthly Entry'!AK27</f>
        <v>5378.2580917790174</v>
      </c>
      <c r="AK12" s="425">
        <f>'Monthly Entry'!AL27</f>
        <v>6342.8992255077101</v>
      </c>
      <c r="AL12" s="425">
        <f>'Monthly Entry'!AM27</f>
        <v>6998.7231601730673</v>
      </c>
      <c r="AM12" s="425">
        <f>'Monthly Entry'!AN27</f>
        <v>7418.8597341085206</v>
      </c>
      <c r="AN12" s="425">
        <f>'Monthly Entry'!AO27</f>
        <v>7990.567271623192</v>
      </c>
      <c r="AO12" s="425">
        <f>'Monthly Entry'!AP27</f>
        <v>8602.3933247196328</v>
      </c>
      <c r="AP12" s="425">
        <f>'Monthly Entry'!AQ27</f>
        <v>9184.8089290448825</v>
      </c>
      <c r="AQ12" s="425">
        <f>'Monthly Entry'!AR27</f>
        <v>9624.6871784825344</v>
      </c>
      <c r="AR12" s="425">
        <f>'Monthly Entry'!AS27</f>
        <v>10004.739468512435</v>
      </c>
      <c r="AS12" s="425">
        <f>'Monthly Entry'!AT27</f>
        <v>10495.149043752986</v>
      </c>
      <c r="AT12" s="425">
        <f>'Monthly Entry'!AU27</f>
        <v>11107.398407034369</v>
      </c>
      <c r="AU12" s="425">
        <f>'Monthly Entry'!AV27</f>
        <v>11841.946311389838</v>
      </c>
      <c r="AV12" s="425">
        <f>'Monthly Entry'!AW27</f>
        <v>12646.426670484701</v>
      </c>
      <c r="AW12" s="425">
        <f>'Monthly Entry'!AX27</f>
        <v>13631.780782565032</v>
      </c>
      <c r="AX12" s="342"/>
      <c r="AY12" s="342"/>
      <c r="AZ12" s="342"/>
      <c r="BA12" s="342"/>
      <c r="BB12" s="342"/>
      <c r="BC12" s="342"/>
      <c r="BD12" s="342"/>
      <c r="BE12" s="342"/>
    </row>
    <row r="13" spans="1:57" s="108" customFormat="1" ht="15.75"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AK13" s="342"/>
      <c r="AL13" s="342"/>
      <c r="AM13" s="342"/>
      <c r="AN13" s="342"/>
      <c r="AO13" s="342"/>
      <c r="AP13" s="342"/>
      <c r="AQ13" s="342"/>
      <c r="AR13" s="342"/>
      <c r="AS13" s="342"/>
      <c r="AT13" s="342"/>
      <c r="AU13" s="342"/>
      <c r="AV13" s="342"/>
      <c r="AW13" s="342"/>
      <c r="AX13" s="342"/>
      <c r="AY13" s="342"/>
      <c r="AZ13" s="342"/>
      <c r="BA13" s="342"/>
      <c r="BB13" s="342"/>
      <c r="BC13" s="342"/>
      <c r="BD13" s="342"/>
      <c r="BE13" s="342"/>
    </row>
    <row r="14" spans="1:57" s="108" customFormat="1" ht="15.75">
      <c r="A14" s="114" t="s">
        <v>175</v>
      </c>
      <c r="B14" s="230">
        <f>'Monthly Entry'!C30</f>
        <v>0</v>
      </c>
      <c r="C14" s="230">
        <f>'Monthly Entry'!D30</f>
        <v>0</v>
      </c>
      <c r="D14" s="230">
        <f>'Monthly Entry'!E30</f>
        <v>-1522.4872963041378</v>
      </c>
      <c r="E14" s="230">
        <f>'Monthly Entry'!F30</f>
        <v>-3535.0560460265428</v>
      </c>
      <c r="F14" s="230">
        <f>'Monthly Entry'!G30</f>
        <v>-3563.6539699785012</v>
      </c>
      <c r="G14" s="230">
        <f>'Monthly Entry'!H30</f>
        <v>-3770.4015648452951</v>
      </c>
      <c r="H14" s="230">
        <f>'Monthly Entry'!I30</f>
        <v>-4490.6212996953054</v>
      </c>
      <c r="I14" s="230">
        <f>'Monthly Entry'!J30</f>
        <v>-4182.2284553284117</v>
      </c>
      <c r="J14" s="230">
        <f>'Monthly Entry'!K30</f>
        <v>-4322.6176822805464</v>
      </c>
      <c r="K14" s="230">
        <f>'Monthly Entry'!L30</f>
        <v>-4005.4483417789525</v>
      </c>
      <c r="L14" s="230">
        <f>'Monthly Entry'!M30</f>
        <v>-3142.8565994851542</v>
      </c>
      <c r="M14" s="230">
        <f>'Monthly Entry'!N30</f>
        <v>-3864.5406323973439</v>
      </c>
      <c r="N14" s="230">
        <f>'Monthly Entry'!O30</f>
        <v>-3094.8015891045202</v>
      </c>
      <c r="O14" s="230">
        <f>'Monthly Entry'!P30</f>
        <v>-2632.4130647701486</v>
      </c>
      <c r="P14" s="230">
        <f>'Monthly Entry'!Q30</f>
        <v>-2908.2523809327045</v>
      </c>
      <c r="Q14" s="230">
        <f>'Monthly Entry'!R30</f>
        <v>-2893.6218767368605</v>
      </c>
      <c r="R14" s="230">
        <f>'Monthly Entry'!S30</f>
        <v>-2930.9854632287238</v>
      </c>
      <c r="S14" s="230">
        <f>'Monthly Entry'!T30</f>
        <v>-3199.3216614813232</v>
      </c>
      <c r="T14" s="230">
        <f>'Monthly Entry'!U30</f>
        <v>-3553.5945230154034</v>
      </c>
      <c r="U14" s="230">
        <f>'Monthly Entry'!V30</f>
        <v>-3612.4271687541045</v>
      </c>
      <c r="V14" s="230">
        <f>'Monthly Entry'!W30</f>
        <v>-3756.2779714840167</v>
      </c>
      <c r="W14" s="230">
        <f>'Monthly Entry'!X30</f>
        <v>-3379.6825463192822</v>
      </c>
      <c r="X14" s="230">
        <f>'Monthly Entry'!Y30</f>
        <v>-2784.8069689534486</v>
      </c>
      <c r="Y14" s="230">
        <f>'Monthly Entry'!Z30</f>
        <v>-3251.4114011854545</v>
      </c>
      <c r="Z14" s="230">
        <f>'Monthly Entry'!AA30</f>
        <v>-3117.2143429592365</v>
      </c>
      <c r="AA14" s="230">
        <f>'Monthly Entry'!AB30</f>
        <v>-3210.5058258502095</v>
      </c>
      <c r="AB14" s="230">
        <f>'Monthly Entry'!AC30</f>
        <v>-3464.2803064906984</v>
      </c>
      <c r="AC14" s="230">
        <f>'Monthly Entry'!AD30</f>
        <v>-3072.7159996231239</v>
      </c>
      <c r="AD14" s="230">
        <f>'Monthly Entry'!AE30</f>
        <v>-2829.2243977352714</v>
      </c>
      <c r="AE14" s="230">
        <f>'Monthly Entry'!AF30</f>
        <v>-3638.1393160542507</v>
      </c>
      <c r="AF14" s="230">
        <f>'Monthly Entry'!AG30</f>
        <v>-4136.310295168757</v>
      </c>
      <c r="AG14" s="230">
        <f>'Monthly Entry'!AH30</f>
        <v>-4533.0934107670582</v>
      </c>
      <c r="AH14" s="230">
        <f>'Monthly Entry'!AI30</f>
        <v>-4369.5610247064014</v>
      </c>
      <c r="AI14" s="230">
        <f>'Monthly Entry'!AJ30</f>
        <v>-4092.1948246837296</v>
      </c>
      <c r="AJ14" s="230">
        <f>'Monthly Entry'!AK30</f>
        <v>-3679.1031200306984</v>
      </c>
      <c r="AK14" s="426">
        <f>'Monthly Entry'!AL30</f>
        <v>-4010.3813261490859</v>
      </c>
      <c r="AL14" s="426">
        <f>'Monthly Entry'!AM30</f>
        <v>-3838.5161152407459</v>
      </c>
      <c r="AM14" s="426">
        <f>'Monthly Entry'!AN30</f>
        <v>-3306.787341589586</v>
      </c>
      <c r="AN14" s="426">
        <f>'Monthly Entry'!AO30</f>
        <v>-7155.9659581712913</v>
      </c>
      <c r="AO14" s="426">
        <f>'Monthly Entry'!AP30</f>
        <v>-11377.313933885458</v>
      </c>
      <c r="AP14" s="426">
        <f>'Monthly Entry'!AQ30</f>
        <v>-11530.567623764948</v>
      </c>
      <c r="AQ14" s="426">
        <f>'Monthly Entry'!AR30</f>
        <v>-12211.147480213171</v>
      </c>
      <c r="AR14" s="426">
        <f>'Monthly Entry'!AS30</f>
        <v>-12825.371887868165</v>
      </c>
      <c r="AS14" s="426">
        <f>'Monthly Entry'!AT30</f>
        <v>-14932.213283492547</v>
      </c>
      <c r="AT14" s="426">
        <f>'Monthly Entry'!AU30</f>
        <v>-14332.527497107649</v>
      </c>
      <c r="AU14" s="426">
        <f>'Monthly Entry'!AV30</f>
        <v>-11821.888398275194</v>
      </c>
      <c r="AV14" s="426">
        <f>'Monthly Entry'!AW30</f>
        <v>-6364.7361786401216</v>
      </c>
      <c r="AW14" s="426">
        <f>'Monthly Entry'!AX30</f>
        <v>-12372.637668586422</v>
      </c>
      <c r="AX14" s="342"/>
      <c r="AY14" s="342"/>
      <c r="AZ14" s="342"/>
      <c r="BA14" s="342"/>
      <c r="BB14" s="342"/>
      <c r="BC14" s="342"/>
      <c r="BD14" s="342"/>
      <c r="BE14" s="342"/>
    </row>
    <row r="15" spans="1:57" s="108" customFormat="1" ht="15">
      <c r="A15" s="114"/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AL15" s="342"/>
      <c r="AM15" s="342"/>
      <c r="AN15" s="342"/>
      <c r="AO15" s="342"/>
      <c r="AP15" s="342"/>
      <c r="AQ15" s="342"/>
      <c r="AR15" s="342"/>
      <c r="AS15" s="342"/>
      <c r="AT15" s="342"/>
      <c r="AU15" s="342"/>
      <c r="AV15" s="342"/>
      <c r="AW15" s="342"/>
      <c r="AX15" s="342"/>
      <c r="AY15" s="342"/>
      <c r="AZ15" s="342"/>
      <c r="BA15" s="342"/>
      <c r="BB15" s="342"/>
      <c r="BC15" s="342"/>
      <c r="BD15" s="342"/>
      <c r="BE15" s="342"/>
    </row>
    <row r="16" spans="1:57" s="108" customFormat="1" ht="15">
      <c r="A16" s="114" t="s">
        <v>103</v>
      </c>
      <c r="B16" s="185">
        <f>B12+B14</f>
        <v>0</v>
      </c>
      <c r="C16" s="185">
        <f t="shared" ref="C16:Y16" si="0">C12+C14</f>
        <v>0</v>
      </c>
      <c r="D16" s="185">
        <f t="shared" si="0"/>
        <v>-86.576878865822209</v>
      </c>
      <c r="E16" s="185">
        <f t="shared" si="0"/>
        <v>-1784.7064705382143</v>
      </c>
      <c r="F16" s="185">
        <f t="shared" si="0"/>
        <v>-1640.7930345457266</v>
      </c>
      <c r="G16" s="185">
        <f t="shared" si="0"/>
        <v>-1499.4591966803305</v>
      </c>
      <c r="H16" s="185">
        <f t="shared" si="0"/>
        <v>-1659.803195095812</v>
      </c>
      <c r="I16" s="185">
        <f t="shared" si="0"/>
        <v>-1060.9143909364125</v>
      </c>
      <c r="J16" s="185">
        <f t="shared" si="0"/>
        <v>-1149.7986550344322</v>
      </c>
      <c r="K16" s="185">
        <f t="shared" si="0"/>
        <v>-602.04354486438297</v>
      </c>
      <c r="L16" s="185">
        <f t="shared" si="0"/>
        <v>544.67816081816591</v>
      </c>
      <c r="M16" s="185">
        <f t="shared" si="0"/>
        <v>210.69449116756596</v>
      </c>
      <c r="N16" s="185">
        <f t="shared" si="0"/>
        <v>1222.7567988123133</v>
      </c>
      <c r="O16" s="185">
        <f t="shared" si="0"/>
        <v>1780.2702978054731</v>
      </c>
      <c r="P16" s="185">
        <f t="shared" si="0"/>
        <v>1676.724855073679</v>
      </c>
      <c r="Q16" s="185">
        <f t="shared" si="0"/>
        <v>2001.6244645246184</v>
      </c>
      <c r="R16" s="185">
        <f t="shared" si="0"/>
        <v>444.58074703653847</v>
      </c>
      <c r="S16" s="185">
        <f t="shared" si="0"/>
        <v>488.64690069537392</v>
      </c>
      <c r="T16" s="185">
        <f>T12+T14</f>
        <v>438.19612554018204</v>
      </c>
      <c r="U16" s="185">
        <f t="shared" si="0"/>
        <v>601.19206293719662</v>
      </c>
      <c r="V16" s="185">
        <f t="shared" si="0"/>
        <v>655.62424280618643</v>
      </c>
      <c r="W16" s="185">
        <f t="shared" si="0"/>
        <v>489.02529431816083</v>
      </c>
      <c r="X16" s="185">
        <f t="shared" si="0"/>
        <v>-48.475448780955958</v>
      </c>
      <c r="Y16" s="185">
        <f t="shared" si="0"/>
        <v>-1271.2413250884538</v>
      </c>
      <c r="Z16" s="185">
        <f t="shared" ref="Z16:AE16" si="1">Z12+Z14</f>
        <v>-1371.562494655356</v>
      </c>
      <c r="AA16" s="185">
        <f t="shared" si="1"/>
        <v>-1274.2572703371725</v>
      </c>
      <c r="AB16" s="185">
        <f t="shared" si="1"/>
        <v>-1313.0844856265276</v>
      </c>
      <c r="AC16" s="185">
        <f t="shared" si="1"/>
        <v>-670.18101099492833</v>
      </c>
      <c r="AD16" s="185">
        <f t="shared" si="1"/>
        <v>-79.186851761178332</v>
      </c>
      <c r="AE16" s="185">
        <f t="shared" si="1"/>
        <v>-587.31919594908686</v>
      </c>
      <c r="AF16" s="185">
        <f t="shared" ref="AF16:AQ16" si="2">AF12+AF14</f>
        <v>-666.21413461784141</v>
      </c>
      <c r="AG16" s="185">
        <f t="shared" si="2"/>
        <v>-537.64590518717432</v>
      </c>
      <c r="AH16" s="185">
        <f t="shared" si="2"/>
        <v>29.008502069254973</v>
      </c>
      <c r="AI16" s="185">
        <f t="shared" si="2"/>
        <v>736.99604896025403</v>
      </c>
      <c r="AJ16" s="185">
        <f t="shared" si="2"/>
        <v>1699.154971748319</v>
      </c>
      <c r="AK16" s="185">
        <f t="shared" si="2"/>
        <v>2332.5178993586242</v>
      </c>
      <c r="AL16" s="267">
        <f>AL12+AL14</f>
        <v>3160.2070449323214</v>
      </c>
      <c r="AM16" s="267">
        <f>AM12+AM14</f>
        <v>4112.0723925189341</v>
      </c>
      <c r="AN16" s="267">
        <f>AN12+AN14</f>
        <v>834.60131345190075</v>
      </c>
      <c r="AO16" s="267">
        <f t="shared" si="2"/>
        <v>-2774.9206091658252</v>
      </c>
      <c r="AP16" s="267">
        <f>AP12+AP14</f>
        <v>-2345.7586947200653</v>
      </c>
      <c r="AQ16" s="267">
        <f t="shared" si="2"/>
        <v>-2586.4603017306363</v>
      </c>
      <c r="AR16" s="267">
        <f t="shared" ref="AR16:AW16" si="3">AR12+AR14</f>
        <v>-2820.6324193557302</v>
      </c>
      <c r="AS16" s="267">
        <f t="shared" si="3"/>
        <v>-4437.0642397395604</v>
      </c>
      <c r="AT16" s="267">
        <f t="shared" si="3"/>
        <v>-3225.1290900732802</v>
      </c>
      <c r="AU16" s="267">
        <f t="shared" si="3"/>
        <v>20.05791311464418</v>
      </c>
      <c r="AV16" s="267">
        <f t="shared" si="3"/>
        <v>6281.6904918445798</v>
      </c>
      <c r="AW16" s="267">
        <f t="shared" si="3"/>
        <v>1259.1431139786109</v>
      </c>
      <c r="AX16" s="342"/>
      <c r="AY16" s="342"/>
      <c r="AZ16" s="342"/>
      <c r="BA16" s="342"/>
      <c r="BB16" s="342"/>
      <c r="BC16" s="342"/>
      <c r="BD16" s="342"/>
      <c r="BE16" s="342"/>
    </row>
    <row r="17" spans="1:57" s="108" customFormat="1" ht="15">
      <c r="A17" s="114"/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AL17" s="342"/>
      <c r="AM17" s="342"/>
      <c r="AN17" s="342"/>
      <c r="AO17" s="342"/>
      <c r="AP17" s="342"/>
      <c r="AQ17" s="342"/>
      <c r="AR17" s="342"/>
      <c r="AS17" s="342"/>
      <c r="AT17" s="342"/>
      <c r="AU17" s="342"/>
      <c r="AV17" s="342"/>
      <c r="AW17" s="342"/>
      <c r="AX17" s="342"/>
      <c r="AY17" s="342"/>
      <c r="AZ17" s="342"/>
      <c r="BA17" s="342"/>
      <c r="BB17" s="342"/>
      <c r="BC17" s="342"/>
      <c r="BD17" s="342"/>
      <c r="BE17" s="342"/>
    </row>
    <row r="18" spans="1:57" s="108" customFormat="1" ht="15">
      <c r="A18" s="114" t="s">
        <v>11</v>
      </c>
      <c r="B18" s="185">
        <f t="shared" ref="B18:Y18" si="4">B10+B16</f>
        <v>0</v>
      </c>
      <c r="C18" s="185">
        <f t="shared" si="4"/>
        <v>0</v>
      </c>
      <c r="D18" s="231">
        <f t="shared" si="4"/>
        <v>-86.576878865822209</v>
      </c>
      <c r="E18" s="231">
        <f t="shared" si="4"/>
        <v>-1871.5632813123693</v>
      </c>
      <c r="F18" s="231">
        <f t="shared" si="4"/>
        <v>-3512.356315858096</v>
      </c>
      <c r="G18" s="231">
        <f t="shared" si="4"/>
        <v>-5011.8155125384264</v>
      </c>
      <c r="H18" s="231">
        <f t="shared" si="4"/>
        <v>-6716.3754922069529</v>
      </c>
      <c r="I18" s="231">
        <f t="shared" si="4"/>
        <v>-7777.2898831433649</v>
      </c>
      <c r="J18" s="231">
        <f t="shared" si="4"/>
        <v>-8927.0885381777971</v>
      </c>
      <c r="K18" s="231">
        <f t="shared" si="4"/>
        <v>-9624.0263561279062</v>
      </c>
      <c r="L18" s="231">
        <f t="shared" si="4"/>
        <v>-9079.3481953097398</v>
      </c>
      <c r="M18" s="231">
        <f t="shared" si="4"/>
        <v>-8868.6537041421743</v>
      </c>
      <c r="N18" s="231">
        <f t="shared" si="4"/>
        <v>-7761.0997920346126</v>
      </c>
      <c r="O18" s="231">
        <f t="shared" si="4"/>
        <v>-5980.8294942291395</v>
      </c>
      <c r="P18" s="231">
        <f t="shared" si="4"/>
        <v>-4304.104639155461</v>
      </c>
      <c r="Q18" s="231">
        <f t="shared" si="4"/>
        <v>-2379.2671019256072</v>
      </c>
      <c r="R18" s="231">
        <f t="shared" si="4"/>
        <v>-1934.6863548890688</v>
      </c>
      <c r="S18" s="231">
        <f t="shared" si="4"/>
        <v>-1446.0394541936948</v>
      </c>
      <c r="T18" s="231">
        <f t="shared" si="4"/>
        <v>-1028.1403302528881</v>
      </c>
      <c r="U18" s="231">
        <f t="shared" si="4"/>
        <v>-426.94826731569151</v>
      </c>
      <c r="V18" s="231">
        <f t="shared" si="4"/>
        <v>228.67597549049492</v>
      </c>
      <c r="W18" s="231">
        <f t="shared" si="4"/>
        <v>712.08440628983112</v>
      </c>
      <c r="X18" s="231">
        <f t="shared" si="4"/>
        <v>663.60895750887516</v>
      </c>
      <c r="Y18" s="231">
        <f t="shared" si="4"/>
        <v>-607.63236757957861</v>
      </c>
      <c r="Z18" s="231">
        <f t="shared" ref="Z18:AK18" si="5">Z10+Z16</f>
        <v>-1975.9898023249489</v>
      </c>
      <c r="AA18" s="231">
        <f t="shared" si="5"/>
        <v>-3250.2470726621214</v>
      </c>
      <c r="AB18" s="231">
        <f t="shared" si="5"/>
        <v>-4563.3315582886489</v>
      </c>
      <c r="AC18" s="231">
        <f t="shared" si="5"/>
        <v>-5254.6649676176521</v>
      </c>
      <c r="AD18" s="231">
        <f t="shared" si="5"/>
        <v>-5333.8518193788304</v>
      </c>
      <c r="AE18" s="231">
        <f t="shared" si="5"/>
        <v>-5921.1710153279173</v>
      </c>
      <c r="AF18" s="231">
        <f t="shared" si="5"/>
        <v>-6630.2887906850574</v>
      </c>
      <c r="AG18" s="231">
        <f t="shared" si="5"/>
        <v>-7167.9346958722317</v>
      </c>
      <c r="AH18" s="231">
        <f t="shared" si="5"/>
        <v>-7138.9261938029767</v>
      </c>
      <c r="AI18" s="231">
        <f t="shared" si="5"/>
        <v>-6457.0439804363486</v>
      </c>
      <c r="AJ18" s="231">
        <f t="shared" si="5"/>
        <v>-4757.8890086880292</v>
      </c>
      <c r="AK18" s="231">
        <f t="shared" si="5"/>
        <v>-2425.371109329405</v>
      </c>
      <c r="AL18" s="231">
        <f>AL10+AL16</f>
        <v>691.43587284034629</v>
      </c>
      <c r="AM18" s="231">
        <f t="shared" ref="AM18:AW18" si="6">AM10+AM16</f>
        <v>4803.5082653592799</v>
      </c>
      <c r="AN18" s="231">
        <f t="shared" si="6"/>
        <v>5638.1095788111807</v>
      </c>
      <c r="AO18" s="231">
        <f>AO10+AO16</f>
        <v>2882.3629224454116</v>
      </c>
      <c r="AP18" s="231">
        <f t="shared" si="6"/>
        <v>536.60422772534639</v>
      </c>
      <c r="AQ18" s="231">
        <f t="shared" si="6"/>
        <v>-2049.8560740052899</v>
      </c>
      <c r="AR18" s="231">
        <f t="shared" si="6"/>
        <v>-4856.343732647133</v>
      </c>
      <c r="AS18" s="231">
        <f t="shared" si="6"/>
        <v>-9293.4079723866926</v>
      </c>
      <c r="AT18" s="231">
        <f t="shared" si="6"/>
        <v>-12518.537062459973</v>
      </c>
      <c r="AU18" s="231">
        <f t="shared" si="6"/>
        <v>-12556.510271555291</v>
      </c>
      <c r="AV18" s="231">
        <f t="shared" si="6"/>
        <v>-6274.8197797107114</v>
      </c>
      <c r="AW18" s="231">
        <f t="shared" si="6"/>
        <v>-5015.6766657321004</v>
      </c>
      <c r="AX18" s="231"/>
      <c r="AY18" s="342"/>
      <c r="AZ18" s="342"/>
      <c r="BA18" s="342"/>
      <c r="BB18" s="342"/>
      <c r="BC18" s="342"/>
      <c r="BD18" s="342"/>
      <c r="BE18" s="342"/>
    </row>
    <row r="19" spans="1:57" s="108" customFormat="1" ht="15">
      <c r="A19" s="114"/>
      <c r="B19" s="185"/>
      <c r="C19" s="185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AL19" s="342"/>
      <c r="AM19" s="342"/>
      <c r="AN19" s="342"/>
      <c r="AO19" s="342"/>
      <c r="AP19" s="342"/>
      <c r="AQ19" s="342"/>
      <c r="AR19" s="342"/>
      <c r="AS19" s="342"/>
      <c r="AT19" s="342"/>
      <c r="AU19" s="342"/>
      <c r="AV19" s="342"/>
      <c r="AW19" s="342"/>
      <c r="AX19" s="342"/>
      <c r="AY19" s="342"/>
      <c r="AZ19" s="342"/>
      <c r="BA19" s="342"/>
      <c r="BB19" s="342"/>
      <c r="BC19" s="342"/>
      <c r="BD19" s="342"/>
      <c r="BE19" s="342"/>
    </row>
    <row r="20" spans="1:57" s="108" customFormat="1" ht="15">
      <c r="A20" s="114" t="s">
        <v>104</v>
      </c>
      <c r="B20" s="185">
        <f t="shared" ref="B20:Y20" si="7">(B10+B18)/2</f>
        <v>0</v>
      </c>
      <c r="C20" s="185">
        <f t="shared" si="7"/>
        <v>0</v>
      </c>
      <c r="D20" s="231">
        <f t="shared" si="7"/>
        <v>-43.288439432911105</v>
      </c>
      <c r="E20" s="231">
        <f t="shared" si="7"/>
        <v>-979.2100460432622</v>
      </c>
      <c r="F20" s="231">
        <f t="shared" si="7"/>
        <v>-2691.9597985852324</v>
      </c>
      <c r="G20" s="231">
        <f t="shared" si="7"/>
        <v>-4262.085914198261</v>
      </c>
      <c r="H20" s="231">
        <f t="shared" si="7"/>
        <v>-5886.4738946590469</v>
      </c>
      <c r="I20" s="231">
        <f t="shared" si="7"/>
        <v>-7246.8326876751589</v>
      </c>
      <c r="J20" s="231">
        <f t="shared" si="7"/>
        <v>-8352.189210660581</v>
      </c>
      <c r="K20" s="231">
        <f t="shared" si="7"/>
        <v>-9323.0045836957142</v>
      </c>
      <c r="L20" s="231">
        <f t="shared" si="7"/>
        <v>-9351.687275718823</v>
      </c>
      <c r="M20" s="231">
        <f t="shared" si="7"/>
        <v>-8974.0009497259562</v>
      </c>
      <c r="N20" s="231">
        <f t="shared" si="7"/>
        <v>-8372.4781914407686</v>
      </c>
      <c r="O20" s="231">
        <f t="shared" si="7"/>
        <v>-6870.9646431318761</v>
      </c>
      <c r="P20" s="231">
        <f t="shared" si="7"/>
        <v>-5142.4670666923002</v>
      </c>
      <c r="Q20" s="231">
        <f t="shared" si="7"/>
        <v>-3380.0793341879162</v>
      </c>
      <c r="R20" s="231">
        <f t="shared" si="7"/>
        <v>-2156.9767284073378</v>
      </c>
      <c r="S20" s="231">
        <f t="shared" si="7"/>
        <v>-1690.3629045413818</v>
      </c>
      <c r="T20" s="231">
        <f t="shared" si="7"/>
        <v>-1247.2383930229792</v>
      </c>
      <c r="U20" s="231">
        <f t="shared" si="7"/>
        <v>-727.54429878428982</v>
      </c>
      <c r="V20" s="231">
        <f t="shared" si="7"/>
        <v>-99.136145912598295</v>
      </c>
      <c r="W20" s="231">
        <f t="shared" si="7"/>
        <v>467.57175913075071</v>
      </c>
      <c r="X20" s="231">
        <f t="shared" si="7"/>
        <v>687.84668189935314</v>
      </c>
      <c r="Y20" s="231">
        <f t="shared" si="7"/>
        <v>27.988294964648276</v>
      </c>
      <c r="Z20" s="231">
        <f t="shared" ref="Z20:AK20" si="8">(Z10+Z18)/2</f>
        <v>-1290.2085549972708</v>
      </c>
      <c r="AA20" s="231">
        <f t="shared" si="8"/>
        <v>-2613.1184374935351</v>
      </c>
      <c r="AB20" s="231">
        <f t="shared" si="8"/>
        <v>-3906.7893154753851</v>
      </c>
      <c r="AC20" s="231">
        <f t="shared" si="8"/>
        <v>-4919.5744621201884</v>
      </c>
      <c r="AD20" s="231">
        <f t="shared" si="8"/>
        <v>-5294.2583934982413</v>
      </c>
      <c r="AE20" s="231">
        <f t="shared" si="8"/>
        <v>-5627.5114173533739</v>
      </c>
      <c r="AF20" s="231">
        <f t="shared" si="8"/>
        <v>-6297.1817233761367</v>
      </c>
      <c r="AG20" s="231">
        <f t="shared" si="8"/>
        <v>-6899.111743278645</v>
      </c>
      <c r="AH20" s="231">
        <f t="shared" si="8"/>
        <v>-7153.4304448376042</v>
      </c>
      <c r="AI20" s="231">
        <f t="shared" si="8"/>
        <v>-6825.542004916475</v>
      </c>
      <c r="AJ20" s="231">
        <f t="shared" si="8"/>
        <v>-5607.4664945621889</v>
      </c>
      <c r="AK20" s="231">
        <f t="shared" si="8"/>
        <v>-3591.6300590087171</v>
      </c>
      <c r="AL20" s="231">
        <f>(AL10+AL18)/2</f>
        <v>-888.66764962581442</v>
      </c>
      <c r="AM20" s="231">
        <f t="shared" ref="AM20:AW20" si="9">(AM10+AM18)/2</f>
        <v>2747.4720690998129</v>
      </c>
      <c r="AN20" s="231">
        <f t="shared" si="9"/>
        <v>5220.8089220852307</v>
      </c>
      <c r="AO20" s="231">
        <f t="shared" si="9"/>
        <v>4269.8232270283243</v>
      </c>
      <c r="AP20" s="231">
        <f t="shared" si="9"/>
        <v>1709.483575085379</v>
      </c>
      <c r="AQ20" s="231">
        <f t="shared" si="9"/>
        <v>-756.62592313997175</v>
      </c>
      <c r="AR20" s="231">
        <f t="shared" si="9"/>
        <v>-3446.0275229692679</v>
      </c>
      <c r="AS20" s="231">
        <f t="shared" si="9"/>
        <v>-7074.8758525169123</v>
      </c>
      <c r="AT20" s="231">
        <f t="shared" si="9"/>
        <v>-10905.972517423332</v>
      </c>
      <c r="AU20" s="231">
        <f t="shared" si="9"/>
        <v>-12566.539228112613</v>
      </c>
      <c r="AV20" s="231">
        <f t="shared" si="9"/>
        <v>-9415.6650256330013</v>
      </c>
      <c r="AW20" s="231">
        <f t="shared" si="9"/>
        <v>-5645.2482227214059</v>
      </c>
      <c r="AX20" s="342"/>
      <c r="AY20" s="342"/>
      <c r="AZ20" s="342"/>
      <c r="BA20" s="342"/>
      <c r="BB20" s="342"/>
      <c r="BC20" s="342"/>
      <c r="BD20" s="342"/>
      <c r="BE20" s="342"/>
    </row>
    <row r="21" spans="1:57" s="108" customFormat="1" ht="18">
      <c r="A21" s="114" t="s">
        <v>105</v>
      </c>
      <c r="B21" s="236">
        <f>B34</f>
        <v>7.7600000000000002E-2</v>
      </c>
      <c r="C21" s="236">
        <f>B21</f>
        <v>7.7600000000000002E-2</v>
      </c>
      <c r="D21" s="236">
        <f>C21</f>
        <v>7.7600000000000002E-2</v>
      </c>
      <c r="E21" s="236">
        <f>B35</f>
        <v>6.7699999999999996E-2</v>
      </c>
      <c r="F21" s="236">
        <f>E21</f>
        <v>6.7699999999999996E-2</v>
      </c>
      <c r="G21" s="236">
        <f>E21</f>
        <v>6.7699999999999996E-2</v>
      </c>
      <c r="H21" s="236">
        <f>B36</f>
        <v>5.2999999999999999E-2</v>
      </c>
      <c r="I21" s="236">
        <f>H21</f>
        <v>5.2999999999999999E-2</v>
      </c>
      <c r="J21" s="236">
        <f>H21</f>
        <v>5.2999999999999999E-2</v>
      </c>
      <c r="K21" s="236">
        <f>B37</f>
        <v>0.05</v>
      </c>
      <c r="L21" s="236">
        <f>K21</f>
        <v>0.05</v>
      </c>
      <c r="M21" s="236">
        <f>K21</f>
        <v>0.05</v>
      </c>
      <c r="N21" s="245">
        <f>N34</f>
        <v>4.5199999999999997E-2</v>
      </c>
      <c r="O21" s="245">
        <f>N21</f>
        <v>4.5199999999999997E-2</v>
      </c>
      <c r="P21" s="245">
        <f>N21</f>
        <v>4.5199999999999997E-2</v>
      </c>
      <c r="Q21" s="245">
        <f>N35</f>
        <v>3.3700000000000001E-2</v>
      </c>
      <c r="R21" s="245">
        <f>Q21</f>
        <v>3.3700000000000001E-2</v>
      </c>
      <c r="S21" s="245">
        <f>Q21</f>
        <v>3.3700000000000001E-2</v>
      </c>
      <c r="T21" s="245">
        <f>N36</f>
        <v>3.2500000000000001E-2</v>
      </c>
      <c r="U21" s="245">
        <f>T21</f>
        <v>3.2500000000000001E-2</v>
      </c>
      <c r="V21" s="245">
        <f>T21</f>
        <v>3.2500000000000001E-2</v>
      </c>
      <c r="W21" s="245">
        <f>N37</f>
        <v>3.2500000000000001E-2</v>
      </c>
      <c r="X21" s="245">
        <f>W21</f>
        <v>3.2500000000000001E-2</v>
      </c>
      <c r="Y21" s="245">
        <f>W21</f>
        <v>3.2500000000000001E-2</v>
      </c>
      <c r="Z21" s="245">
        <f>Z34</f>
        <v>3.2500000000000001E-2</v>
      </c>
      <c r="AA21" s="245">
        <f>Z21</f>
        <v>3.2500000000000001E-2</v>
      </c>
      <c r="AB21" s="245">
        <f>Z21</f>
        <v>3.2500000000000001E-2</v>
      </c>
      <c r="AC21" s="245">
        <f>Z35</f>
        <v>3.2500000000000001E-2</v>
      </c>
      <c r="AD21" s="245">
        <f>AC21</f>
        <v>3.2500000000000001E-2</v>
      </c>
      <c r="AE21" s="245">
        <f>AC21</f>
        <v>3.2500000000000001E-2</v>
      </c>
      <c r="AF21" s="245">
        <f>Z36</f>
        <v>3.2500000000000001E-2</v>
      </c>
      <c r="AG21" s="245">
        <f>AF21</f>
        <v>3.2500000000000001E-2</v>
      </c>
      <c r="AH21" s="245">
        <f>AF21</f>
        <v>3.2500000000000001E-2</v>
      </c>
      <c r="AI21" s="245">
        <f>Z37</f>
        <v>3.2500000000000001E-2</v>
      </c>
      <c r="AJ21" s="245">
        <f>AI21</f>
        <v>3.2500000000000001E-2</v>
      </c>
      <c r="AK21" s="245">
        <f>AI21</f>
        <v>3.2500000000000001E-2</v>
      </c>
      <c r="AL21" s="427">
        <f>AL34</f>
        <v>3.2500000000000001E-2</v>
      </c>
      <c r="AM21" s="427">
        <f>AL34</f>
        <v>3.2500000000000001E-2</v>
      </c>
      <c r="AN21" s="427">
        <f>AL34</f>
        <v>3.2500000000000001E-2</v>
      </c>
      <c r="AO21" s="427">
        <f>AL35</f>
        <v>3.2500000000000001E-2</v>
      </c>
      <c r="AP21" s="427">
        <f>AL35</f>
        <v>3.2500000000000001E-2</v>
      </c>
      <c r="AQ21" s="427">
        <f>AL35</f>
        <v>3.2500000000000001E-2</v>
      </c>
      <c r="AR21" s="427">
        <f>AL36</f>
        <v>3.2500000000000001E-2</v>
      </c>
      <c r="AS21" s="427">
        <f>AL36</f>
        <v>3.2500000000000001E-2</v>
      </c>
      <c r="AT21" s="427">
        <f>AL36</f>
        <v>3.2500000000000001E-2</v>
      </c>
      <c r="AU21" s="427">
        <f>AL37</f>
        <v>3.2500000000000001E-2</v>
      </c>
      <c r="AV21" s="427">
        <f>AL37</f>
        <v>3.2500000000000001E-2</v>
      </c>
      <c r="AW21" s="427">
        <f>AL37</f>
        <v>3.2500000000000001E-2</v>
      </c>
      <c r="AX21" s="342"/>
      <c r="AY21" s="342"/>
      <c r="AZ21" s="342"/>
      <c r="BA21" s="342"/>
      <c r="BB21" s="342"/>
      <c r="BC21" s="342"/>
      <c r="BD21" s="342"/>
      <c r="BE21" s="342"/>
    </row>
    <row r="22" spans="1:57" s="108" customFormat="1" ht="15">
      <c r="A22" s="114" t="s">
        <v>85</v>
      </c>
      <c r="B22" s="213">
        <f t="shared" ref="B22:M22" si="10">+B20*B21/12</f>
        <v>0</v>
      </c>
      <c r="C22" s="213">
        <f t="shared" si="10"/>
        <v>0</v>
      </c>
      <c r="D22" s="232">
        <f t="shared" si="10"/>
        <v>-0.27993190833282516</v>
      </c>
      <c r="E22" s="232">
        <f t="shared" si="10"/>
        <v>-5.524376676427404</v>
      </c>
      <c r="F22" s="232">
        <f t="shared" si="10"/>
        <v>-15.187139863685019</v>
      </c>
      <c r="G22" s="232">
        <f t="shared" si="10"/>
        <v>-24.045268032601854</v>
      </c>
      <c r="H22" s="232">
        <f t="shared" si="10"/>
        <v>-25.998593034744122</v>
      </c>
      <c r="I22" s="232">
        <f t="shared" si="10"/>
        <v>-32.006844370565283</v>
      </c>
      <c r="J22" s="232">
        <f t="shared" si="10"/>
        <v>-36.888835680417564</v>
      </c>
      <c r="K22" s="232">
        <f t="shared" si="10"/>
        <v>-38.845852432065477</v>
      </c>
      <c r="L22" s="232">
        <f t="shared" si="10"/>
        <v>-38.965363648828429</v>
      </c>
      <c r="M22" s="232">
        <f t="shared" si="10"/>
        <v>-37.391670623858154</v>
      </c>
      <c r="N22" s="232">
        <f t="shared" ref="N22:Y22" si="11">+N20*N21/12</f>
        <v>-31.536334521093561</v>
      </c>
      <c r="O22" s="232">
        <f t="shared" si="11"/>
        <v>-25.880633489130066</v>
      </c>
      <c r="P22" s="232">
        <f t="shared" si="11"/>
        <v>-19.369959284540997</v>
      </c>
      <c r="Q22" s="232">
        <f t="shared" si="11"/>
        <v>-9.4923894635110653</v>
      </c>
      <c r="R22" s="232">
        <f t="shared" si="11"/>
        <v>-6.0575096456106072</v>
      </c>
      <c r="S22" s="232">
        <f t="shared" si="11"/>
        <v>-4.747102490253714</v>
      </c>
      <c r="T22" s="232">
        <f t="shared" si="11"/>
        <v>-3.3779373144372351</v>
      </c>
      <c r="U22" s="232">
        <f t="shared" si="11"/>
        <v>-1.9704324758741183</v>
      </c>
      <c r="V22" s="232">
        <f t="shared" si="11"/>
        <v>-0.26849372851328707</v>
      </c>
      <c r="W22" s="232">
        <f t="shared" si="11"/>
        <v>1.2663401809791166</v>
      </c>
      <c r="X22" s="232">
        <f t="shared" si="11"/>
        <v>1.8629180968107482</v>
      </c>
      <c r="Y22" s="232">
        <f t="shared" si="11"/>
        <v>7.5801632195922411E-2</v>
      </c>
      <c r="Z22" s="232">
        <f t="shared" ref="Z22:AJ22" si="12">+Z20*Z21/12</f>
        <v>-3.4943148364509415</v>
      </c>
      <c r="AA22" s="232">
        <f t="shared" si="12"/>
        <v>-7.0771957682116584</v>
      </c>
      <c r="AB22" s="232">
        <f t="shared" si="12"/>
        <v>-10.580887729412501</v>
      </c>
      <c r="AC22" s="232">
        <f t="shared" si="12"/>
        <v>-13.323847501575512</v>
      </c>
      <c r="AD22" s="232">
        <f t="shared" si="12"/>
        <v>-14.338616482391069</v>
      </c>
      <c r="AE22" s="232">
        <f t="shared" si="12"/>
        <v>-15.241176755332056</v>
      </c>
      <c r="AF22" s="232">
        <f t="shared" si="12"/>
        <v>-17.054867167477038</v>
      </c>
      <c r="AG22" s="232">
        <f t="shared" si="12"/>
        <v>-18.685094304712997</v>
      </c>
      <c r="AH22" s="232">
        <f t="shared" si="12"/>
        <v>-19.373874121435179</v>
      </c>
      <c r="AI22" s="232">
        <f t="shared" si="12"/>
        <v>-18.48584292998212</v>
      </c>
      <c r="AJ22" s="232">
        <f t="shared" si="12"/>
        <v>-15.186888422772595</v>
      </c>
      <c r="AK22" s="232">
        <f>+AK20*AK21/12</f>
        <v>-9.7273314098152763</v>
      </c>
      <c r="AL22" s="428">
        <f>+AL20*AL21/12</f>
        <v>-2.406808217736581</v>
      </c>
      <c r="AM22" s="428">
        <f t="shared" ref="AM22:AW22" si="13">+AM20*AM21/12</f>
        <v>7.4410701871453275</v>
      </c>
      <c r="AN22" s="428">
        <f t="shared" si="13"/>
        <v>14.139690830647501</v>
      </c>
      <c r="AO22" s="428">
        <f t="shared" si="13"/>
        <v>11.564104573201712</v>
      </c>
      <c r="AP22" s="428">
        <f t="shared" si="13"/>
        <v>4.6298513491895683</v>
      </c>
      <c r="AQ22" s="428">
        <f t="shared" si="13"/>
        <v>-2.0491952085040901</v>
      </c>
      <c r="AR22" s="428">
        <f t="shared" si="13"/>
        <v>-9.3329912080417667</v>
      </c>
      <c r="AS22" s="428">
        <f t="shared" si="13"/>
        <v>-19.16112210056664</v>
      </c>
      <c r="AT22" s="428">
        <f t="shared" si="13"/>
        <v>-29.537008901354856</v>
      </c>
      <c r="AU22" s="428">
        <f t="shared" si="13"/>
        <v>-34.034377076138327</v>
      </c>
      <c r="AV22" s="428">
        <f t="shared" si="13"/>
        <v>-25.500759444422712</v>
      </c>
      <c r="AW22" s="428">
        <f t="shared" si="13"/>
        <v>-15.289213936537143</v>
      </c>
      <c r="AX22" s="342"/>
      <c r="AY22" s="342"/>
      <c r="AZ22" s="342"/>
      <c r="BA22" s="342"/>
      <c r="BB22" s="342"/>
      <c r="BC22" s="342"/>
      <c r="BD22" s="342"/>
      <c r="BE22" s="342"/>
    </row>
    <row r="23" spans="1:57" ht="15">
      <c r="A23" s="118" t="s">
        <v>106</v>
      </c>
      <c r="B23" s="233"/>
      <c r="C23" s="233"/>
      <c r="D23" s="227">
        <f>SUM(B22:D22)</f>
        <v>-0.27993190833282516</v>
      </c>
      <c r="E23" s="227"/>
      <c r="F23" s="227"/>
      <c r="G23" s="227">
        <f>SUM(E22:G22)</f>
        <v>-44.756784572714281</v>
      </c>
      <c r="H23" s="227"/>
      <c r="I23" s="227"/>
      <c r="J23" s="227">
        <f>SUM(H22:J22)</f>
        <v>-94.894273085726979</v>
      </c>
      <c r="K23" s="185"/>
      <c r="L23" s="185"/>
      <c r="M23" s="228">
        <f>SUM(K22:M22)</f>
        <v>-115.20288670475205</v>
      </c>
      <c r="N23" s="188"/>
      <c r="P23" s="249">
        <f>SUM(N22:P22)</f>
        <v>-76.786927294764624</v>
      </c>
      <c r="S23" s="249">
        <f>SUM(Q22:S22)</f>
        <v>-20.297001599375385</v>
      </c>
      <c r="V23" s="248">
        <f>SUM(T22:V22)</f>
        <v>-5.6168635188246405</v>
      </c>
      <c r="Y23" s="248">
        <f>SUM(W22:Y22)</f>
        <v>3.2050599099857875</v>
      </c>
      <c r="Z23" s="188"/>
      <c r="AB23" s="249">
        <f>SUM(Z22:AB22)</f>
        <v>-21.152398334075102</v>
      </c>
      <c r="AE23" s="249">
        <f>SUM(AC22:AE22)</f>
        <v>-42.903640739298638</v>
      </c>
      <c r="AH23" s="410">
        <f>SUM(AF22:AH22)</f>
        <v>-55.113835593625211</v>
      </c>
      <c r="AK23" s="410">
        <f>SUM(AI22:AK22)</f>
        <v>-43.400062762569995</v>
      </c>
      <c r="AL23" s="429"/>
      <c r="AM23" s="344"/>
      <c r="AN23" s="231">
        <f>SUM(AL22:AN22)</f>
        <v>19.173952800056249</v>
      </c>
      <c r="AO23" s="344"/>
      <c r="AP23" s="344"/>
      <c r="AQ23" s="231">
        <f>SUM(AO22:AQ22)</f>
        <v>14.144760713887193</v>
      </c>
      <c r="AR23" s="344"/>
      <c r="AS23" s="344"/>
      <c r="AT23" s="338">
        <f>SUM(AR22:AT22)</f>
        <v>-58.031122209963257</v>
      </c>
      <c r="AU23" s="344"/>
      <c r="AV23" s="344"/>
      <c r="AW23" s="338">
        <f>SUM(AU22:AW22)</f>
        <v>-74.824350457098177</v>
      </c>
      <c r="AX23" s="344"/>
      <c r="AY23" s="344"/>
      <c r="AZ23" s="344"/>
      <c r="BA23" s="344"/>
      <c r="BB23" s="344"/>
      <c r="BC23" s="344"/>
      <c r="BD23" s="344"/>
      <c r="BE23" s="344"/>
    </row>
    <row r="24" spans="1:57" ht="15">
      <c r="A24" s="114" t="s">
        <v>186</v>
      </c>
      <c r="B24" s="233"/>
      <c r="C24" s="234"/>
      <c r="D24" s="213">
        <f>D18</f>
        <v>-86.576878865822209</v>
      </c>
      <c r="E24" s="213">
        <f t="shared" ref="E24:Y24" si="14">E18</f>
        <v>-1871.5632813123693</v>
      </c>
      <c r="F24" s="213">
        <f t="shared" si="14"/>
        <v>-3512.356315858096</v>
      </c>
      <c r="G24" s="213">
        <f t="shared" si="14"/>
        <v>-5011.8155125384264</v>
      </c>
      <c r="H24" s="213">
        <f t="shared" si="14"/>
        <v>-6716.3754922069529</v>
      </c>
      <c r="I24" s="213">
        <f t="shared" si="14"/>
        <v>-7777.2898831433649</v>
      </c>
      <c r="J24" s="213">
        <f t="shared" si="14"/>
        <v>-8927.0885381777971</v>
      </c>
      <c r="K24" s="213">
        <f t="shared" si="14"/>
        <v>-9624.0263561279062</v>
      </c>
      <c r="L24" s="213">
        <f t="shared" si="14"/>
        <v>-9079.3481953097398</v>
      </c>
      <c r="M24" s="213">
        <f t="shared" si="14"/>
        <v>-8868.6537041421743</v>
      </c>
      <c r="N24" s="213">
        <f t="shared" si="14"/>
        <v>-7761.0997920346126</v>
      </c>
      <c r="O24" s="213">
        <f t="shared" si="14"/>
        <v>-5980.8294942291395</v>
      </c>
      <c r="P24" s="213">
        <f t="shared" si="14"/>
        <v>-4304.104639155461</v>
      </c>
      <c r="Q24" s="213">
        <f t="shared" si="14"/>
        <v>-2379.2671019256072</v>
      </c>
      <c r="R24" s="213">
        <f t="shared" si="14"/>
        <v>-1934.6863548890688</v>
      </c>
      <c r="S24" s="213">
        <f t="shared" si="14"/>
        <v>-1446.0394541936948</v>
      </c>
      <c r="T24" s="213">
        <f t="shared" si="14"/>
        <v>-1028.1403302528881</v>
      </c>
      <c r="U24" s="213">
        <f t="shared" si="14"/>
        <v>-426.94826731569151</v>
      </c>
      <c r="V24" s="213">
        <f t="shared" si="14"/>
        <v>228.67597549049492</v>
      </c>
      <c r="W24" s="213">
        <f t="shared" si="14"/>
        <v>712.08440628983112</v>
      </c>
      <c r="X24" s="213">
        <f t="shared" si="14"/>
        <v>663.60895750887516</v>
      </c>
      <c r="Y24" s="213">
        <f t="shared" si="14"/>
        <v>-607.63236757957861</v>
      </c>
      <c r="Z24" s="213">
        <f t="shared" ref="Z24:AK24" si="15">Z18</f>
        <v>-1975.9898023249489</v>
      </c>
      <c r="AA24" s="213">
        <f t="shared" si="15"/>
        <v>-3250.2470726621214</v>
      </c>
      <c r="AB24" s="213">
        <f t="shared" si="15"/>
        <v>-4563.3315582886489</v>
      </c>
      <c r="AC24" s="213">
        <f t="shared" si="15"/>
        <v>-5254.6649676176521</v>
      </c>
      <c r="AD24" s="213">
        <f t="shared" si="15"/>
        <v>-5333.8518193788304</v>
      </c>
      <c r="AE24" s="213">
        <f t="shared" si="15"/>
        <v>-5921.1710153279173</v>
      </c>
      <c r="AF24" s="213">
        <f t="shared" si="15"/>
        <v>-6630.2887906850574</v>
      </c>
      <c r="AG24" s="213">
        <f t="shared" si="15"/>
        <v>-7167.9346958722317</v>
      </c>
      <c r="AH24" s="213">
        <f t="shared" si="15"/>
        <v>-7138.9261938029767</v>
      </c>
      <c r="AI24" s="213">
        <f t="shared" si="15"/>
        <v>-6457.0439804363486</v>
      </c>
      <c r="AJ24" s="213">
        <f t="shared" si="15"/>
        <v>-4757.8890086880292</v>
      </c>
      <c r="AK24" s="213">
        <f t="shared" si="15"/>
        <v>-2425.371109329405</v>
      </c>
      <c r="AL24" s="430">
        <f>AL18</f>
        <v>691.43587284034629</v>
      </c>
      <c r="AM24" s="430">
        <f>AM18</f>
        <v>4803.5082653592799</v>
      </c>
      <c r="AN24" s="430">
        <f>AN18</f>
        <v>5638.1095788111807</v>
      </c>
      <c r="AO24" s="430">
        <f>AO18</f>
        <v>2882.3629224454116</v>
      </c>
      <c r="AP24" s="430">
        <f t="shared" ref="AP24:AW24" si="16">AP18</f>
        <v>536.60422772534639</v>
      </c>
      <c r="AQ24" s="430">
        <f t="shared" si="16"/>
        <v>-2049.8560740052899</v>
      </c>
      <c r="AR24" s="430">
        <f t="shared" si="16"/>
        <v>-4856.343732647133</v>
      </c>
      <c r="AS24" s="430">
        <f t="shared" si="16"/>
        <v>-9293.4079723866926</v>
      </c>
      <c r="AT24" s="430">
        <f t="shared" si="16"/>
        <v>-12518.537062459973</v>
      </c>
      <c r="AU24" s="430">
        <f t="shared" si="16"/>
        <v>-12556.510271555291</v>
      </c>
      <c r="AV24" s="430">
        <f t="shared" si="16"/>
        <v>-6274.8197797107114</v>
      </c>
      <c r="AW24" s="430">
        <f t="shared" si="16"/>
        <v>-5015.6766657321004</v>
      </c>
      <c r="AX24" s="233"/>
      <c r="AY24" s="344"/>
      <c r="AZ24" s="344"/>
      <c r="BA24" s="344"/>
      <c r="BB24" s="344"/>
      <c r="BC24" s="344"/>
      <c r="BD24" s="344"/>
      <c r="BE24" s="344"/>
    </row>
    <row r="25" spans="1:57" ht="15">
      <c r="A25" s="114" t="s">
        <v>187</v>
      </c>
      <c r="B25" s="235"/>
      <c r="C25" s="235"/>
      <c r="D25" s="185">
        <f>SUM(D23:D24)</f>
        <v>-86.856810774155036</v>
      </c>
      <c r="E25" s="185">
        <f t="shared" ref="E25:M25" si="17">SUM(E23:E24)</f>
        <v>-1871.5632813123693</v>
      </c>
      <c r="F25" s="185">
        <f t="shared" si="17"/>
        <v>-3512.356315858096</v>
      </c>
      <c r="G25" s="185">
        <f t="shared" si="17"/>
        <v>-5056.5722971111409</v>
      </c>
      <c r="H25" s="185">
        <f t="shared" si="17"/>
        <v>-6716.3754922069529</v>
      </c>
      <c r="I25" s="185">
        <f t="shared" si="17"/>
        <v>-7777.2898831433649</v>
      </c>
      <c r="J25" s="185">
        <f t="shared" si="17"/>
        <v>-9021.9828112635241</v>
      </c>
      <c r="K25" s="185">
        <f t="shared" si="17"/>
        <v>-9624.0263561279062</v>
      </c>
      <c r="L25" s="185">
        <f t="shared" si="17"/>
        <v>-9079.3481953097398</v>
      </c>
      <c r="M25" s="185">
        <f t="shared" si="17"/>
        <v>-8983.8565908469263</v>
      </c>
      <c r="N25" s="185">
        <f t="shared" ref="N25:Y25" si="18">SUM(N23:N24)</f>
        <v>-7761.0997920346126</v>
      </c>
      <c r="O25" s="185">
        <f t="shared" si="18"/>
        <v>-5980.8294942291395</v>
      </c>
      <c r="P25" s="185">
        <f t="shared" si="18"/>
        <v>-4380.8915664502256</v>
      </c>
      <c r="Q25" s="185">
        <f t="shared" si="18"/>
        <v>-2379.2671019256072</v>
      </c>
      <c r="R25" s="185">
        <f t="shared" si="18"/>
        <v>-1934.6863548890688</v>
      </c>
      <c r="S25" s="185">
        <f t="shared" si="18"/>
        <v>-1466.3364557930702</v>
      </c>
      <c r="T25" s="185">
        <f t="shared" si="18"/>
        <v>-1028.1403302528881</v>
      </c>
      <c r="U25" s="185">
        <f t="shared" si="18"/>
        <v>-426.94826731569151</v>
      </c>
      <c r="V25" s="185">
        <f t="shared" si="18"/>
        <v>223.05911197167029</v>
      </c>
      <c r="W25" s="185">
        <f t="shared" si="18"/>
        <v>712.08440628983112</v>
      </c>
      <c r="X25" s="185">
        <f t="shared" si="18"/>
        <v>663.60895750887516</v>
      </c>
      <c r="Y25" s="185">
        <f t="shared" si="18"/>
        <v>-604.42730766959278</v>
      </c>
      <c r="Z25" s="185">
        <f t="shared" ref="Z25:AK25" si="19">SUM(Z23:Z24)</f>
        <v>-1975.9898023249489</v>
      </c>
      <c r="AA25" s="185">
        <f t="shared" si="19"/>
        <v>-3250.2470726621214</v>
      </c>
      <c r="AB25" s="185">
        <f t="shared" si="19"/>
        <v>-4584.4839566227238</v>
      </c>
      <c r="AC25" s="185">
        <f t="shared" si="19"/>
        <v>-5254.6649676176521</v>
      </c>
      <c r="AD25" s="185">
        <f t="shared" si="19"/>
        <v>-5333.8518193788304</v>
      </c>
      <c r="AE25" s="185">
        <f t="shared" si="19"/>
        <v>-5964.074656067216</v>
      </c>
      <c r="AF25" s="185">
        <f t="shared" si="19"/>
        <v>-6630.2887906850574</v>
      </c>
      <c r="AG25" s="185">
        <f t="shared" si="19"/>
        <v>-7167.9346958722317</v>
      </c>
      <c r="AH25" s="185">
        <f t="shared" si="19"/>
        <v>-7194.0400293966022</v>
      </c>
      <c r="AI25" s="185">
        <f t="shared" si="19"/>
        <v>-6457.0439804363486</v>
      </c>
      <c r="AJ25" s="185">
        <f t="shared" si="19"/>
        <v>-4757.8890086880292</v>
      </c>
      <c r="AK25" s="185">
        <f t="shared" si="19"/>
        <v>-2468.7711720919751</v>
      </c>
      <c r="AL25" s="267">
        <f t="shared" ref="AL25:AM25" si="20">SUM(AL23:AL24)</f>
        <v>691.43587284034629</v>
      </c>
      <c r="AM25" s="267">
        <f t="shared" si="20"/>
        <v>4803.5082653592799</v>
      </c>
      <c r="AN25" s="267">
        <f t="shared" ref="AN25:AW25" si="21">SUM(AN23:AN24)</f>
        <v>5657.2835316112369</v>
      </c>
      <c r="AO25" s="267">
        <f t="shared" si="21"/>
        <v>2882.3629224454116</v>
      </c>
      <c r="AP25" s="267">
        <f t="shared" si="21"/>
        <v>536.60422772534639</v>
      </c>
      <c r="AQ25" s="267">
        <f t="shared" si="21"/>
        <v>-2035.7113132914028</v>
      </c>
      <c r="AR25" s="267">
        <f t="shared" si="21"/>
        <v>-4856.343732647133</v>
      </c>
      <c r="AS25" s="267">
        <f t="shared" si="21"/>
        <v>-9293.4079723866926</v>
      </c>
      <c r="AT25" s="267">
        <f t="shared" si="21"/>
        <v>-12576.568184669935</v>
      </c>
      <c r="AU25" s="267">
        <f t="shared" si="21"/>
        <v>-12556.510271555291</v>
      </c>
      <c r="AV25" s="267">
        <f t="shared" si="21"/>
        <v>-6274.8197797107114</v>
      </c>
      <c r="AW25" s="267">
        <f t="shared" si="21"/>
        <v>-5090.5010161891987</v>
      </c>
      <c r="AX25" s="233"/>
      <c r="AY25" s="344"/>
      <c r="AZ25" s="344"/>
      <c r="BA25" s="344"/>
      <c r="BB25" s="344"/>
      <c r="BC25" s="344"/>
      <c r="BD25" s="344"/>
      <c r="BE25" s="344"/>
    </row>
    <row r="26" spans="1:57">
      <c r="B26" s="96"/>
      <c r="C26" s="96"/>
      <c r="D26" s="93"/>
      <c r="E26" s="107"/>
      <c r="F26" s="94"/>
      <c r="G26" s="93"/>
      <c r="AL26" s="344"/>
      <c r="AM26" s="344"/>
      <c r="AN26" s="344"/>
      <c r="AO26" s="344"/>
      <c r="AP26" s="344"/>
      <c r="AQ26" s="344"/>
      <c r="AR26" s="344"/>
      <c r="AS26" s="344"/>
      <c r="AT26" s="344"/>
      <c r="AU26" s="344"/>
      <c r="AV26" s="344"/>
      <c r="AW26" s="344"/>
      <c r="AX26" s="344"/>
      <c r="AY26" s="344"/>
      <c r="AZ26" s="344"/>
      <c r="BA26" s="344"/>
      <c r="BB26" s="344"/>
      <c r="BC26" s="344"/>
      <c r="BD26" s="344"/>
      <c r="BE26" s="344"/>
    </row>
    <row r="27" spans="1:57" ht="15">
      <c r="A27" s="576" t="s">
        <v>318</v>
      </c>
      <c r="B27" s="96"/>
      <c r="C27" s="96"/>
      <c r="D27" s="93"/>
      <c r="E27" s="107"/>
      <c r="F27" s="94"/>
      <c r="G27" s="93"/>
      <c r="AL27" s="344"/>
      <c r="AM27" s="344"/>
      <c r="AN27" s="344"/>
      <c r="AO27" s="344"/>
      <c r="AP27" s="344"/>
      <c r="AQ27" s="344"/>
      <c r="AR27" s="344"/>
      <c r="AS27" s="344"/>
      <c r="AT27" s="344"/>
      <c r="AU27" s="344"/>
      <c r="AV27" s="344"/>
      <c r="AW27" s="577">
        <v>-2000</v>
      </c>
      <c r="AX27" s="344"/>
      <c r="AY27" s="344"/>
      <c r="AZ27" s="344"/>
      <c r="BA27" s="344"/>
      <c r="BB27" s="344"/>
      <c r="BC27" s="344"/>
      <c r="BD27" s="344"/>
      <c r="BE27" s="344"/>
    </row>
    <row r="28" spans="1:57" ht="34.5" customHeight="1" thickBot="1">
      <c r="A28" s="600" t="s">
        <v>319</v>
      </c>
      <c r="B28" s="578"/>
      <c r="C28" s="578"/>
      <c r="D28" s="579"/>
      <c r="E28" s="580"/>
      <c r="F28" s="581"/>
      <c r="G28" s="579"/>
      <c r="H28" s="582"/>
      <c r="I28" s="582"/>
      <c r="J28" s="582"/>
      <c r="K28" s="582"/>
      <c r="L28" s="582"/>
      <c r="M28" s="582"/>
      <c r="N28" s="582"/>
      <c r="O28" s="582"/>
      <c r="P28" s="582"/>
      <c r="Q28" s="582"/>
      <c r="R28" s="582"/>
      <c r="S28" s="582"/>
      <c r="T28" s="582"/>
      <c r="U28" s="582"/>
      <c r="V28" s="582"/>
      <c r="W28" s="582"/>
      <c r="X28" s="582"/>
      <c r="Y28" s="582"/>
      <c r="Z28" s="582"/>
      <c r="AA28" s="582"/>
      <c r="AB28" s="582"/>
      <c r="AC28" s="582"/>
      <c r="AD28" s="582"/>
      <c r="AE28" s="582"/>
      <c r="AF28" s="582"/>
      <c r="AG28" s="582"/>
      <c r="AH28" s="582"/>
      <c r="AI28" s="582"/>
      <c r="AJ28" s="582"/>
      <c r="AK28" s="582"/>
      <c r="AL28" s="583"/>
      <c r="AM28" s="583"/>
      <c r="AN28" s="583"/>
      <c r="AO28" s="583"/>
      <c r="AP28" s="583"/>
      <c r="AQ28" s="583"/>
      <c r="AR28" s="583"/>
      <c r="AS28" s="583"/>
      <c r="AT28" s="583"/>
      <c r="AU28" s="583"/>
      <c r="AV28" s="583"/>
      <c r="AW28" s="592">
        <f>AW25+AW27</f>
        <v>-7090.5010161891987</v>
      </c>
      <c r="AX28" s="344"/>
      <c r="AY28" s="344"/>
      <c r="AZ28" s="344"/>
      <c r="BA28" s="344"/>
      <c r="BB28" s="344"/>
      <c r="BC28" s="344"/>
      <c r="BD28" s="344"/>
      <c r="BE28" s="344"/>
    </row>
    <row r="29" spans="1:57" ht="15.75" thickTop="1">
      <c r="A29" s="114"/>
      <c r="B29" s="106"/>
      <c r="C29" s="106"/>
      <c r="D29" s="93"/>
      <c r="E29" s="93"/>
    </row>
    <row r="30" spans="1:57" s="117" customFormat="1" ht="30" customHeight="1">
      <c r="A30" s="601" t="s">
        <v>107</v>
      </c>
      <c r="B30" s="304"/>
      <c r="C30" s="304"/>
      <c r="D30" s="304"/>
      <c r="E30" s="304"/>
      <c r="F30" s="304"/>
      <c r="G30" s="304"/>
      <c r="H30" s="304"/>
      <c r="I30" s="304"/>
      <c r="J30" s="304"/>
      <c r="K30" s="304"/>
      <c r="L30" s="304"/>
      <c r="M30" s="304"/>
      <c r="N30" s="304"/>
      <c r="AL30" s="417"/>
    </row>
    <row r="31" spans="1:57" s="116" customFormat="1" ht="30.75" customHeight="1">
      <c r="A31" s="602" t="s">
        <v>98</v>
      </c>
      <c r="B31" s="305"/>
      <c r="C31" s="305"/>
      <c r="D31" s="115"/>
      <c r="E31" s="115"/>
      <c r="F31" s="115"/>
    </row>
    <row r="32" spans="1:57" s="56" customFormat="1" ht="16.5">
      <c r="A32" s="638" t="s">
        <v>108</v>
      </c>
      <c r="B32" s="638"/>
      <c r="C32" s="638"/>
      <c r="D32" s="638"/>
      <c r="E32" s="638"/>
      <c r="F32" s="638"/>
      <c r="G32" s="638"/>
      <c r="H32" s="638"/>
      <c r="I32" s="638"/>
      <c r="J32" s="638"/>
      <c r="K32" s="638"/>
      <c r="L32" s="638"/>
      <c r="M32" s="638"/>
      <c r="N32" s="638"/>
    </row>
    <row r="33" spans="1:38" ht="19.5" customHeight="1">
      <c r="A33" s="105"/>
      <c r="B33" s="92">
        <v>2008</v>
      </c>
      <c r="C33" s="95"/>
      <c r="D33" s="95"/>
      <c r="E33" s="95"/>
      <c r="F33" s="95"/>
      <c r="N33" s="92">
        <v>2009</v>
      </c>
      <c r="Z33" s="92">
        <v>2010</v>
      </c>
      <c r="AL33" s="92">
        <v>2011</v>
      </c>
    </row>
    <row r="34" spans="1:38">
      <c r="A34" s="103" t="s">
        <v>86</v>
      </c>
      <c r="B34" s="104">
        <v>7.7600000000000002E-2</v>
      </c>
      <c r="N34" s="104">
        <v>4.5199999999999997E-2</v>
      </c>
      <c r="Z34" s="104">
        <v>3.2500000000000001E-2</v>
      </c>
      <c r="AL34" s="431">
        <v>3.2500000000000001E-2</v>
      </c>
    </row>
    <row r="35" spans="1:38">
      <c r="A35" s="103" t="s">
        <v>87</v>
      </c>
      <c r="B35" s="104">
        <v>6.7699999999999996E-2</v>
      </c>
      <c r="N35" s="104">
        <v>3.3700000000000001E-2</v>
      </c>
      <c r="Z35" s="104">
        <v>3.2500000000000001E-2</v>
      </c>
      <c r="AL35" s="431">
        <v>3.2500000000000001E-2</v>
      </c>
    </row>
    <row r="36" spans="1:38">
      <c r="A36" s="103" t="s">
        <v>88</v>
      </c>
      <c r="B36" s="104">
        <v>5.2999999999999999E-2</v>
      </c>
      <c r="N36" s="104">
        <v>3.2500000000000001E-2</v>
      </c>
      <c r="Z36" s="104">
        <v>3.2500000000000001E-2</v>
      </c>
      <c r="AL36" s="431">
        <v>3.2500000000000001E-2</v>
      </c>
    </row>
    <row r="37" spans="1:38">
      <c r="A37" s="103" t="s">
        <v>89</v>
      </c>
      <c r="B37" s="104">
        <v>0.05</v>
      </c>
      <c r="N37" s="104">
        <v>3.2500000000000001E-2</v>
      </c>
      <c r="Z37" s="104">
        <v>3.2500000000000001E-2</v>
      </c>
      <c r="AL37" s="431">
        <v>3.2500000000000001E-2</v>
      </c>
    </row>
    <row r="38" spans="1:38">
      <c r="A38" s="103"/>
      <c r="B38" s="104"/>
      <c r="N38" s="104"/>
      <c r="Z38" s="104"/>
    </row>
    <row r="39" spans="1:38">
      <c r="A39" s="103"/>
      <c r="B39" s="104"/>
      <c r="N39" s="104"/>
      <c r="Z39" s="104"/>
    </row>
    <row r="40" spans="1:38">
      <c r="A40" s="103"/>
      <c r="B40" s="104"/>
      <c r="N40" s="104"/>
      <c r="Z40" s="104"/>
    </row>
    <row r="41" spans="1:38" ht="15.75" hidden="1">
      <c r="A41" s="330" t="s">
        <v>240</v>
      </c>
      <c r="B41" s="104"/>
      <c r="N41" s="104"/>
      <c r="Z41" s="104"/>
    </row>
    <row r="42" spans="1:38" hidden="1"/>
    <row r="43" spans="1:38" s="343" customFormat="1" ht="24" hidden="1" customHeight="1">
      <c r="A43" s="342"/>
      <c r="B43" s="109" t="s">
        <v>100</v>
      </c>
      <c r="C43" s="109" t="s">
        <v>76</v>
      </c>
      <c r="D43" s="109" t="s">
        <v>77</v>
      </c>
      <c r="E43" s="109" t="s">
        <v>78</v>
      </c>
      <c r="F43" s="109" t="s">
        <v>75</v>
      </c>
      <c r="G43" s="109" t="s">
        <v>79</v>
      </c>
      <c r="H43" s="109" t="s">
        <v>80</v>
      </c>
      <c r="I43" s="109" t="s">
        <v>81</v>
      </c>
      <c r="J43" s="109" t="s">
        <v>82</v>
      </c>
      <c r="K43" s="109" t="s">
        <v>83</v>
      </c>
      <c r="L43" s="109" t="s">
        <v>84</v>
      </c>
      <c r="M43" s="109" t="s">
        <v>101</v>
      </c>
      <c r="N43" s="109" t="s">
        <v>100</v>
      </c>
      <c r="O43" s="109" t="s">
        <v>76</v>
      </c>
      <c r="P43" s="109" t="s">
        <v>77</v>
      </c>
      <c r="Q43" s="109" t="s">
        <v>78</v>
      </c>
      <c r="R43" s="109" t="s">
        <v>75</v>
      </c>
      <c r="S43" s="109" t="s">
        <v>79</v>
      </c>
      <c r="T43" s="109" t="s">
        <v>80</v>
      </c>
      <c r="U43" s="109" t="s">
        <v>81</v>
      </c>
      <c r="V43" s="109" t="s">
        <v>82</v>
      </c>
      <c r="W43" s="109" t="s">
        <v>83</v>
      </c>
      <c r="X43" s="109" t="s">
        <v>84</v>
      </c>
      <c r="Y43" s="109" t="s">
        <v>101</v>
      </c>
      <c r="Z43" s="109" t="s">
        <v>100</v>
      </c>
      <c r="AA43" s="109" t="s">
        <v>76</v>
      </c>
      <c r="AB43" s="109" t="s">
        <v>77</v>
      </c>
      <c r="AC43" s="109" t="s">
        <v>78</v>
      </c>
      <c r="AD43" s="109" t="s">
        <v>75</v>
      </c>
      <c r="AE43" s="109" t="s">
        <v>79</v>
      </c>
      <c r="AF43" s="109" t="s">
        <v>80</v>
      </c>
      <c r="AG43" s="109" t="s">
        <v>81</v>
      </c>
      <c r="AH43" s="109" t="s">
        <v>82</v>
      </c>
      <c r="AI43" s="109" t="s">
        <v>83</v>
      </c>
      <c r="AJ43" s="109" t="s">
        <v>84</v>
      </c>
      <c r="AK43" s="109" t="s">
        <v>101</v>
      </c>
    </row>
    <row r="44" spans="1:38" hidden="1">
      <c r="A44" s="103"/>
      <c r="B44" s="104"/>
    </row>
    <row r="45" spans="1:38" ht="15" hidden="1">
      <c r="A45" s="114" t="s">
        <v>10</v>
      </c>
      <c r="B45" s="185">
        <v>0</v>
      </c>
      <c r="C45" s="185" t="e">
        <f>B53</f>
        <v>#REF!</v>
      </c>
      <c r="D45" s="185" t="e">
        <f>C53</f>
        <v>#REF!</v>
      </c>
      <c r="E45" s="185" t="e">
        <f>D53+D58</f>
        <v>#REF!</v>
      </c>
      <c r="F45" s="185" t="e">
        <f>E53</f>
        <v>#REF!</v>
      </c>
      <c r="G45" s="185" t="e">
        <f>F53</f>
        <v>#REF!</v>
      </c>
      <c r="H45" s="185" t="e">
        <f>G53+G58</f>
        <v>#REF!</v>
      </c>
      <c r="I45" s="185" t="e">
        <f>H53</f>
        <v>#REF!</v>
      </c>
      <c r="J45" s="185" t="e">
        <f>I53</f>
        <v>#REF!</v>
      </c>
      <c r="K45" s="185" t="e">
        <f>J53+J58</f>
        <v>#REF!</v>
      </c>
      <c r="L45" s="185" t="e">
        <f>K53</f>
        <v>#REF!</v>
      </c>
      <c r="M45" s="185" t="e">
        <f>L53</f>
        <v>#REF!</v>
      </c>
      <c r="N45" s="185" t="e">
        <f t="shared" ref="N45:AK45" si="22">M53</f>
        <v>#REF!</v>
      </c>
      <c r="O45" s="185" t="e">
        <f t="shared" si="22"/>
        <v>#REF!</v>
      </c>
      <c r="P45" s="185" t="e">
        <f t="shared" si="22"/>
        <v>#REF!</v>
      </c>
      <c r="Q45" s="185" t="e">
        <f t="shared" si="22"/>
        <v>#REF!</v>
      </c>
      <c r="R45" s="185" t="e">
        <f t="shared" si="22"/>
        <v>#REF!</v>
      </c>
      <c r="S45" s="185" t="e">
        <f t="shared" si="22"/>
        <v>#REF!</v>
      </c>
      <c r="T45" s="185" t="e">
        <f t="shared" si="22"/>
        <v>#REF!</v>
      </c>
      <c r="U45" s="185" t="e">
        <f t="shared" si="22"/>
        <v>#REF!</v>
      </c>
      <c r="V45" s="185" t="e">
        <f t="shared" si="22"/>
        <v>#REF!</v>
      </c>
      <c r="W45" s="185" t="e">
        <f t="shared" si="22"/>
        <v>#REF!</v>
      </c>
      <c r="X45" s="185" t="e">
        <f t="shared" si="22"/>
        <v>#REF!</v>
      </c>
      <c r="Y45" s="185" t="e">
        <f t="shared" si="22"/>
        <v>#REF!</v>
      </c>
      <c r="Z45" s="185" t="e">
        <f t="shared" si="22"/>
        <v>#REF!</v>
      </c>
      <c r="AA45" s="185" t="e">
        <f t="shared" si="22"/>
        <v>#REF!</v>
      </c>
      <c r="AB45" s="185" t="e">
        <f t="shared" si="22"/>
        <v>#REF!</v>
      </c>
      <c r="AC45" s="185" t="e">
        <f t="shared" si="22"/>
        <v>#REF!</v>
      </c>
      <c r="AD45" s="185" t="e">
        <f t="shared" si="22"/>
        <v>#REF!</v>
      </c>
      <c r="AE45" s="185" t="e">
        <f t="shared" si="22"/>
        <v>#REF!</v>
      </c>
      <c r="AF45" s="185" t="e">
        <f t="shared" si="22"/>
        <v>#REF!</v>
      </c>
      <c r="AG45" s="185" t="e">
        <f t="shared" si="22"/>
        <v>#REF!</v>
      </c>
      <c r="AH45" s="185" t="e">
        <f t="shared" si="22"/>
        <v>#REF!</v>
      </c>
      <c r="AI45" s="185" t="e">
        <f t="shared" si="22"/>
        <v>#REF!</v>
      </c>
      <c r="AJ45" s="185" t="e">
        <f t="shared" si="22"/>
        <v>#REF!</v>
      </c>
      <c r="AK45" s="185" t="e">
        <f t="shared" si="22"/>
        <v>#REF!</v>
      </c>
    </row>
    <row r="46" spans="1:38" ht="15" hidden="1">
      <c r="A46" s="108"/>
      <c r="B46" s="185"/>
      <c r="C46" s="185"/>
      <c r="D46" s="185"/>
      <c r="E46" s="185"/>
      <c r="F46" s="185"/>
      <c r="G46" s="185"/>
      <c r="H46" s="185"/>
      <c r="I46" s="185"/>
      <c r="J46" s="185"/>
      <c r="K46" s="185"/>
      <c r="L46" s="185"/>
      <c r="M46" s="185"/>
    </row>
    <row r="47" spans="1:38" ht="15.75" hidden="1">
      <c r="A47" s="108" t="s">
        <v>102</v>
      </c>
      <c r="B47" s="229" t="e">
        <f>'Monthly Entry'!C37</f>
        <v>#REF!</v>
      </c>
      <c r="C47" s="229" t="e">
        <f>'Monthly Entry'!D37</f>
        <v>#REF!</v>
      </c>
      <c r="D47" s="229" t="e">
        <f>'Monthly Entry'!E37</f>
        <v>#REF!</v>
      </c>
      <c r="E47" s="229" t="e">
        <f>'Monthly Entry'!F37</f>
        <v>#REF!</v>
      </c>
      <c r="F47" s="229" t="e">
        <f>'Monthly Entry'!G37</f>
        <v>#REF!</v>
      </c>
      <c r="G47" s="229" t="e">
        <f>'Monthly Entry'!H37</f>
        <v>#REF!</v>
      </c>
      <c r="H47" s="229" t="e">
        <f>'Monthly Entry'!I37</f>
        <v>#REF!</v>
      </c>
      <c r="I47" s="229" t="e">
        <f>'Monthly Entry'!J37</f>
        <v>#REF!</v>
      </c>
      <c r="J47" s="229" t="e">
        <f>'Monthly Entry'!K37</f>
        <v>#REF!</v>
      </c>
      <c r="K47" s="229" t="e">
        <f>'Monthly Entry'!L37</f>
        <v>#REF!</v>
      </c>
      <c r="L47" s="229" t="e">
        <f>'Monthly Entry'!M37</f>
        <v>#REF!</v>
      </c>
      <c r="M47" s="229" t="e">
        <f>'Monthly Entry'!N37</f>
        <v>#REF!</v>
      </c>
      <c r="N47" s="229" t="e">
        <f>'Monthly Entry'!O37</f>
        <v>#REF!</v>
      </c>
      <c r="O47" s="229" t="e">
        <f>'Monthly Entry'!P37</f>
        <v>#REF!</v>
      </c>
      <c r="P47" s="229" t="e">
        <f>'Monthly Entry'!Q37</f>
        <v>#REF!</v>
      </c>
      <c r="Q47" s="229" t="e">
        <f>'Monthly Entry'!R37</f>
        <v>#REF!</v>
      </c>
      <c r="R47" s="229" t="e">
        <f>'Monthly Entry'!S37</f>
        <v>#REF!</v>
      </c>
      <c r="S47" s="229" t="e">
        <f>'Monthly Entry'!T37</f>
        <v>#REF!</v>
      </c>
      <c r="T47" s="229" t="e">
        <f>'Monthly Entry'!U37</f>
        <v>#REF!</v>
      </c>
      <c r="U47" s="229" t="e">
        <f>'Monthly Entry'!V37</f>
        <v>#REF!</v>
      </c>
      <c r="V47" s="229" t="e">
        <f>'Monthly Entry'!W37</f>
        <v>#REF!</v>
      </c>
      <c r="W47" s="229" t="e">
        <f>'Monthly Entry'!X37</f>
        <v>#REF!</v>
      </c>
      <c r="X47" s="229" t="e">
        <f>'Monthly Entry'!Y37</f>
        <v>#REF!</v>
      </c>
      <c r="Y47" s="229" t="e">
        <f>'Monthly Entry'!Z37</f>
        <v>#REF!</v>
      </c>
      <c r="Z47" s="229" t="e">
        <f>'Monthly Entry'!AA37</f>
        <v>#REF!</v>
      </c>
      <c r="AA47" s="229" t="e">
        <f>'Monthly Entry'!AB37</f>
        <v>#REF!</v>
      </c>
      <c r="AB47" s="229" t="e">
        <f>'Monthly Entry'!AC37</f>
        <v>#REF!</v>
      </c>
      <c r="AC47" s="229" t="e">
        <f>'Monthly Entry'!AD37</f>
        <v>#REF!</v>
      </c>
      <c r="AD47" s="229" t="e">
        <f>'Monthly Entry'!AE37</f>
        <v>#REF!</v>
      </c>
      <c r="AE47" s="229" t="e">
        <f>'Monthly Entry'!AF37</f>
        <v>#REF!</v>
      </c>
      <c r="AF47" s="229" t="e">
        <f>'Monthly Entry'!AG37</f>
        <v>#REF!</v>
      </c>
      <c r="AG47" s="229" t="e">
        <f>'Monthly Entry'!AH37</f>
        <v>#REF!</v>
      </c>
      <c r="AH47" s="229" t="e">
        <f>'Monthly Entry'!AI37</f>
        <v>#REF!</v>
      </c>
      <c r="AI47" s="229" t="e">
        <f>'Monthly Entry'!AJ37</f>
        <v>#REF!</v>
      </c>
      <c r="AJ47" s="229" t="e">
        <f>'Monthly Entry'!AK37</f>
        <v>#REF!</v>
      </c>
      <c r="AK47" s="229" t="e">
        <f>'Monthly Entry'!AL37</f>
        <v>#REF!</v>
      </c>
    </row>
    <row r="48" spans="1:38" ht="15.75" hidden="1">
      <c r="A48" s="108"/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</row>
    <row r="49" spans="1:37" ht="15.75" hidden="1">
      <c r="A49" s="114" t="s">
        <v>175</v>
      </c>
      <c r="B49" s="230">
        <f>B14</f>
        <v>0</v>
      </c>
      <c r="C49" s="230">
        <f t="shared" ref="C49:AK49" si="23">C14</f>
        <v>0</v>
      </c>
      <c r="D49" s="230">
        <f t="shared" si="23"/>
        <v>-1522.4872963041378</v>
      </c>
      <c r="E49" s="230">
        <f t="shared" si="23"/>
        <v>-3535.0560460265428</v>
      </c>
      <c r="F49" s="230">
        <f t="shared" si="23"/>
        <v>-3563.6539699785012</v>
      </c>
      <c r="G49" s="230">
        <f t="shared" si="23"/>
        <v>-3770.4015648452951</v>
      </c>
      <c r="H49" s="230">
        <f t="shared" si="23"/>
        <v>-4490.6212996953054</v>
      </c>
      <c r="I49" s="230">
        <f t="shared" si="23"/>
        <v>-4182.2284553284117</v>
      </c>
      <c r="J49" s="230">
        <f t="shared" si="23"/>
        <v>-4322.6176822805464</v>
      </c>
      <c r="K49" s="230">
        <f t="shared" si="23"/>
        <v>-4005.4483417789525</v>
      </c>
      <c r="L49" s="230">
        <f t="shared" si="23"/>
        <v>-3142.8565994851542</v>
      </c>
      <c r="M49" s="230">
        <f t="shared" si="23"/>
        <v>-3864.5406323973439</v>
      </c>
      <c r="N49" s="230">
        <f t="shared" si="23"/>
        <v>-3094.8015891045202</v>
      </c>
      <c r="O49" s="230">
        <f t="shared" si="23"/>
        <v>-2632.4130647701486</v>
      </c>
      <c r="P49" s="230">
        <f t="shared" si="23"/>
        <v>-2908.2523809327045</v>
      </c>
      <c r="Q49" s="230">
        <f t="shared" si="23"/>
        <v>-2893.6218767368605</v>
      </c>
      <c r="R49" s="230">
        <f t="shared" si="23"/>
        <v>-2930.9854632287238</v>
      </c>
      <c r="S49" s="230">
        <f t="shared" si="23"/>
        <v>-3199.3216614813232</v>
      </c>
      <c r="T49" s="230">
        <f t="shared" si="23"/>
        <v>-3553.5945230154034</v>
      </c>
      <c r="U49" s="230">
        <f t="shared" si="23"/>
        <v>-3612.4271687541045</v>
      </c>
      <c r="V49" s="230">
        <f t="shared" si="23"/>
        <v>-3756.2779714840167</v>
      </c>
      <c r="W49" s="230">
        <f t="shared" si="23"/>
        <v>-3379.6825463192822</v>
      </c>
      <c r="X49" s="230">
        <f t="shared" si="23"/>
        <v>-2784.8069689534486</v>
      </c>
      <c r="Y49" s="230">
        <f t="shared" si="23"/>
        <v>-3251.4114011854545</v>
      </c>
      <c r="Z49" s="230">
        <f t="shared" si="23"/>
        <v>-3117.2143429592365</v>
      </c>
      <c r="AA49" s="230">
        <f t="shared" si="23"/>
        <v>-3210.5058258502095</v>
      </c>
      <c r="AB49" s="230">
        <f t="shared" si="23"/>
        <v>-3464.2803064906984</v>
      </c>
      <c r="AC49" s="230">
        <f t="shared" si="23"/>
        <v>-3072.7159996231239</v>
      </c>
      <c r="AD49" s="230">
        <f t="shared" si="23"/>
        <v>-2829.2243977352714</v>
      </c>
      <c r="AE49" s="230">
        <f t="shared" si="23"/>
        <v>-3638.1393160542507</v>
      </c>
      <c r="AF49" s="230">
        <f t="shared" si="23"/>
        <v>-4136.310295168757</v>
      </c>
      <c r="AG49" s="230">
        <f t="shared" si="23"/>
        <v>-4533.0934107670582</v>
      </c>
      <c r="AH49" s="230">
        <f t="shared" si="23"/>
        <v>-4369.5610247064014</v>
      </c>
      <c r="AI49" s="230">
        <f t="shared" si="23"/>
        <v>-4092.1948246837296</v>
      </c>
      <c r="AJ49" s="230">
        <f t="shared" si="23"/>
        <v>-3679.1031200306984</v>
      </c>
      <c r="AK49" s="230">
        <f t="shared" si="23"/>
        <v>-4010.3813261490859</v>
      </c>
    </row>
    <row r="50" spans="1:37" ht="15" hidden="1">
      <c r="A50" s="114"/>
      <c r="B50" s="185"/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185"/>
    </row>
    <row r="51" spans="1:37" ht="15" hidden="1">
      <c r="A51" s="114" t="s">
        <v>103</v>
      </c>
      <c r="B51" s="185" t="e">
        <f>B47+B49</f>
        <v>#REF!</v>
      </c>
      <c r="C51" s="185" t="e">
        <f t="shared" ref="C51:AK51" si="24">C47+C49</f>
        <v>#REF!</v>
      </c>
      <c r="D51" s="185" t="e">
        <f t="shared" si="24"/>
        <v>#REF!</v>
      </c>
      <c r="E51" s="185" t="e">
        <f t="shared" si="24"/>
        <v>#REF!</v>
      </c>
      <c r="F51" s="185" t="e">
        <f t="shared" si="24"/>
        <v>#REF!</v>
      </c>
      <c r="G51" s="185" t="e">
        <f t="shared" si="24"/>
        <v>#REF!</v>
      </c>
      <c r="H51" s="185" t="e">
        <f t="shared" si="24"/>
        <v>#REF!</v>
      </c>
      <c r="I51" s="185" t="e">
        <f t="shared" si="24"/>
        <v>#REF!</v>
      </c>
      <c r="J51" s="185" t="e">
        <f t="shared" si="24"/>
        <v>#REF!</v>
      </c>
      <c r="K51" s="185" t="e">
        <f t="shared" si="24"/>
        <v>#REF!</v>
      </c>
      <c r="L51" s="185" t="e">
        <f t="shared" si="24"/>
        <v>#REF!</v>
      </c>
      <c r="M51" s="185" t="e">
        <f t="shared" si="24"/>
        <v>#REF!</v>
      </c>
      <c r="N51" s="185" t="e">
        <f t="shared" si="24"/>
        <v>#REF!</v>
      </c>
      <c r="O51" s="185" t="e">
        <f t="shared" si="24"/>
        <v>#REF!</v>
      </c>
      <c r="P51" s="185" t="e">
        <f t="shared" si="24"/>
        <v>#REF!</v>
      </c>
      <c r="Q51" s="185" t="e">
        <f t="shared" si="24"/>
        <v>#REF!</v>
      </c>
      <c r="R51" s="185" t="e">
        <f t="shared" si="24"/>
        <v>#REF!</v>
      </c>
      <c r="S51" s="185" t="e">
        <f t="shared" si="24"/>
        <v>#REF!</v>
      </c>
      <c r="T51" s="185" t="e">
        <f t="shared" si="24"/>
        <v>#REF!</v>
      </c>
      <c r="U51" s="185" t="e">
        <f t="shared" si="24"/>
        <v>#REF!</v>
      </c>
      <c r="V51" s="185" t="e">
        <f t="shared" si="24"/>
        <v>#REF!</v>
      </c>
      <c r="W51" s="185" t="e">
        <f t="shared" si="24"/>
        <v>#REF!</v>
      </c>
      <c r="X51" s="185" t="e">
        <f t="shared" si="24"/>
        <v>#REF!</v>
      </c>
      <c r="Y51" s="185" t="e">
        <f t="shared" si="24"/>
        <v>#REF!</v>
      </c>
      <c r="Z51" s="185" t="e">
        <f t="shared" si="24"/>
        <v>#REF!</v>
      </c>
      <c r="AA51" s="185" t="e">
        <f t="shared" si="24"/>
        <v>#REF!</v>
      </c>
      <c r="AB51" s="185" t="e">
        <f t="shared" si="24"/>
        <v>#REF!</v>
      </c>
      <c r="AC51" s="185" t="e">
        <f t="shared" si="24"/>
        <v>#REF!</v>
      </c>
      <c r="AD51" s="185" t="e">
        <f t="shared" si="24"/>
        <v>#REF!</v>
      </c>
      <c r="AE51" s="185" t="e">
        <f t="shared" si="24"/>
        <v>#REF!</v>
      </c>
      <c r="AF51" s="185" t="e">
        <f t="shared" si="24"/>
        <v>#REF!</v>
      </c>
      <c r="AG51" s="185" t="e">
        <f t="shared" si="24"/>
        <v>#REF!</v>
      </c>
      <c r="AH51" s="185" t="e">
        <f t="shared" si="24"/>
        <v>#REF!</v>
      </c>
      <c r="AI51" s="185" t="e">
        <f t="shared" si="24"/>
        <v>#REF!</v>
      </c>
      <c r="AJ51" s="185" t="e">
        <f t="shared" si="24"/>
        <v>#REF!</v>
      </c>
      <c r="AK51" s="185" t="e">
        <f t="shared" si="24"/>
        <v>#REF!</v>
      </c>
    </row>
    <row r="52" spans="1:37" ht="15" hidden="1">
      <c r="A52" s="114"/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</row>
    <row r="53" spans="1:37" ht="15" hidden="1">
      <c r="A53" s="114" t="s">
        <v>11</v>
      </c>
      <c r="B53" s="185" t="e">
        <f t="shared" ref="B53:AK53" si="25">B45+B51</f>
        <v>#REF!</v>
      </c>
      <c r="C53" s="185" t="e">
        <f t="shared" si="25"/>
        <v>#REF!</v>
      </c>
      <c r="D53" s="231" t="e">
        <f t="shared" si="25"/>
        <v>#REF!</v>
      </c>
      <c r="E53" s="231" t="e">
        <f t="shared" si="25"/>
        <v>#REF!</v>
      </c>
      <c r="F53" s="231" t="e">
        <f t="shared" si="25"/>
        <v>#REF!</v>
      </c>
      <c r="G53" s="231" t="e">
        <f t="shared" si="25"/>
        <v>#REF!</v>
      </c>
      <c r="H53" s="231" t="e">
        <f t="shared" si="25"/>
        <v>#REF!</v>
      </c>
      <c r="I53" s="231" t="e">
        <f t="shared" si="25"/>
        <v>#REF!</v>
      </c>
      <c r="J53" s="231" t="e">
        <f t="shared" si="25"/>
        <v>#REF!</v>
      </c>
      <c r="K53" s="231" t="e">
        <f t="shared" si="25"/>
        <v>#REF!</v>
      </c>
      <c r="L53" s="231" t="e">
        <f t="shared" si="25"/>
        <v>#REF!</v>
      </c>
      <c r="M53" s="231" t="e">
        <f t="shared" si="25"/>
        <v>#REF!</v>
      </c>
      <c r="N53" s="231" t="e">
        <f t="shared" si="25"/>
        <v>#REF!</v>
      </c>
      <c r="O53" s="231" t="e">
        <f t="shared" si="25"/>
        <v>#REF!</v>
      </c>
      <c r="P53" s="231" t="e">
        <f t="shared" si="25"/>
        <v>#REF!</v>
      </c>
      <c r="Q53" s="231" t="e">
        <f t="shared" si="25"/>
        <v>#REF!</v>
      </c>
      <c r="R53" s="231" t="e">
        <f t="shared" si="25"/>
        <v>#REF!</v>
      </c>
      <c r="S53" s="231" t="e">
        <f t="shared" si="25"/>
        <v>#REF!</v>
      </c>
      <c r="T53" s="231" t="e">
        <f t="shared" si="25"/>
        <v>#REF!</v>
      </c>
      <c r="U53" s="231" t="e">
        <f t="shared" si="25"/>
        <v>#REF!</v>
      </c>
      <c r="V53" s="231" t="e">
        <f t="shared" si="25"/>
        <v>#REF!</v>
      </c>
      <c r="W53" s="231" t="e">
        <f t="shared" si="25"/>
        <v>#REF!</v>
      </c>
      <c r="X53" s="231" t="e">
        <f t="shared" si="25"/>
        <v>#REF!</v>
      </c>
      <c r="Y53" s="231" t="e">
        <f t="shared" si="25"/>
        <v>#REF!</v>
      </c>
      <c r="Z53" s="231" t="e">
        <f t="shared" si="25"/>
        <v>#REF!</v>
      </c>
      <c r="AA53" s="231" t="e">
        <f t="shared" si="25"/>
        <v>#REF!</v>
      </c>
      <c r="AB53" s="231" t="e">
        <f t="shared" si="25"/>
        <v>#REF!</v>
      </c>
      <c r="AC53" s="231" t="e">
        <f t="shared" si="25"/>
        <v>#REF!</v>
      </c>
      <c r="AD53" s="231" t="e">
        <f t="shared" si="25"/>
        <v>#REF!</v>
      </c>
      <c r="AE53" s="231" t="e">
        <f t="shared" si="25"/>
        <v>#REF!</v>
      </c>
      <c r="AF53" s="231" t="e">
        <f t="shared" si="25"/>
        <v>#REF!</v>
      </c>
      <c r="AG53" s="231" t="e">
        <f t="shared" si="25"/>
        <v>#REF!</v>
      </c>
      <c r="AH53" s="231" t="e">
        <f t="shared" si="25"/>
        <v>#REF!</v>
      </c>
      <c r="AI53" s="231" t="e">
        <f t="shared" si="25"/>
        <v>#REF!</v>
      </c>
      <c r="AJ53" s="231" t="e">
        <f t="shared" si="25"/>
        <v>#REF!</v>
      </c>
      <c r="AK53" s="231" t="e">
        <f t="shared" si="25"/>
        <v>#REF!</v>
      </c>
    </row>
    <row r="54" spans="1:37" ht="15" hidden="1">
      <c r="A54" s="114"/>
      <c r="B54" s="185"/>
      <c r="C54" s="185"/>
      <c r="D54" s="231"/>
      <c r="E54" s="231"/>
      <c r="F54" s="231"/>
      <c r="G54" s="231"/>
      <c r="H54" s="231"/>
      <c r="I54" s="231"/>
      <c r="J54" s="231"/>
      <c r="K54" s="231"/>
      <c r="L54" s="231"/>
      <c r="M54" s="231"/>
    </row>
    <row r="55" spans="1:37" ht="15" hidden="1">
      <c r="A55" s="114" t="s">
        <v>104</v>
      </c>
      <c r="B55" s="185" t="e">
        <f t="shared" ref="B55:AK55" si="26">(B45+B53)/2</f>
        <v>#REF!</v>
      </c>
      <c r="C55" s="185" t="e">
        <f t="shared" si="26"/>
        <v>#REF!</v>
      </c>
      <c r="D55" s="231" t="e">
        <f t="shared" si="26"/>
        <v>#REF!</v>
      </c>
      <c r="E55" s="231" t="e">
        <f t="shared" si="26"/>
        <v>#REF!</v>
      </c>
      <c r="F55" s="231" t="e">
        <f t="shared" si="26"/>
        <v>#REF!</v>
      </c>
      <c r="G55" s="231" t="e">
        <f t="shared" si="26"/>
        <v>#REF!</v>
      </c>
      <c r="H55" s="231" t="e">
        <f t="shared" si="26"/>
        <v>#REF!</v>
      </c>
      <c r="I55" s="231" t="e">
        <f t="shared" si="26"/>
        <v>#REF!</v>
      </c>
      <c r="J55" s="231" t="e">
        <f t="shared" si="26"/>
        <v>#REF!</v>
      </c>
      <c r="K55" s="231" t="e">
        <f t="shared" si="26"/>
        <v>#REF!</v>
      </c>
      <c r="L55" s="231" t="e">
        <f t="shared" si="26"/>
        <v>#REF!</v>
      </c>
      <c r="M55" s="231" t="e">
        <f t="shared" si="26"/>
        <v>#REF!</v>
      </c>
      <c r="N55" s="231" t="e">
        <f t="shared" si="26"/>
        <v>#REF!</v>
      </c>
      <c r="O55" s="231" t="e">
        <f t="shared" si="26"/>
        <v>#REF!</v>
      </c>
      <c r="P55" s="231" t="e">
        <f t="shared" si="26"/>
        <v>#REF!</v>
      </c>
      <c r="Q55" s="231" t="e">
        <f t="shared" si="26"/>
        <v>#REF!</v>
      </c>
      <c r="R55" s="231" t="e">
        <f t="shared" si="26"/>
        <v>#REF!</v>
      </c>
      <c r="S55" s="231" t="e">
        <f t="shared" si="26"/>
        <v>#REF!</v>
      </c>
      <c r="T55" s="231" t="e">
        <f t="shared" si="26"/>
        <v>#REF!</v>
      </c>
      <c r="U55" s="231" t="e">
        <f t="shared" si="26"/>
        <v>#REF!</v>
      </c>
      <c r="V55" s="231" t="e">
        <f t="shared" si="26"/>
        <v>#REF!</v>
      </c>
      <c r="W55" s="231" t="e">
        <f t="shared" si="26"/>
        <v>#REF!</v>
      </c>
      <c r="X55" s="231" t="e">
        <f t="shared" si="26"/>
        <v>#REF!</v>
      </c>
      <c r="Y55" s="231" t="e">
        <f t="shared" si="26"/>
        <v>#REF!</v>
      </c>
      <c r="Z55" s="231" t="e">
        <f t="shared" si="26"/>
        <v>#REF!</v>
      </c>
      <c r="AA55" s="231" t="e">
        <f t="shared" si="26"/>
        <v>#REF!</v>
      </c>
      <c r="AB55" s="231" t="e">
        <f t="shared" si="26"/>
        <v>#REF!</v>
      </c>
      <c r="AC55" s="231" t="e">
        <f t="shared" si="26"/>
        <v>#REF!</v>
      </c>
      <c r="AD55" s="231" t="e">
        <f t="shared" si="26"/>
        <v>#REF!</v>
      </c>
      <c r="AE55" s="231" t="e">
        <f t="shared" si="26"/>
        <v>#REF!</v>
      </c>
      <c r="AF55" s="231" t="e">
        <f t="shared" si="26"/>
        <v>#REF!</v>
      </c>
      <c r="AG55" s="231" t="e">
        <f t="shared" si="26"/>
        <v>#REF!</v>
      </c>
      <c r="AH55" s="231" t="e">
        <f t="shared" si="26"/>
        <v>#REF!</v>
      </c>
      <c r="AI55" s="231" t="e">
        <f t="shared" si="26"/>
        <v>#REF!</v>
      </c>
      <c r="AJ55" s="231" t="e">
        <f t="shared" si="26"/>
        <v>#REF!</v>
      </c>
      <c r="AK55" s="231" t="e">
        <f t="shared" si="26"/>
        <v>#REF!</v>
      </c>
    </row>
    <row r="56" spans="1:37" ht="18" hidden="1">
      <c r="A56" s="114" t="s">
        <v>105</v>
      </c>
      <c r="B56" s="236">
        <f>B21</f>
        <v>7.7600000000000002E-2</v>
      </c>
      <c r="C56" s="236">
        <f t="shared" ref="C56:AK56" si="27">C21</f>
        <v>7.7600000000000002E-2</v>
      </c>
      <c r="D56" s="236">
        <f t="shared" si="27"/>
        <v>7.7600000000000002E-2</v>
      </c>
      <c r="E56" s="236">
        <f t="shared" si="27"/>
        <v>6.7699999999999996E-2</v>
      </c>
      <c r="F56" s="236">
        <f t="shared" si="27"/>
        <v>6.7699999999999996E-2</v>
      </c>
      <c r="G56" s="236">
        <f t="shared" si="27"/>
        <v>6.7699999999999996E-2</v>
      </c>
      <c r="H56" s="236">
        <f t="shared" si="27"/>
        <v>5.2999999999999999E-2</v>
      </c>
      <c r="I56" s="236">
        <f t="shared" si="27"/>
        <v>5.2999999999999999E-2</v>
      </c>
      <c r="J56" s="236">
        <f t="shared" si="27"/>
        <v>5.2999999999999999E-2</v>
      </c>
      <c r="K56" s="236">
        <f t="shared" si="27"/>
        <v>0.05</v>
      </c>
      <c r="L56" s="236">
        <f t="shared" si="27"/>
        <v>0.05</v>
      </c>
      <c r="M56" s="236">
        <f t="shared" si="27"/>
        <v>0.05</v>
      </c>
      <c r="N56" s="236">
        <f t="shared" si="27"/>
        <v>4.5199999999999997E-2</v>
      </c>
      <c r="O56" s="236">
        <f t="shared" si="27"/>
        <v>4.5199999999999997E-2</v>
      </c>
      <c r="P56" s="236">
        <f t="shared" si="27"/>
        <v>4.5199999999999997E-2</v>
      </c>
      <c r="Q56" s="236">
        <f t="shared" si="27"/>
        <v>3.3700000000000001E-2</v>
      </c>
      <c r="R56" s="236">
        <f t="shared" si="27"/>
        <v>3.3700000000000001E-2</v>
      </c>
      <c r="S56" s="236">
        <f t="shared" si="27"/>
        <v>3.3700000000000001E-2</v>
      </c>
      <c r="T56" s="236">
        <f t="shared" si="27"/>
        <v>3.2500000000000001E-2</v>
      </c>
      <c r="U56" s="236">
        <f t="shared" si="27"/>
        <v>3.2500000000000001E-2</v>
      </c>
      <c r="V56" s="236">
        <f t="shared" si="27"/>
        <v>3.2500000000000001E-2</v>
      </c>
      <c r="W56" s="236">
        <f t="shared" si="27"/>
        <v>3.2500000000000001E-2</v>
      </c>
      <c r="X56" s="236">
        <f t="shared" si="27"/>
        <v>3.2500000000000001E-2</v>
      </c>
      <c r="Y56" s="236">
        <f t="shared" si="27"/>
        <v>3.2500000000000001E-2</v>
      </c>
      <c r="Z56" s="236">
        <f t="shared" si="27"/>
        <v>3.2500000000000001E-2</v>
      </c>
      <c r="AA56" s="236">
        <f t="shared" si="27"/>
        <v>3.2500000000000001E-2</v>
      </c>
      <c r="AB56" s="236">
        <f t="shared" si="27"/>
        <v>3.2500000000000001E-2</v>
      </c>
      <c r="AC56" s="236">
        <f t="shared" si="27"/>
        <v>3.2500000000000001E-2</v>
      </c>
      <c r="AD56" s="236">
        <f t="shared" si="27"/>
        <v>3.2500000000000001E-2</v>
      </c>
      <c r="AE56" s="236">
        <f t="shared" si="27"/>
        <v>3.2500000000000001E-2</v>
      </c>
      <c r="AF56" s="236">
        <f t="shared" si="27"/>
        <v>3.2500000000000001E-2</v>
      </c>
      <c r="AG56" s="236">
        <f t="shared" si="27"/>
        <v>3.2500000000000001E-2</v>
      </c>
      <c r="AH56" s="236">
        <f t="shared" si="27"/>
        <v>3.2500000000000001E-2</v>
      </c>
      <c r="AI56" s="236">
        <f t="shared" si="27"/>
        <v>3.2500000000000001E-2</v>
      </c>
      <c r="AJ56" s="236">
        <f t="shared" si="27"/>
        <v>3.2500000000000001E-2</v>
      </c>
      <c r="AK56" s="236">
        <f t="shared" si="27"/>
        <v>3.2500000000000001E-2</v>
      </c>
    </row>
    <row r="57" spans="1:37" ht="15" hidden="1">
      <c r="A57" s="114" t="s">
        <v>85</v>
      </c>
      <c r="B57" s="213" t="e">
        <f t="shared" ref="B57:AK57" si="28">+B55*B56/12</f>
        <v>#REF!</v>
      </c>
      <c r="C57" s="213" t="e">
        <f t="shared" si="28"/>
        <v>#REF!</v>
      </c>
      <c r="D57" s="232" t="e">
        <f t="shared" si="28"/>
        <v>#REF!</v>
      </c>
      <c r="E57" s="232" t="e">
        <f t="shared" si="28"/>
        <v>#REF!</v>
      </c>
      <c r="F57" s="232" t="e">
        <f t="shared" si="28"/>
        <v>#REF!</v>
      </c>
      <c r="G57" s="232" t="e">
        <f t="shared" si="28"/>
        <v>#REF!</v>
      </c>
      <c r="H57" s="232" t="e">
        <f t="shared" si="28"/>
        <v>#REF!</v>
      </c>
      <c r="I57" s="232" t="e">
        <f t="shared" si="28"/>
        <v>#REF!</v>
      </c>
      <c r="J57" s="232" t="e">
        <f t="shared" si="28"/>
        <v>#REF!</v>
      </c>
      <c r="K57" s="232" t="e">
        <f t="shared" si="28"/>
        <v>#REF!</v>
      </c>
      <c r="L57" s="232" t="e">
        <f t="shared" si="28"/>
        <v>#REF!</v>
      </c>
      <c r="M57" s="232" t="e">
        <f t="shared" si="28"/>
        <v>#REF!</v>
      </c>
      <c r="N57" s="232" t="e">
        <f t="shared" si="28"/>
        <v>#REF!</v>
      </c>
      <c r="O57" s="232" t="e">
        <f t="shared" si="28"/>
        <v>#REF!</v>
      </c>
      <c r="P57" s="232" t="e">
        <f t="shared" si="28"/>
        <v>#REF!</v>
      </c>
      <c r="Q57" s="232" t="e">
        <f t="shared" si="28"/>
        <v>#REF!</v>
      </c>
      <c r="R57" s="232" t="e">
        <f t="shared" si="28"/>
        <v>#REF!</v>
      </c>
      <c r="S57" s="232" t="e">
        <f t="shared" si="28"/>
        <v>#REF!</v>
      </c>
      <c r="T57" s="232" t="e">
        <f t="shared" si="28"/>
        <v>#REF!</v>
      </c>
      <c r="U57" s="232" t="e">
        <f t="shared" si="28"/>
        <v>#REF!</v>
      </c>
      <c r="V57" s="232" t="e">
        <f t="shared" si="28"/>
        <v>#REF!</v>
      </c>
      <c r="W57" s="232" t="e">
        <f t="shared" si="28"/>
        <v>#REF!</v>
      </c>
      <c r="X57" s="232" t="e">
        <f t="shared" si="28"/>
        <v>#REF!</v>
      </c>
      <c r="Y57" s="232" t="e">
        <f t="shared" si="28"/>
        <v>#REF!</v>
      </c>
      <c r="Z57" s="232" t="e">
        <f t="shared" si="28"/>
        <v>#REF!</v>
      </c>
      <c r="AA57" s="232" t="e">
        <f t="shared" si="28"/>
        <v>#REF!</v>
      </c>
      <c r="AB57" s="232" t="e">
        <f t="shared" si="28"/>
        <v>#REF!</v>
      </c>
      <c r="AC57" s="232" t="e">
        <f t="shared" si="28"/>
        <v>#REF!</v>
      </c>
      <c r="AD57" s="232" t="e">
        <f t="shared" si="28"/>
        <v>#REF!</v>
      </c>
      <c r="AE57" s="232" t="e">
        <f t="shared" si="28"/>
        <v>#REF!</v>
      </c>
      <c r="AF57" s="232" t="e">
        <f t="shared" si="28"/>
        <v>#REF!</v>
      </c>
      <c r="AG57" s="232" t="e">
        <f t="shared" si="28"/>
        <v>#REF!</v>
      </c>
      <c r="AH57" s="232" t="e">
        <f t="shared" si="28"/>
        <v>#REF!</v>
      </c>
      <c r="AI57" s="232" t="e">
        <f t="shared" si="28"/>
        <v>#REF!</v>
      </c>
      <c r="AJ57" s="232" t="e">
        <f t="shared" si="28"/>
        <v>#REF!</v>
      </c>
      <c r="AK57" s="232" t="e">
        <f t="shared" si="28"/>
        <v>#REF!</v>
      </c>
    </row>
    <row r="58" spans="1:37" s="341" customFormat="1" ht="15" hidden="1">
      <c r="A58" s="339" t="s">
        <v>106</v>
      </c>
      <c r="B58" s="338"/>
      <c r="C58" s="338"/>
      <c r="D58" s="271" t="e">
        <f>SUM(B57:D57)</f>
        <v>#REF!</v>
      </c>
      <c r="E58" s="271"/>
      <c r="F58" s="271"/>
      <c r="G58" s="271" t="e">
        <f>SUM(E57:G57)</f>
        <v>#REF!</v>
      </c>
      <c r="H58" s="271"/>
      <c r="I58" s="271"/>
      <c r="J58" s="271" t="e">
        <f>SUM(H57:J57)</f>
        <v>#REF!</v>
      </c>
      <c r="K58" s="267"/>
      <c r="L58" s="267"/>
      <c r="M58" s="340" t="e">
        <f>SUM(K57:M57)</f>
        <v>#REF!</v>
      </c>
      <c r="P58" s="338" t="e">
        <f>SUM(N57:P57)</f>
        <v>#REF!</v>
      </c>
      <c r="S58" s="338" t="e">
        <f>SUM(Q57:S57)</f>
        <v>#REF!</v>
      </c>
      <c r="V58" s="338" t="e">
        <f>SUM(T57:V57)</f>
        <v>#REF!</v>
      </c>
      <c r="Y58" s="338" t="e">
        <f>SUM(W57:Y57)</f>
        <v>#REF!</v>
      </c>
      <c r="AB58" s="338" t="e">
        <f>SUM(Z57:AB57)</f>
        <v>#REF!</v>
      </c>
      <c r="AE58" s="338" t="e">
        <f>SUM(AC57:AE57)</f>
        <v>#REF!</v>
      </c>
      <c r="AH58" s="338" t="e">
        <f>SUM(AF57:AH57)</f>
        <v>#REF!</v>
      </c>
      <c r="AK58" s="338" t="e">
        <f>SUM(AI57:AK57)</f>
        <v>#REF!</v>
      </c>
    </row>
    <row r="59" spans="1:37" ht="15" hidden="1">
      <c r="A59" s="114" t="s">
        <v>186</v>
      </c>
      <c r="B59" s="233"/>
      <c r="C59" s="234"/>
      <c r="D59" s="213" t="e">
        <f>D53</f>
        <v>#REF!</v>
      </c>
      <c r="E59" s="213" t="e">
        <f t="shared" ref="E59:AK59" si="29">E53</f>
        <v>#REF!</v>
      </c>
      <c r="F59" s="213" t="e">
        <f t="shared" si="29"/>
        <v>#REF!</v>
      </c>
      <c r="G59" s="213" t="e">
        <f t="shared" si="29"/>
        <v>#REF!</v>
      </c>
      <c r="H59" s="213" t="e">
        <f t="shared" si="29"/>
        <v>#REF!</v>
      </c>
      <c r="I59" s="213" t="e">
        <f t="shared" si="29"/>
        <v>#REF!</v>
      </c>
      <c r="J59" s="213" t="e">
        <f t="shared" si="29"/>
        <v>#REF!</v>
      </c>
      <c r="K59" s="213" t="e">
        <f t="shared" si="29"/>
        <v>#REF!</v>
      </c>
      <c r="L59" s="213" t="e">
        <f t="shared" si="29"/>
        <v>#REF!</v>
      </c>
      <c r="M59" s="213" t="e">
        <f t="shared" si="29"/>
        <v>#REF!</v>
      </c>
      <c r="N59" s="213" t="e">
        <f t="shared" si="29"/>
        <v>#REF!</v>
      </c>
      <c r="O59" s="213" t="e">
        <f t="shared" si="29"/>
        <v>#REF!</v>
      </c>
      <c r="P59" s="213" t="e">
        <f t="shared" si="29"/>
        <v>#REF!</v>
      </c>
      <c r="Q59" s="213" t="e">
        <f t="shared" si="29"/>
        <v>#REF!</v>
      </c>
      <c r="R59" s="213" t="e">
        <f t="shared" si="29"/>
        <v>#REF!</v>
      </c>
      <c r="S59" s="213" t="e">
        <f t="shared" si="29"/>
        <v>#REF!</v>
      </c>
      <c r="T59" s="213" t="e">
        <f t="shared" si="29"/>
        <v>#REF!</v>
      </c>
      <c r="U59" s="213" t="e">
        <f t="shared" si="29"/>
        <v>#REF!</v>
      </c>
      <c r="V59" s="213" t="e">
        <f t="shared" si="29"/>
        <v>#REF!</v>
      </c>
      <c r="W59" s="213" t="e">
        <f t="shared" si="29"/>
        <v>#REF!</v>
      </c>
      <c r="X59" s="213" t="e">
        <f t="shared" si="29"/>
        <v>#REF!</v>
      </c>
      <c r="Y59" s="213" t="e">
        <f t="shared" si="29"/>
        <v>#REF!</v>
      </c>
      <c r="Z59" s="213" t="e">
        <f t="shared" si="29"/>
        <v>#REF!</v>
      </c>
      <c r="AA59" s="213" t="e">
        <f t="shared" si="29"/>
        <v>#REF!</v>
      </c>
      <c r="AB59" s="213" t="e">
        <f t="shared" si="29"/>
        <v>#REF!</v>
      </c>
      <c r="AC59" s="213" t="e">
        <f t="shared" si="29"/>
        <v>#REF!</v>
      </c>
      <c r="AD59" s="213" t="e">
        <f t="shared" si="29"/>
        <v>#REF!</v>
      </c>
      <c r="AE59" s="213" t="e">
        <f t="shared" si="29"/>
        <v>#REF!</v>
      </c>
      <c r="AF59" s="213" t="e">
        <f t="shared" si="29"/>
        <v>#REF!</v>
      </c>
      <c r="AG59" s="213" t="e">
        <f t="shared" si="29"/>
        <v>#REF!</v>
      </c>
      <c r="AH59" s="213" t="e">
        <f t="shared" si="29"/>
        <v>#REF!</v>
      </c>
      <c r="AI59" s="213" t="e">
        <f t="shared" si="29"/>
        <v>#REF!</v>
      </c>
      <c r="AJ59" s="213" t="e">
        <f t="shared" si="29"/>
        <v>#REF!</v>
      </c>
      <c r="AK59" s="213" t="e">
        <f t="shared" si="29"/>
        <v>#REF!</v>
      </c>
    </row>
    <row r="60" spans="1:37" ht="15" hidden="1">
      <c r="A60" s="114" t="s">
        <v>187</v>
      </c>
      <c r="B60" s="235"/>
      <c r="C60" s="235"/>
      <c r="D60" s="185" t="e">
        <f>SUM(D58:D59)</f>
        <v>#REF!</v>
      </c>
      <c r="E60" s="185" t="e">
        <f t="shared" ref="E60:AK60" si="30">SUM(E58:E59)</f>
        <v>#REF!</v>
      </c>
      <c r="F60" s="185" t="e">
        <f t="shared" si="30"/>
        <v>#REF!</v>
      </c>
      <c r="G60" s="185" t="e">
        <f t="shared" si="30"/>
        <v>#REF!</v>
      </c>
      <c r="H60" s="185" t="e">
        <f t="shared" si="30"/>
        <v>#REF!</v>
      </c>
      <c r="I60" s="185" t="e">
        <f t="shared" si="30"/>
        <v>#REF!</v>
      </c>
      <c r="J60" s="185" t="e">
        <f t="shared" si="30"/>
        <v>#REF!</v>
      </c>
      <c r="K60" s="185" t="e">
        <f t="shared" si="30"/>
        <v>#REF!</v>
      </c>
      <c r="L60" s="185" t="e">
        <f t="shared" si="30"/>
        <v>#REF!</v>
      </c>
      <c r="M60" s="185" t="e">
        <f t="shared" si="30"/>
        <v>#REF!</v>
      </c>
      <c r="N60" s="185" t="e">
        <f t="shared" si="30"/>
        <v>#REF!</v>
      </c>
      <c r="O60" s="185" t="e">
        <f t="shared" si="30"/>
        <v>#REF!</v>
      </c>
      <c r="P60" s="185" t="e">
        <f t="shared" si="30"/>
        <v>#REF!</v>
      </c>
      <c r="Q60" s="185" t="e">
        <f t="shared" si="30"/>
        <v>#REF!</v>
      </c>
      <c r="R60" s="185" t="e">
        <f t="shared" si="30"/>
        <v>#REF!</v>
      </c>
      <c r="S60" s="185" t="e">
        <f t="shared" si="30"/>
        <v>#REF!</v>
      </c>
      <c r="T60" s="185" t="e">
        <f t="shared" si="30"/>
        <v>#REF!</v>
      </c>
      <c r="U60" s="185" t="e">
        <f t="shared" si="30"/>
        <v>#REF!</v>
      </c>
      <c r="V60" s="185" t="e">
        <f t="shared" si="30"/>
        <v>#REF!</v>
      </c>
      <c r="W60" s="185" t="e">
        <f t="shared" si="30"/>
        <v>#REF!</v>
      </c>
      <c r="X60" s="185" t="e">
        <f t="shared" si="30"/>
        <v>#REF!</v>
      </c>
      <c r="Y60" s="185" t="e">
        <f t="shared" si="30"/>
        <v>#REF!</v>
      </c>
      <c r="Z60" s="185" t="e">
        <f t="shared" si="30"/>
        <v>#REF!</v>
      </c>
      <c r="AA60" s="185" t="e">
        <f t="shared" si="30"/>
        <v>#REF!</v>
      </c>
      <c r="AB60" s="185" t="e">
        <f t="shared" si="30"/>
        <v>#REF!</v>
      </c>
      <c r="AC60" s="185" t="e">
        <f t="shared" si="30"/>
        <v>#REF!</v>
      </c>
      <c r="AD60" s="185" t="e">
        <f t="shared" si="30"/>
        <v>#REF!</v>
      </c>
      <c r="AE60" s="185" t="e">
        <f t="shared" si="30"/>
        <v>#REF!</v>
      </c>
      <c r="AF60" s="185" t="e">
        <f t="shared" si="30"/>
        <v>#REF!</v>
      </c>
      <c r="AG60" s="185" t="e">
        <f t="shared" si="30"/>
        <v>#REF!</v>
      </c>
      <c r="AH60" s="185" t="e">
        <f t="shared" si="30"/>
        <v>#REF!</v>
      </c>
      <c r="AI60" s="185" t="e">
        <f t="shared" si="30"/>
        <v>#REF!</v>
      </c>
      <c r="AJ60" s="185" t="e">
        <f t="shared" si="30"/>
        <v>#REF!</v>
      </c>
      <c r="AK60" s="185" t="e">
        <f t="shared" si="30"/>
        <v>#REF!</v>
      </c>
    </row>
    <row r="61" spans="1:37" ht="13.5" hidden="1" thickBot="1"/>
    <row r="62" spans="1:37" ht="17.25" hidden="1" thickTop="1" thickBot="1">
      <c r="A62" s="331" t="s">
        <v>241</v>
      </c>
      <c r="B62" s="332"/>
      <c r="C62" s="332"/>
      <c r="D62" s="333"/>
      <c r="E62" s="333"/>
      <c r="F62" s="333"/>
      <c r="G62" s="332"/>
      <c r="H62" s="332"/>
      <c r="I62" s="332"/>
      <c r="J62" s="332"/>
      <c r="K62" s="332"/>
      <c r="L62" s="332"/>
      <c r="M62" s="334" t="e">
        <f>M25-M60</f>
        <v>#REF!</v>
      </c>
    </row>
    <row r="63" spans="1:37" ht="13.5" hidden="1" thickTop="1"/>
  </sheetData>
  <mergeCells count="21">
    <mergeCell ref="A32:N32"/>
    <mergeCell ref="Z6:AK6"/>
    <mergeCell ref="N6:Y6"/>
    <mergeCell ref="AL6:AW6"/>
    <mergeCell ref="B6:M6"/>
    <mergeCell ref="AL1:AW1"/>
    <mergeCell ref="AL2:AW2"/>
    <mergeCell ref="AL3:AW3"/>
    <mergeCell ref="AL4:AW4"/>
    <mergeCell ref="B1:M1"/>
    <mergeCell ref="B2:M2"/>
    <mergeCell ref="B3:M3"/>
    <mergeCell ref="B4:M4"/>
    <mergeCell ref="N1:Y1"/>
    <mergeCell ref="N2:Y2"/>
    <mergeCell ref="N3:Y3"/>
    <mergeCell ref="N4:Y4"/>
    <mergeCell ref="Z1:AK1"/>
    <mergeCell ref="Z2:AK2"/>
    <mergeCell ref="Z3:AK3"/>
    <mergeCell ref="Z4:AK4"/>
  </mergeCells>
  <phoneticPr fontId="4" type="noConversion"/>
  <hyperlinks>
    <hyperlink ref="A31" r:id="rId1"/>
  </hyperlinks>
  <printOptions horizontalCentered="1"/>
  <pageMargins left="0.39" right="0.35" top="0.48" bottom="0.51" header="0.3" footer="0.3"/>
  <pageSetup scale="60" fitToWidth="0" orientation="landscape" r:id="rId2"/>
  <headerFooter alignWithMargins="0">
    <oddHeader>&amp;RTO9 Annual Update
Attachment 4
WP-Schedule 3-CWIPBA Model
Page &amp;P of &amp;N</oddHeader>
    <oddFooter>&amp;R&amp;A</oddFooter>
  </headerFooter>
  <colBreaks count="3" manualBreakCount="3">
    <brk id="13" max="36" man="1"/>
    <brk id="25" max="36" man="1"/>
    <brk id="37" max="36" man="1"/>
  </colBreaks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G33"/>
  <sheetViews>
    <sheetView zoomScaleNormal="100" workbookViewId="0">
      <selection sqref="A1:E1"/>
    </sheetView>
  </sheetViews>
  <sheetFormatPr defaultRowHeight="12.75"/>
  <cols>
    <col min="1" max="1" width="9.85546875" bestFit="1" customWidth="1"/>
    <col min="2" max="2" width="13.28515625" customWidth="1"/>
    <col min="3" max="3" width="13.5703125" customWidth="1"/>
    <col min="4" max="4" width="11.5703125" customWidth="1"/>
    <col min="5" max="5" width="14.28515625" customWidth="1"/>
    <col min="6" max="6" width="11.5703125" bestFit="1" customWidth="1"/>
    <col min="7" max="7" width="12.28515625" bestFit="1" customWidth="1"/>
  </cols>
  <sheetData>
    <row r="1" spans="1:7" ht="15.75">
      <c r="A1" s="651" t="s">
        <v>0</v>
      </c>
      <c r="B1" s="651"/>
      <c r="C1" s="651"/>
      <c r="D1" s="651"/>
      <c r="E1" s="651"/>
    </row>
    <row r="2" spans="1:7" ht="15">
      <c r="A2" s="673" t="s">
        <v>264</v>
      </c>
      <c r="B2" s="653"/>
      <c r="C2" s="653"/>
      <c r="D2" s="653"/>
      <c r="E2" s="653"/>
    </row>
    <row r="3" spans="1:7" ht="15">
      <c r="A3" s="654" t="s">
        <v>326</v>
      </c>
      <c r="B3" s="655"/>
      <c r="C3" s="655"/>
      <c r="D3" s="655"/>
      <c r="E3" s="655"/>
    </row>
    <row r="4" spans="1:7">
      <c r="A4" s="656" t="s">
        <v>1</v>
      </c>
      <c r="B4" s="656"/>
      <c r="C4" s="656"/>
      <c r="D4" s="656"/>
      <c r="E4" s="656"/>
    </row>
    <row r="5" spans="1:7">
      <c r="A5" s="348"/>
      <c r="B5" s="348"/>
      <c r="C5" s="348"/>
      <c r="D5" s="348"/>
      <c r="E5" s="125"/>
    </row>
    <row r="6" spans="1:7">
      <c r="A6" s="348"/>
      <c r="B6" s="348"/>
      <c r="C6" s="348"/>
      <c r="D6" s="348"/>
      <c r="E6" s="348"/>
    </row>
    <row r="7" spans="1:7" ht="15">
      <c r="A7" s="348"/>
      <c r="B7" s="348"/>
      <c r="C7" s="175"/>
      <c r="D7" s="176"/>
      <c r="E7" s="176"/>
    </row>
    <row r="8" spans="1:7" ht="15">
      <c r="A8" s="218" t="s">
        <v>281</v>
      </c>
      <c r="B8" s="126"/>
      <c r="C8" s="177"/>
      <c r="D8" s="178"/>
      <c r="E8" s="179"/>
    </row>
    <row r="9" spans="1:7" ht="15">
      <c r="A9" s="123"/>
      <c r="B9" s="126"/>
      <c r="C9" s="177"/>
      <c r="D9" s="178"/>
      <c r="E9" s="180"/>
    </row>
    <row r="10" spans="1:7" ht="15">
      <c r="A10" s="123"/>
      <c r="B10" s="126"/>
      <c r="C10" s="177"/>
      <c r="D10" s="181"/>
      <c r="E10" s="180"/>
    </row>
    <row r="11" spans="1:7" ht="15">
      <c r="A11" s="123"/>
      <c r="B11" s="126"/>
      <c r="C11" s="127"/>
      <c r="D11" s="128"/>
      <c r="E11" s="129"/>
    </row>
    <row r="12" spans="1:7">
      <c r="A12" s="348"/>
      <c r="B12" s="348"/>
      <c r="C12" s="348"/>
      <c r="D12" s="348"/>
      <c r="E12" s="348"/>
    </row>
    <row r="13" spans="1:7" ht="24" customHeight="1">
      <c r="A13" s="660" t="s">
        <v>114</v>
      </c>
      <c r="B13" s="662" t="s">
        <v>160</v>
      </c>
      <c r="C13" s="662" t="s">
        <v>161</v>
      </c>
      <c r="D13" s="658" t="s">
        <v>115</v>
      </c>
      <c r="E13" s="660" t="s">
        <v>116</v>
      </c>
    </row>
    <row r="14" spans="1:7" ht="38.25" customHeight="1">
      <c r="A14" s="661"/>
      <c r="B14" s="663"/>
      <c r="C14" s="659"/>
      <c r="D14" s="659"/>
      <c r="E14" s="661"/>
    </row>
    <row r="15" spans="1:7" s="344" customFormat="1" ht="15">
      <c r="A15" s="411" t="s">
        <v>275</v>
      </c>
      <c r="B15" s="483">
        <f t="shared" ref="B15:B20" si="0">D15-C15</f>
        <v>458.34976999999998</v>
      </c>
      <c r="C15" s="272">
        <v>0</v>
      </c>
      <c r="D15" s="483">
        <f t="shared" ref="D15:D20" si="1">IF(E15=0,0,E15-E14)</f>
        <v>458.34976999999998</v>
      </c>
      <c r="E15" s="593">
        <v>458.34976999999998</v>
      </c>
      <c r="F15" s="577"/>
      <c r="G15" s="338"/>
    </row>
    <row r="16" spans="1:7" s="344" customFormat="1" ht="15">
      <c r="A16" s="411" t="s">
        <v>226</v>
      </c>
      <c r="B16" s="483">
        <f t="shared" si="0"/>
        <v>326.10836999999998</v>
      </c>
      <c r="C16" s="272">
        <v>0</v>
      </c>
      <c r="D16" s="483">
        <f t="shared" si="1"/>
        <v>326.10836999999998</v>
      </c>
      <c r="E16" s="593">
        <v>784.45813999999996</v>
      </c>
      <c r="F16" s="577"/>
      <c r="G16" s="338"/>
    </row>
    <row r="17" spans="1:7" s="344" customFormat="1" ht="15">
      <c r="A17" s="411" t="s">
        <v>261</v>
      </c>
      <c r="B17" s="266">
        <f t="shared" si="0"/>
        <v>183.55898999999999</v>
      </c>
      <c r="C17" s="272">
        <v>0</v>
      </c>
      <c r="D17" s="483">
        <f t="shared" si="1"/>
        <v>183.55898999999999</v>
      </c>
      <c r="E17" s="593">
        <v>968.01712999999995</v>
      </c>
      <c r="F17" s="577"/>
      <c r="G17" s="338"/>
    </row>
    <row r="18" spans="1:7" s="344" customFormat="1" ht="15">
      <c r="A18" s="265" t="s">
        <v>119</v>
      </c>
      <c r="B18" s="266">
        <f t="shared" si="0"/>
        <v>172.36778000000004</v>
      </c>
      <c r="C18" s="272">
        <v>0</v>
      </c>
      <c r="D18" s="483">
        <f t="shared" si="1"/>
        <v>172.36778000000004</v>
      </c>
      <c r="E18" s="593">
        <v>1140.38491</v>
      </c>
      <c r="F18" s="577"/>
      <c r="G18" s="338"/>
    </row>
    <row r="19" spans="1:7" s="344" customFormat="1" ht="15">
      <c r="A19" s="265" t="s">
        <v>120</v>
      </c>
      <c r="B19" s="267">
        <f t="shared" si="0"/>
        <v>397.85077999999999</v>
      </c>
      <c r="C19" s="221">
        <v>0</v>
      </c>
      <c r="D19" s="267">
        <f t="shared" si="1"/>
        <v>397.85077999999999</v>
      </c>
      <c r="E19" s="593">
        <v>1538.23569</v>
      </c>
      <c r="F19" s="577"/>
      <c r="G19" s="338"/>
    </row>
    <row r="20" spans="1:7" s="344" customFormat="1" ht="15">
      <c r="A20" s="265" t="s">
        <v>121</v>
      </c>
      <c r="B20" s="267">
        <f t="shared" si="0"/>
        <v>460.36326000000008</v>
      </c>
      <c r="C20" s="221">
        <v>0</v>
      </c>
      <c r="D20" s="267">
        <f t="shared" si="1"/>
        <v>460.36326000000008</v>
      </c>
      <c r="E20" s="593">
        <v>1998.5989500000001</v>
      </c>
      <c r="F20" s="577"/>
      <c r="G20" s="338"/>
    </row>
    <row r="21" spans="1:7" s="344" customFormat="1" ht="15">
      <c r="A21" s="265" t="s">
        <v>75</v>
      </c>
      <c r="B21" s="266">
        <f t="shared" ref="B21:B28" si="2">D21-C21</f>
        <v>918.62773000000016</v>
      </c>
      <c r="C21" s="221">
        <v>0</v>
      </c>
      <c r="D21" s="267">
        <f t="shared" ref="D21:D28" si="3">IF(E21=0,0,E21-E20)</f>
        <v>918.62773000000016</v>
      </c>
      <c r="E21" s="593">
        <v>2917.2266800000002</v>
      </c>
      <c r="F21" s="577"/>
      <c r="G21" s="338"/>
    </row>
    <row r="22" spans="1:7" s="344" customFormat="1" ht="15">
      <c r="A22" s="265" t="s">
        <v>122</v>
      </c>
      <c r="B22" s="266">
        <f t="shared" si="2"/>
        <v>611.54162999999971</v>
      </c>
      <c r="C22" s="221">
        <v>0</v>
      </c>
      <c r="D22" s="267">
        <f t="shared" si="3"/>
        <v>611.54162999999971</v>
      </c>
      <c r="E22" s="593">
        <v>3528.7683099999999</v>
      </c>
      <c r="F22" s="577"/>
      <c r="G22" s="338"/>
    </row>
    <row r="23" spans="1:7" s="344" customFormat="1" ht="15">
      <c r="A23" s="265" t="s">
        <v>123</v>
      </c>
      <c r="B23" s="266">
        <f t="shared" si="2"/>
        <v>1592.3064399999998</v>
      </c>
      <c r="C23" s="221">
        <v>0</v>
      </c>
      <c r="D23" s="267">
        <f t="shared" si="3"/>
        <v>1592.3064399999998</v>
      </c>
      <c r="E23" s="593">
        <v>5121.0747499999998</v>
      </c>
      <c r="F23" s="577"/>
      <c r="G23" s="338"/>
    </row>
    <row r="24" spans="1:7" s="344" customFormat="1" ht="15">
      <c r="A24" s="265" t="s">
        <v>124</v>
      </c>
      <c r="B24" s="266">
        <f t="shared" si="2"/>
        <v>1022.8920600000001</v>
      </c>
      <c r="C24" s="221">
        <v>0</v>
      </c>
      <c r="D24" s="267">
        <f t="shared" si="3"/>
        <v>1022.8920600000001</v>
      </c>
      <c r="E24" s="593">
        <v>6143.9668099999999</v>
      </c>
      <c r="F24" s="577"/>
      <c r="G24" s="338"/>
    </row>
    <row r="25" spans="1:7" s="344" customFormat="1" ht="15">
      <c r="A25" s="265" t="s">
        <v>125</v>
      </c>
      <c r="B25" s="266">
        <f t="shared" si="2"/>
        <v>686.24913000000015</v>
      </c>
      <c r="C25" s="221">
        <v>0</v>
      </c>
      <c r="D25" s="267">
        <f t="shared" si="3"/>
        <v>686.24913000000015</v>
      </c>
      <c r="E25" s="593">
        <v>6830.21594</v>
      </c>
      <c r="F25" s="577"/>
      <c r="G25" s="338"/>
    </row>
    <row r="26" spans="1:7" s="344" customFormat="1" ht="15">
      <c r="A26" s="265" t="s">
        <v>126</v>
      </c>
      <c r="B26" s="266">
        <f t="shared" si="2"/>
        <v>1577.5675200000005</v>
      </c>
      <c r="C26" s="221">
        <v>0</v>
      </c>
      <c r="D26" s="267">
        <f t="shared" si="3"/>
        <v>1577.5675200000005</v>
      </c>
      <c r="E26" s="593">
        <v>8407.7834600000006</v>
      </c>
      <c r="F26" s="577"/>
      <c r="G26" s="338"/>
    </row>
    <row r="27" spans="1:7" s="344" customFormat="1" ht="15">
      <c r="A27" s="265" t="s">
        <v>127</v>
      </c>
      <c r="B27" s="266">
        <f t="shared" si="2"/>
        <v>1343.1984400000001</v>
      </c>
      <c r="C27" s="221">
        <v>0</v>
      </c>
      <c r="D27" s="267">
        <f t="shared" si="3"/>
        <v>1343.1984400000001</v>
      </c>
      <c r="E27" s="593">
        <v>9750.9819000000007</v>
      </c>
      <c r="F27" s="577"/>
      <c r="G27" s="338"/>
    </row>
    <row r="28" spans="1:7" s="344" customFormat="1" ht="15">
      <c r="A28" s="584" t="s">
        <v>262</v>
      </c>
      <c r="B28" s="588">
        <f t="shared" si="2"/>
        <v>5649.54169</v>
      </c>
      <c r="C28" s="573">
        <v>0</v>
      </c>
      <c r="D28" s="430">
        <f t="shared" si="3"/>
        <v>5649.54169</v>
      </c>
      <c r="E28" s="606">
        <v>15400.523590000001</v>
      </c>
      <c r="F28" s="577"/>
      <c r="G28" s="338"/>
    </row>
    <row r="29" spans="1:7" ht="15">
      <c r="A29" s="586" t="s">
        <v>115</v>
      </c>
      <c r="B29" s="267">
        <f>SUM(B15:B28)</f>
        <v>15400.523590000001</v>
      </c>
      <c r="C29" s="270">
        <f>SUM(C15:C28)</f>
        <v>0</v>
      </c>
      <c r="D29" s="587">
        <f>SUM(D15:D28)</f>
        <v>15400.523590000001</v>
      </c>
      <c r="E29" s="270">
        <f>SUM(E15:E28)</f>
        <v>64988.586029999991</v>
      </c>
      <c r="G29" s="233"/>
    </row>
    <row r="30" spans="1:7" ht="15">
      <c r="A30" s="133"/>
      <c r="B30" s="123"/>
      <c r="C30" s="172"/>
      <c r="D30" s="123"/>
      <c r="E30" s="172"/>
    </row>
    <row r="31" spans="1:7" ht="15">
      <c r="A31" s="133"/>
      <c r="B31" s="123"/>
      <c r="C31" s="172"/>
      <c r="D31" s="123"/>
      <c r="E31" s="123"/>
    </row>
    <row r="32" spans="1:7" ht="15">
      <c r="A32" s="186" t="s">
        <v>162</v>
      </c>
      <c r="B32" s="123"/>
      <c r="C32" s="123"/>
      <c r="D32" s="123"/>
      <c r="E32" s="123"/>
    </row>
    <row r="33" spans="1:5" ht="15">
      <c r="A33" s="657"/>
      <c r="B33" s="657"/>
      <c r="C33" s="657"/>
      <c r="D33" s="657"/>
      <c r="E33" s="657"/>
    </row>
  </sheetData>
  <mergeCells count="10">
    <mergeCell ref="A33:E33"/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1200" r:id="rId1"/>
  <headerFooter>
    <oddHeader>&amp;RTO9 Annual Update
Attachment 4
WP-Schedule 3-CWIPBA Model
Page &amp;P of &amp;N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E33"/>
  <sheetViews>
    <sheetView zoomScaleNormal="100" workbookViewId="0">
      <selection sqref="A1:E1"/>
    </sheetView>
  </sheetViews>
  <sheetFormatPr defaultRowHeight="12.75"/>
  <cols>
    <col min="1" max="1" width="9.5703125" customWidth="1"/>
    <col min="2" max="2" width="12.85546875" customWidth="1"/>
    <col min="3" max="3" width="13.140625" customWidth="1"/>
    <col min="4" max="4" width="11.5703125" customWidth="1"/>
    <col min="5" max="5" width="14.42578125" customWidth="1"/>
  </cols>
  <sheetData>
    <row r="1" spans="1:5" ht="15.75">
      <c r="A1" s="651" t="s">
        <v>0</v>
      </c>
      <c r="B1" s="651"/>
      <c r="C1" s="651"/>
      <c r="D1" s="651"/>
      <c r="E1" s="651"/>
    </row>
    <row r="2" spans="1:5" ht="15">
      <c r="A2" s="673" t="s">
        <v>260</v>
      </c>
      <c r="B2" s="653"/>
      <c r="C2" s="653"/>
      <c r="D2" s="653"/>
      <c r="E2" s="653"/>
    </row>
    <row r="3" spans="1:5" ht="15">
      <c r="A3" s="654" t="s">
        <v>326</v>
      </c>
      <c r="B3" s="655"/>
      <c r="C3" s="655"/>
      <c r="D3" s="655"/>
      <c r="E3" s="655"/>
    </row>
    <row r="4" spans="1:5">
      <c r="A4" s="656" t="s">
        <v>1</v>
      </c>
      <c r="B4" s="656"/>
      <c r="C4" s="656"/>
      <c r="D4" s="656"/>
      <c r="E4" s="656"/>
    </row>
    <row r="5" spans="1:5">
      <c r="A5" s="348"/>
      <c r="B5" s="348"/>
      <c r="C5" s="348"/>
      <c r="D5" s="348"/>
      <c r="E5" s="125"/>
    </row>
    <row r="6" spans="1:5">
      <c r="A6" s="348"/>
      <c r="B6" s="348"/>
      <c r="C6" s="348"/>
      <c r="D6" s="348"/>
      <c r="E6" s="348"/>
    </row>
    <row r="7" spans="1:5" ht="15">
      <c r="A7" s="348"/>
      <c r="B7" s="348"/>
      <c r="C7" s="175"/>
      <c r="D7" s="176"/>
      <c r="E7" s="176"/>
    </row>
    <row r="8" spans="1:5" ht="15">
      <c r="A8" s="218" t="s">
        <v>282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348"/>
      <c r="B12" s="348"/>
      <c r="C12" s="348"/>
      <c r="D12" s="348"/>
      <c r="E12" s="348"/>
    </row>
    <row r="13" spans="1:5" ht="28.5" customHeight="1">
      <c r="A13" s="660" t="s">
        <v>114</v>
      </c>
      <c r="B13" s="662" t="s">
        <v>160</v>
      </c>
      <c r="C13" s="662" t="s">
        <v>161</v>
      </c>
      <c r="D13" s="658" t="s">
        <v>115</v>
      </c>
      <c r="E13" s="660" t="s">
        <v>116</v>
      </c>
    </row>
    <row r="14" spans="1:5" ht="23.25" customHeight="1">
      <c r="A14" s="661"/>
      <c r="B14" s="663"/>
      <c r="C14" s="659"/>
      <c r="D14" s="659"/>
      <c r="E14" s="661"/>
    </row>
    <row r="15" spans="1:5" s="344" customFormat="1" ht="15">
      <c r="A15" s="411" t="s">
        <v>275</v>
      </c>
      <c r="B15" s="484">
        <f>D15-C15</f>
        <v>8819.8372099999997</v>
      </c>
      <c r="C15" s="485">
        <v>0</v>
      </c>
      <c r="D15" s="486">
        <f t="shared" ref="D15" si="0">IF(E15=0,0,E15-E14)</f>
        <v>8819.8372099999997</v>
      </c>
      <c r="E15" s="487">
        <v>8819.8372099999997</v>
      </c>
    </row>
    <row r="16" spans="1:5" s="344" customFormat="1" ht="15">
      <c r="A16" s="411" t="s">
        <v>226</v>
      </c>
      <c r="B16" s="486">
        <f t="shared" ref="B16:B20" si="1">D16-C16</f>
        <v>648.61797999999976</v>
      </c>
      <c r="C16" s="485">
        <v>63.113379999999999</v>
      </c>
      <c r="D16" s="486">
        <f>IF(E16=0,0,E16-E15)</f>
        <v>711.73135999999977</v>
      </c>
      <c r="E16" s="487">
        <v>9531.5685699999995</v>
      </c>
    </row>
    <row r="17" spans="1:5" s="344" customFormat="1" ht="15">
      <c r="A17" s="411" t="s">
        <v>261</v>
      </c>
      <c r="B17" s="542">
        <f t="shared" si="1"/>
        <v>224.15829999999991</v>
      </c>
      <c r="C17" s="485">
        <f>73.30949-63.11338</f>
        <v>10.196109999999997</v>
      </c>
      <c r="D17" s="486">
        <f>IF(E17=0,0,E17-E16)</f>
        <v>234.35440999999992</v>
      </c>
      <c r="E17" s="487">
        <v>9765.9229799999994</v>
      </c>
    </row>
    <row r="18" spans="1:5" s="344" customFormat="1" ht="15">
      <c r="A18" s="265" t="s">
        <v>119</v>
      </c>
      <c r="B18" s="542">
        <f t="shared" si="1"/>
        <v>633.78320999999983</v>
      </c>
      <c r="C18" s="485">
        <f>82.67375-73.30949</f>
        <v>9.3642600000000016</v>
      </c>
      <c r="D18" s="486">
        <f>IF(E18=0,0,E18-E17)</f>
        <v>643.14746999999988</v>
      </c>
      <c r="E18" s="487">
        <v>10409.070449999999</v>
      </c>
    </row>
    <row r="19" spans="1:5" s="344" customFormat="1" ht="15">
      <c r="A19" s="265" t="s">
        <v>120</v>
      </c>
      <c r="B19" s="488">
        <f t="shared" si="1"/>
        <v>752.31111000000124</v>
      </c>
      <c r="C19" s="485">
        <f>89.97168-82.67375</f>
        <v>7.297930000000008</v>
      </c>
      <c r="D19" s="488">
        <f>IF(E19=0,0,E19-E18)</f>
        <v>759.60904000000119</v>
      </c>
      <c r="E19" s="487">
        <v>11168.67949</v>
      </c>
    </row>
    <row r="20" spans="1:5" s="344" customFormat="1" ht="15">
      <c r="A20" s="265" t="s">
        <v>121</v>
      </c>
      <c r="B20" s="488">
        <f t="shared" si="1"/>
        <v>1737.2191000000005</v>
      </c>
      <c r="C20" s="485">
        <f>97.15579-89.97168</f>
        <v>7.1841099999999898</v>
      </c>
      <c r="D20" s="488">
        <f>IF(E20=0,0,E20-E19)</f>
        <v>1744.4032100000004</v>
      </c>
      <c r="E20" s="487">
        <v>12913.082700000001</v>
      </c>
    </row>
    <row r="21" spans="1:5" s="344" customFormat="1" ht="15">
      <c r="A21" s="265" t="s">
        <v>75</v>
      </c>
      <c r="B21" s="488">
        <f t="shared" ref="B21:B28" si="2">D21-C21</f>
        <v>704.15959999999939</v>
      </c>
      <c r="C21" s="485">
        <f>107.35019-97.15579</f>
        <v>10.194400000000002</v>
      </c>
      <c r="D21" s="488">
        <f t="shared" ref="D21:D28" si="3">IF(E21=0,0,E21-E20)</f>
        <v>714.35399999999936</v>
      </c>
      <c r="E21" s="487">
        <v>13627.4367</v>
      </c>
    </row>
    <row r="22" spans="1:5" s="344" customFormat="1" ht="15">
      <c r="A22" s="265" t="s">
        <v>122</v>
      </c>
      <c r="B22" s="488">
        <f t="shared" si="2"/>
        <v>1248.832069999999</v>
      </c>
      <c r="C22" s="485">
        <f>107.87257-107.35019</f>
        <v>0.52237999999999829</v>
      </c>
      <c r="D22" s="488">
        <f t="shared" si="3"/>
        <v>1249.3544499999989</v>
      </c>
      <c r="E22" s="487">
        <v>14876.791149999999</v>
      </c>
    </row>
    <row r="23" spans="1:5" s="344" customFormat="1" ht="15">
      <c r="A23" s="265" t="s">
        <v>123</v>
      </c>
      <c r="B23" s="488">
        <f t="shared" si="2"/>
        <v>1018.5427200000014</v>
      </c>
      <c r="C23" s="485">
        <f>107.95537-107.87257</f>
        <v>8.280000000000598E-2</v>
      </c>
      <c r="D23" s="488">
        <f t="shared" si="3"/>
        <v>1018.6255200000014</v>
      </c>
      <c r="E23" s="487">
        <v>15895.416670000001</v>
      </c>
    </row>
    <row r="24" spans="1:5" s="344" customFormat="1" ht="15">
      <c r="A24" s="265" t="s">
        <v>124</v>
      </c>
      <c r="B24" s="488">
        <f t="shared" si="2"/>
        <v>1543.9335999999985</v>
      </c>
      <c r="C24" s="485">
        <v>0</v>
      </c>
      <c r="D24" s="488">
        <f t="shared" si="3"/>
        <v>1543.9335999999985</v>
      </c>
      <c r="E24" s="487">
        <v>17439.350269999999</v>
      </c>
    </row>
    <row r="25" spans="1:5" s="344" customFormat="1" ht="15">
      <c r="A25" s="265" t="s">
        <v>125</v>
      </c>
      <c r="B25" s="488">
        <f t="shared" si="2"/>
        <v>1244.3656699999992</v>
      </c>
      <c r="C25" s="485">
        <v>0</v>
      </c>
      <c r="D25" s="488">
        <f t="shared" si="3"/>
        <v>1244.3656699999992</v>
      </c>
      <c r="E25" s="487">
        <v>18683.715939999998</v>
      </c>
    </row>
    <row r="26" spans="1:5" s="344" customFormat="1" ht="15">
      <c r="A26" s="265" t="s">
        <v>126</v>
      </c>
      <c r="B26" s="488">
        <f t="shared" si="2"/>
        <v>5366.9744000000028</v>
      </c>
      <c r="C26" s="485">
        <v>0</v>
      </c>
      <c r="D26" s="488">
        <f t="shared" si="3"/>
        <v>5366.9744000000028</v>
      </c>
      <c r="E26" s="487">
        <v>24050.690340000001</v>
      </c>
    </row>
    <row r="27" spans="1:5" s="344" customFormat="1" ht="15">
      <c r="A27" s="265" t="s">
        <v>127</v>
      </c>
      <c r="B27" s="488">
        <f t="shared" si="2"/>
        <v>-2857.9581099999996</v>
      </c>
      <c r="C27" s="485">
        <v>0</v>
      </c>
      <c r="D27" s="488">
        <f t="shared" si="3"/>
        <v>-2857.9581099999996</v>
      </c>
      <c r="E27" s="487">
        <v>21192.732230000001</v>
      </c>
    </row>
    <row r="28" spans="1:5" s="344" customFormat="1" ht="15">
      <c r="A28" s="584" t="s">
        <v>262</v>
      </c>
      <c r="B28" s="607">
        <f t="shared" si="2"/>
        <v>9454.9866299999994</v>
      </c>
      <c r="C28" s="608">
        <f>303.56051-110.3111</f>
        <v>193.24941000000001</v>
      </c>
      <c r="D28" s="607">
        <f t="shared" si="3"/>
        <v>9648.2360399999998</v>
      </c>
      <c r="E28" s="609">
        <v>30840.968270000001</v>
      </c>
    </row>
    <row r="29" spans="1:5" ht="15">
      <c r="A29" s="586" t="s">
        <v>115</v>
      </c>
      <c r="B29" s="488">
        <f>SUM(B15:B28)</f>
        <v>30539.763489999998</v>
      </c>
      <c r="C29" s="591">
        <f>SUM(C15:C28)</f>
        <v>301.20478000000003</v>
      </c>
      <c r="D29" s="486">
        <f>SUM(D15:D28)</f>
        <v>30840.968270000001</v>
      </c>
      <c r="E29" s="591">
        <f>SUM(E15:E28)</f>
        <v>219215.26297000001</v>
      </c>
    </row>
    <row r="30" spans="1:5" ht="15">
      <c r="A30" s="586"/>
      <c r="B30" s="238"/>
      <c r="C30" s="221"/>
      <c r="D30" s="238"/>
      <c r="E30" s="221"/>
    </row>
    <row r="31" spans="1:5" ht="15">
      <c r="A31" s="133"/>
      <c r="B31" s="123"/>
      <c r="C31" s="172"/>
      <c r="D31" s="123"/>
      <c r="E31" s="123"/>
    </row>
    <row r="32" spans="1:5" ht="15">
      <c r="A32" s="186" t="s">
        <v>162</v>
      </c>
      <c r="B32" s="123"/>
      <c r="C32" s="123"/>
      <c r="D32" s="123"/>
      <c r="E32" s="123"/>
    </row>
    <row r="33" spans="1:5" ht="15">
      <c r="A33" s="657"/>
      <c r="B33" s="657"/>
      <c r="C33" s="657"/>
      <c r="D33" s="657"/>
      <c r="E33" s="657"/>
    </row>
  </sheetData>
  <mergeCells count="10">
    <mergeCell ref="A33:E33"/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1200" r:id="rId1"/>
  <headerFooter>
    <oddHeader>&amp;RTO9 Annual Update
Attachment 4
WP-Schedule 3-CWIPBA Model
Page &amp;P of &amp;N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E33"/>
  <sheetViews>
    <sheetView zoomScaleNormal="100" workbookViewId="0">
      <selection sqref="A1:E1"/>
    </sheetView>
  </sheetViews>
  <sheetFormatPr defaultRowHeight="12.75"/>
  <cols>
    <col min="1" max="1" width="9.85546875" bestFit="1" customWidth="1"/>
    <col min="2" max="2" width="13.42578125" customWidth="1"/>
    <col min="3" max="3" width="13.85546875" customWidth="1"/>
    <col min="4" max="4" width="11.5703125" customWidth="1"/>
    <col min="5" max="5" width="13.85546875" customWidth="1"/>
  </cols>
  <sheetData>
    <row r="1" spans="1:5" ht="15.75">
      <c r="A1" s="651" t="s">
        <v>0</v>
      </c>
      <c r="B1" s="651"/>
      <c r="C1" s="651"/>
      <c r="D1" s="651"/>
      <c r="E1" s="651"/>
    </row>
    <row r="2" spans="1:5" ht="15">
      <c r="A2" s="673" t="s">
        <v>263</v>
      </c>
      <c r="B2" s="653"/>
      <c r="C2" s="653"/>
      <c r="D2" s="653"/>
      <c r="E2" s="653"/>
    </row>
    <row r="3" spans="1:5" ht="15">
      <c r="A3" s="654" t="s">
        <v>326</v>
      </c>
      <c r="B3" s="655"/>
      <c r="C3" s="655"/>
      <c r="D3" s="655"/>
      <c r="E3" s="655"/>
    </row>
    <row r="4" spans="1:5">
      <c r="A4" s="656" t="s">
        <v>1</v>
      </c>
      <c r="B4" s="656"/>
      <c r="C4" s="656"/>
      <c r="D4" s="656"/>
      <c r="E4" s="656"/>
    </row>
    <row r="5" spans="1:5">
      <c r="A5" s="348"/>
      <c r="B5" s="348"/>
      <c r="C5" s="348"/>
      <c r="D5" s="348"/>
      <c r="E5" s="125"/>
    </row>
    <row r="6" spans="1:5">
      <c r="A6" s="348"/>
      <c r="B6" s="348"/>
      <c r="C6" s="348"/>
      <c r="D6" s="348"/>
      <c r="E6" s="348"/>
    </row>
    <row r="7" spans="1:5" ht="15">
      <c r="A7" s="348"/>
      <c r="B7" s="348"/>
      <c r="C7" s="175"/>
      <c r="D7" s="176"/>
      <c r="E7" s="176"/>
    </row>
    <row r="8" spans="1:5" ht="15">
      <c r="A8" s="218" t="s">
        <v>283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348"/>
      <c r="B12" s="348"/>
      <c r="C12" s="348"/>
      <c r="D12" s="348"/>
      <c r="E12" s="348"/>
    </row>
    <row r="13" spans="1:5" ht="30.75" customHeight="1">
      <c r="A13" s="660" t="s">
        <v>114</v>
      </c>
      <c r="B13" s="662" t="s">
        <v>160</v>
      </c>
      <c r="C13" s="662" t="s">
        <v>161</v>
      </c>
      <c r="D13" s="658" t="s">
        <v>115</v>
      </c>
      <c r="E13" s="660" t="s">
        <v>116</v>
      </c>
    </row>
    <row r="14" spans="1:5" ht="30.75" customHeight="1">
      <c r="A14" s="661"/>
      <c r="B14" s="663"/>
      <c r="C14" s="659"/>
      <c r="D14" s="659"/>
      <c r="E14" s="661"/>
    </row>
    <row r="15" spans="1:5" s="344" customFormat="1" ht="15">
      <c r="A15" s="411" t="s">
        <v>275</v>
      </c>
      <c r="B15" s="486">
        <f t="shared" ref="B15:B20" si="0">D15-C15</f>
        <v>-320.10793000000001</v>
      </c>
      <c r="C15" s="485">
        <v>0</v>
      </c>
      <c r="D15" s="486">
        <f t="shared" ref="D15:D20" si="1">IF(E15=0,0,E15-E14)</f>
        <v>-320.10793000000001</v>
      </c>
      <c r="E15" s="487">
        <v>-320.10793000000001</v>
      </c>
    </row>
    <row r="16" spans="1:5" s="344" customFormat="1" ht="15">
      <c r="A16" s="411" t="s">
        <v>226</v>
      </c>
      <c r="B16" s="486">
        <f t="shared" si="0"/>
        <v>176.23437000000001</v>
      </c>
      <c r="C16" s="485">
        <v>0</v>
      </c>
      <c r="D16" s="486">
        <f t="shared" si="1"/>
        <v>176.23437000000001</v>
      </c>
      <c r="E16" s="487">
        <v>-143.87356</v>
      </c>
    </row>
    <row r="17" spans="1:5" s="344" customFormat="1" ht="15">
      <c r="A17" s="411" t="s">
        <v>261</v>
      </c>
      <c r="B17" s="485">
        <f t="shared" si="0"/>
        <v>93.460809999999995</v>
      </c>
      <c r="C17" s="485">
        <v>0</v>
      </c>
      <c r="D17" s="486">
        <f t="shared" si="1"/>
        <v>93.460809999999995</v>
      </c>
      <c r="E17" s="487">
        <v>-50.412750000000003</v>
      </c>
    </row>
    <row r="18" spans="1:5" s="344" customFormat="1" ht="15">
      <c r="A18" s="265" t="s">
        <v>119</v>
      </c>
      <c r="B18" s="485">
        <f t="shared" si="0"/>
        <v>45.658000000000001</v>
      </c>
      <c r="C18" s="485">
        <v>0</v>
      </c>
      <c r="D18" s="486">
        <f t="shared" si="1"/>
        <v>45.658000000000001</v>
      </c>
      <c r="E18" s="487">
        <v>-4.7547499999999996</v>
      </c>
    </row>
    <row r="19" spans="1:5" s="344" customFormat="1" ht="15">
      <c r="A19" s="265" t="s">
        <v>120</v>
      </c>
      <c r="B19" s="488">
        <f t="shared" si="0"/>
        <v>82.402919999999995</v>
      </c>
      <c r="C19" s="485">
        <v>0</v>
      </c>
      <c r="D19" s="488">
        <f t="shared" si="1"/>
        <v>82.402919999999995</v>
      </c>
      <c r="E19" s="487">
        <v>77.648169999999993</v>
      </c>
    </row>
    <row r="20" spans="1:5" s="344" customFormat="1" ht="15">
      <c r="A20" s="265" t="s">
        <v>121</v>
      </c>
      <c r="B20" s="488">
        <f t="shared" si="0"/>
        <v>-264.49562000000003</v>
      </c>
      <c r="C20" s="485">
        <v>0</v>
      </c>
      <c r="D20" s="488">
        <f t="shared" si="1"/>
        <v>-264.49562000000003</v>
      </c>
      <c r="E20" s="487">
        <v>-186.84745000000001</v>
      </c>
    </row>
    <row r="21" spans="1:5" s="344" customFormat="1" ht="15">
      <c r="A21" s="265" t="s">
        <v>75</v>
      </c>
      <c r="B21" s="488">
        <f t="shared" ref="B21:B28" si="2">D21-C21</f>
        <v>19.924740000000014</v>
      </c>
      <c r="C21" s="485">
        <v>0</v>
      </c>
      <c r="D21" s="488">
        <f t="shared" ref="D21:D28" si="3">IF(E21=0,0,E21-E20)</f>
        <v>19.924740000000014</v>
      </c>
      <c r="E21" s="487">
        <v>-166.92271</v>
      </c>
    </row>
    <row r="22" spans="1:5" s="344" customFormat="1" ht="15">
      <c r="A22" s="265" t="s">
        <v>122</v>
      </c>
      <c r="B22" s="488">
        <f t="shared" si="2"/>
        <v>285.77207999999996</v>
      </c>
      <c r="C22" s="485">
        <v>0</v>
      </c>
      <c r="D22" s="488">
        <f t="shared" si="3"/>
        <v>285.77207999999996</v>
      </c>
      <c r="E22" s="487">
        <v>118.84936999999999</v>
      </c>
    </row>
    <row r="23" spans="1:5" s="344" customFormat="1" ht="15">
      <c r="A23" s="265" t="s">
        <v>123</v>
      </c>
      <c r="B23" s="488">
        <f t="shared" si="2"/>
        <v>-100.40427</v>
      </c>
      <c r="C23" s="485">
        <v>0</v>
      </c>
      <c r="D23" s="488">
        <f t="shared" si="3"/>
        <v>-100.40427</v>
      </c>
      <c r="E23" s="487">
        <v>18.4451</v>
      </c>
    </row>
    <row r="24" spans="1:5" s="344" customFormat="1" ht="15">
      <c r="A24" s="265" t="s">
        <v>124</v>
      </c>
      <c r="B24" s="488">
        <f t="shared" si="2"/>
        <v>41.719049999999996</v>
      </c>
      <c r="C24" s="485">
        <v>0</v>
      </c>
      <c r="D24" s="488">
        <f t="shared" si="3"/>
        <v>41.719049999999996</v>
      </c>
      <c r="E24" s="487">
        <v>60.164149999999999</v>
      </c>
    </row>
    <row r="25" spans="1:5" s="344" customFormat="1" ht="15">
      <c r="A25" s="265" t="s">
        <v>125</v>
      </c>
      <c r="B25" s="488">
        <f t="shared" si="2"/>
        <v>-259.97582999999997</v>
      </c>
      <c r="C25" s="485">
        <v>0</v>
      </c>
      <c r="D25" s="488">
        <f t="shared" si="3"/>
        <v>-259.97582999999997</v>
      </c>
      <c r="E25" s="487">
        <v>-199.81168</v>
      </c>
    </row>
    <row r="26" spans="1:5" s="344" customFormat="1" ht="15">
      <c r="A26" s="265" t="s">
        <v>126</v>
      </c>
      <c r="B26" s="488">
        <f t="shared" si="2"/>
        <v>12.810239999999993</v>
      </c>
      <c r="C26" s="485">
        <v>0</v>
      </c>
      <c r="D26" s="488">
        <f t="shared" si="3"/>
        <v>12.810239999999993</v>
      </c>
      <c r="E26" s="487">
        <v>-187.00144</v>
      </c>
    </row>
    <row r="27" spans="1:5" s="344" customFormat="1" ht="15">
      <c r="A27" s="265" t="s">
        <v>127</v>
      </c>
      <c r="B27" s="488">
        <f t="shared" si="2"/>
        <v>79.398890000000009</v>
      </c>
      <c r="C27" s="485">
        <v>0</v>
      </c>
      <c r="D27" s="488">
        <f t="shared" si="3"/>
        <v>79.398890000000009</v>
      </c>
      <c r="E27" s="487">
        <v>-107.60254999999999</v>
      </c>
    </row>
    <row r="28" spans="1:5" s="344" customFormat="1" ht="15">
      <c r="A28" s="584" t="s">
        <v>262</v>
      </c>
      <c r="B28" s="607">
        <f t="shared" si="2"/>
        <v>34.314609999999988</v>
      </c>
      <c r="C28" s="608">
        <v>0</v>
      </c>
      <c r="D28" s="607">
        <f t="shared" si="3"/>
        <v>34.314609999999988</v>
      </c>
      <c r="E28" s="609">
        <v>-73.287940000000006</v>
      </c>
    </row>
    <row r="29" spans="1:5" ht="15">
      <c r="A29" s="586" t="s">
        <v>115</v>
      </c>
      <c r="B29" s="488">
        <f>SUM(B15:B28)</f>
        <v>-73.287940000000035</v>
      </c>
      <c r="C29" s="591">
        <f>SUM(C15:C28)</f>
        <v>0</v>
      </c>
      <c r="D29" s="486">
        <f>SUM(D15:D28)</f>
        <v>-73.287940000000035</v>
      </c>
      <c r="E29" s="591">
        <f>SUM(E15:E28)</f>
        <v>-1165.5159699999999</v>
      </c>
    </row>
    <row r="30" spans="1:5" ht="15">
      <c r="A30" s="133"/>
      <c r="B30" s="123"/>
      <c r="C30" s="172"/>
      <c r="D30" s="123"/>
      <c r="E30" s="172"/>
    </row>
    <row r="31" spans="1:5" ht="15">
      <c r="A31" s="133"/>
      <c r="B31" s="123"/>
      <c r="C31" s="172"/>
      <c r="D31" s="123"/>
      <c r="E31" s="123"/>
    </row>
    <row r="32" spans="1:5" ht="15">
      <c r="A32" s="186" t="s">
        <v>162</v>
      </c>
      <c r="B32" s="123"/>
      <c r="C32" s="123"/>
      <c r="D32" s="123"/>
      <c r="E32" s="123"/>
    </row>
    <row r="33" spans="1:5" ht="15">
      <c r="A33" s="657"/>
      <c r="B33" s="657"/>
      <c r="C33" s="657"/>
      <c r="D33" s="657"/>
      <c r="E33" s="657"/>
    </row>
  </sheetData>
  <mergeCells count="10">
    <mergeCell ref="A33:E33"/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1200" r:id="rId1"/>
  <headerFooter>
    <oddHeader>&amp;RTO9 Annual Update
Attachment 4
WP-Schedule 3-CWIPBA Model
Page &amp;P of &amp;N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F28"/>
  <sheetViews>
    <sheetView zoomScaleNormal="100" workbookViewId="0">
      <selection sqref="A1:E1"/>
    </sheetView>
  </sheetViews>
  <sheetFormatPr defaultRowHeight="12.75"/>
  <cols>
    <col min="1" max="1" width="9.85546875" bestFit="1" customWidth="1"/>
    <col min="2" max="2" width="14.140625" customWidth="1"/>
    <col min="3" max="3" width="13" customWidth="1"/>
    <col min="4" max="4" width="11.5703125" customWidth="1"/>
    <col min="5" max="5" width="14" customWidth="1"/>
  </cols>
  <sheetData>
    <row r="1" spans="1:5" ht="15.75">
      <c r="A1" s="651" t="s">
        <v>0</v>
      </c>
      <c r="B1" s="651"/>
      <c r="C1" s="651"/>
      <c r="D1" s="651"/>
      <c r="E1" s="651"/>
    </row>
    <row r="2" spans="1:5" ht="15">
      <c r="A2" s="673" t="s">
        <v>296</v>
      </c>
      <c r="B2" s="653"/>
      <c r="C2" s="653"/>
      <c r="D2" s="653"/>
      <c r="E2" s="653"/>
    </row>
    <row r="3" spans="1:5" ht="15">
      <c r="A3" s="654" t="s">
        <v>274</v>
      </c>
      <c r="B3" s="655"/>
      <c r="C3" s="655"/>
      <c r="D3" s="655"/>
      <c r="E3" s="655"/>
    </row>
    <row r="4" spans="1:5">
      <c r="A4" s="656" t="s">
        <v>1</v>
      </c>
      <c r="B4" s="656"/>
      <c r="C4" s="656"/>
      <c r="D4" s="656"/>
      <c r="E4" s="656"/>
    </row>
    <row r="5" spans="1:5">
      <c r="A5" s="531"/>
      <c r="B5" s="531"/>
      <c r="C5" s="531"/>
      <c r="D5" s="531"/>
      <c r="E5" s="125"/>
    </row>
    <row r="6" spans="1:5">
      <c r="A6" s="531"/>
      <c r="B6" s="531"/>
      <c r="C6" s="531"/>
      <c r="D6" s="531"/>
      <c r="E6" s="531"/>
    </row>
    <row r="7" spans="1:5" ht="15">
      <c r="A7" s="531"/>
      <c r="B7" s="531"/>
      <c r="C7" s="175"/>
      <c r="D7" s="176"/>
      <c r="E7" s="176"/>
    </row>
    <row r="8" spans="1:5" ht="15">
      <c r="A8" s="218" t="s">
        <v>294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31"/>
      <c r="B12" s="531"/>
      <c r="C12" s="531"/>
      <c r="D12" s="531"/>
      <c r="E12" s="531"/>
    </row>
    <row r="13" spans="1:5" ht="17.25" customHeight="1">
      <c r="A13" s="660" t="s">
        <v>114</v>
      </c>
      <c r="B13" s="662" t="s">
        <v>160</v>
      </c>
      <c r="C13" s="662" t="s">
        <v>161</v>
      </c>
      <c r="D13" s="658" t="s">
        <v>115</v>
      </c>
      <c r="E13" s="660" t="s">
        <v>116</v>
      </c>
    </row>
    <row r="14" spans="1:5" ht="28.5" customHeight="1">
      <c r="A14" s="661"/>
      <c r="B14" s="663"/>
      <c r="C14" s="659"/>
      <c r="D14" s="659"/>
      <c r="E14" s="661"/>
    </row>
    <row r="15" spans="1:5" ht="15">
      <c r="A15" s="411" t="s">
        <v>295</v>
      </c>
      <c r="B15" s="488">
        <f t="shared" ref="B15:B24" si="0">D15-C15</f>
        <v>307.04764</v>
      </c>
      <c r="C15" s="485">
        <v>0</v>
      </c>
      <c r="D15" s="486">
        <f t="shared" ref="D15:D24" si="1">IF(E15=0,0,E15-E14)</f>
        <v>307.04764</v>
      </c>
      <c r="E15" s="487">
        <v>307.04764</v>
      </c>
    </row>
    <row r="16" spans="1:5" ht="15">
      <c r="A16" s="411" t="s">
        <v>121</v>
      </c>
      <c r="B16" s="488">
        <f t="shared" si="0"/>
        <v>1171.60238</v>
      </c>
      <c r="C16" s="485">
        <v>0</v>
      </c>
      <c r="D16" s="486">
        <f t="shared" si="1"/>
        <v>1171.60238</v>
      </c>
      <c r="E16" s="487">
        <v>1478.65002</v>
      </c>
    </row>
    <row r="17" spans="1:6" ht="15">
      <c r="A17" s="411" t="s">
        <v>75</v>
      </c>
      <c r="B17" s="488">
        <f t="shared" si="0"/>
        <v>201.98665000000005</v>
      </c>
      <c r="C17" s="485">
        <v>0</v>
      </c>
      <c r="D17" s="486">
        <f t="shared" si="1"/>
        <v>201.98665000000005</v>
      </c>
      <c r="E17" s="487">
        <v>1680.6366700000001</v>
      </c>
    </row>
    <row r="18" spans="1:6" ht="15">
      <c r="A18" s="265" t="s">
        <v>122</v>
      </c>
      <c r="B18" s="488">
        <f t="shared" si="0"/>
        <v>243.46386999999982</v>
      </c>
      <c r="C18" s="485">
        <v>0</v>
      </c>
      <c r="D18" s="486">
        <f t="shared" si="1"/>
        <v>243.46386999999982</v>
      </c>
      <c r="E18" s="487">
        <v>1924.1005399999999</v>
      </c>
    </row>
    <row r="19" spans="1:6" ht="15">
      <c r="A19" s="265" t="s">
        <v>123</v>
      </c>
      <c r="B19" s="488">
        <f t="shared" si="0"/>
        <v>88.533580000000029</v>
      </c>
      <c r="C19" s="485">
        <v>0</v>
      </c>
      <c r="D19" s="488">
        <f t="shared" si="1"/>
        <v>88.533580000000029</v>
      </c>
      <c r="E19" s="487">
        <v>2012.6341199999999</v>
      </c>
    </row>
    <row r="20" spans="1:6" ht="15">
      <c r="A20" s="265" t="s">
        <v>124</v>
      </c>
      <c r="B20" s="488">
        <f t="shared" si="0"/>
        <v>71.645990000000211</v>
      </c>
      <c r="C20" s="485">
        <v>0</v>
      </c>
      <c r="D20" s="488">
        <f t="shared" si="1"/>
        <v>71.645990000000211</v>
      </c>
      <c r="E20" s="487">
        <v>2084.2801100000001</v>
      </c>
    </row>
    <row r="21" spans="1:6" ht="15">
      <c r="A21" s="265" t="s">
        <v>125</v>
      </c>
      <c r="B21" s="488">
        <f t="shared" si="0"/>
        <v>159.09276999999975</v>
      </c>
      <c r="C21" s="485">
        <v>0</v>
      </c>
      <c r="D21" s="488">
        <f t="shared" si="1"/>
        <v>159.09276999999975</v>
      </c>
      <c r="E21" s="487">
        <v>2243.3728799999999</v>
      </c>
    </row>
    <row r="22" spans="1:6" ht="15">
      <c r="A22" s="265" t="s">
        <v>126</v>
      </c>
      <c r="B22" s="488">
        <f t="shared" si="0"/>
        <v>3283.9798300000002</v>
      </c>
      <c r="C22" s="485">
        <v>0</v>
      </c>
      <c r="D22" s="488">
        <f t="shared" si="1"/>
        <v>3283.9798300000002</v>
      </c>
      <c r="E22" s="487">
        <v>5527.3527100000001</v>
      </c>
    </row>
    <row r="23" spans="1:6" ht="15">
      <c r="A23" s="265" t="s">
        <v>127</v>
      </c>
      <c r="B23" s="488">
        <f t="shared" si="0"/>
        <v>3423.3637800000006</v>
      </c>
      <c r="C23" s="485">
        <v>0</v>
      </c>
      <c r="D23" s="488">
        <f t="shared" si="1"/>
        <v>3423.3637800000006</v>
      </c>
      <c r="E23" s="487">
        <v>8950.7164900000007</v>
      </c>
    </row>
    <row r="24" spans="1:6" ht="15">
      <c r="A24" s="584" t="s">
        <v>262</v>
      </c>
      <c r="B24" s="607">
        <f t="shared" si="0"/>
        <v>2009.2573999999986</v>
      </c>
      <c r="C24" s="608">
        <v>0</v>
      </c>
      <c r="D24" s="607">
        <f t="shared" si="1"/>
        <v>2009.2573999999986</v>
      </c>
      <c r="E24" s="609">
        <v>10959.973889999999</v>
      </c>
    </row>
    <row r="25" spans="1:6" ht="15">
      <c r="A25" s="586" t="s">
        <v>115</v>
      </c>
      <c r="B25" s="488">
        <f>SUM(B16:B24)</f>
        <v>10652.92625</v>
      </c>
      <c r="C25" s="591">
        <f>SUM(C16:C24)</f>
        <v>0</v>
      </c>
      <c r="D25" s="486">
        <f>SUM(D16:D24)</f>
        <v>10652.92625</v>
      </c>
      <c r="E25" s="591">
        <f>SUM(E16:E24)</f>
        <v>36861.717430000004</v>
      </c>
      <c r="F25" s="344"/>
    </row>
    <row r="26" spans="1:6" ht="15">
      <c r="A26" s="133"/>
      <c r="B26" s="123"/>
      <c r="C26" s="172"/>
      <c r="D26" s="123"/>
      <c r="E26" s="172"/>
    </row>
    <row r="27" spans="1:6" ht="15">
      <c r="A27" s="133"/>
      <c r="B27" s="123"/>
      <c r="C27" s="172"/>
      <c r="D27" s="123"/>
      <c r="E27" s="123"/>
    </row>
    <row r="28" spans="1:6" ht="15">
      <c r="A28" s="186" t="s">
        <v>162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1200" r:id="rId1"/>
  <headerFooter>
    <oddHeader>&amp;RTO9 Annual Update
Attachment 4
WP-Schedule 3-CWIPBA Model
Page &amp;P of &amp;N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zoomScaleNormal="100" workbookViewId="0">
      <selection sqref="A1:E1"/>
    </sheetView>
  </sheetViews>
  <sheetFormatPr defaultRowHeight="12.75"/>
  <cols>
    <col min="1" max="1" width="9.85546875" bestFit="1" customWidth="1"/>
    <col min="2" max="2" width="13.7109375" customWidth="1"/>
    <col min="3" max="3" width="13" customWidth="1"/>
    <col min="4" max="4" width="11.5703125" customWidth="1"/>
    <col min="5" max="5" width="14.85546875" customWidth="1"/>
  </cols>
  <sheetData>
    <row r="1" spans="1:5" ht="15.75">
      <c r="A1" s="651" t="s">
        <v>0</v>
      </c>
      <c r="B1" s="651"/>
      <c r="C1" s="651"/>
      <c r="D1" s="651"/>
      <c r="E1" s="651"/>
    </row>
    <row r="2" spans="1:5" ht="15">
      <c r="A2" s="673" t="s">
        <v>298</v>
      </c>
      <c r="B2" s="653"/>
      <c r="C2" s="653"/>
      <c r="D2" s="653"/>
      <c r="E2" s="653"/>
    </row>
    <row r="3" spans="1:5" ht="15">
      <c r="A3" s="654" t="s">
        <v>274</v>
      </c>
      <c r="B3" s="655"/>
      <c r="C3" s="655"/>
      <c r="D3" s="655"/>
      <c r="E3" s="655"/>
    </row>
    <row r="4" spans="1:5">
      <c r="A4" s="656" t="s">
        <v>1</v>
      </c>
      <c r="B4" s="656"/>
      <c r="C4" s="656"/>
      <c r="D4" s="656"/>
      <c r="E4" s="656"/>
    </row>
    <row r="5" spans="1:5">
      <c r="A5" s="531"/>
      <c r="B5" s="531"/>
      <c r="C5" s="531"/>
      <c r="D5" s="531"/>
      <c r="E5" s="125"/>
    </row>
    <row r="6" spans="1:5">
      <c r="A6" s="531"/>
      <c r="B6" s="531"/>
      <c r="C6" s="531"/>
      <c r="D6" s="531"/>
      <c r="E6" s="531"/>
    </row>
    <row r="7" spans="1:5" ht="15">
      <c r="A7" s="531"/>
      <c r="B7" s="531"/>
      <c r="C7" s="175"/>
      <c r="D7" s="176"/>
      <c r="E7" s="176"/>
    </row>
    <row r="8" spans="1:5" ht="15">
      <c r="A8" s="218" t="s">
        <v>294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31"/>
      <c r="B12" s="531"/>
      <c r="C12" s="531"/>
      <c r="D12" s="531"/>
      <c r="E12" s="531"/>
    </row>
    <row r="13" spans="1:5" ht="19.5" customHeight="1">
      <c r="A13" s="660" t="s">
        <v>114</v>
      </c>
      <c r="B13" s="662" t="s">
        <v>160</v>
      </c>
      <c r="C13" s="662" t="s">
        <v>161</v>
      </c>
      <c r="D13" s="658" t="s">
        <v>115</v>
      </c>
      <c r="E13" s="660" t="s">
        <v>116</v>
      </c>
    </row>
    <row r="14" spans="1:5" ht="22.5" customHeight="1">
      <c r="A14" s="661"/>
      <c r="B14" s="663"/>
      <c r="C14" s="659"/>
      <c r="D14" s="659"/>
      <c r="E14" s="661"/>
    </row>
    <row r="15" spans="1:5" ht="15">
      <c r="A15" s="411" t="s">
        <v>295</v>
      </c>
      <c r="B15" s="488">
        <f t="shared" ref="B15:B24" si="0">D15-C15</f>
        <v>1603.92462</v>
      </c>
      <c r="C15" s="485">
        <v>0</v>
      </c>
      <c r="D15" s="486">
        <f t="shared" ref="D15:D24" si="1">IF(E15=0,0,E15-E14)</f>
        <v>1603.92462</v>
      </c>
      <c r="E15" s="487">
        <v>1603.92462</v>
      </c>
    </row>
    <row r="16" spans="1:5" ht="15">
      <c r="A16" s="411" t="s">
        <v>121</v>
      </c>
      <c r="B16" s="488">
        <f t="shared" si="0"/>
        <v>83.329940000000079</v>
      </c>
      <c r="C16" s="485">
        <v>0</v>
      </c>
      <c r="D16" s="486">
        <f t="shared" si="1"/>
        <v>83.329940000000079</v>
      </c>
      <c r="E16" s="487">
        <v>1687.2545600000001</v>
      </c>
    </row>
    <row r="17" spans="1:5" ht="15">
      <c r="A17" s="411" t="s">
        <v>75</v>
      </c>
      <c r="B17" s="488">
        <f t="shared" si="0"/>
        <v>87.126199999999926</v>
      </c>
      <c r="C17" s="485">
        <v>0</v>
      </c>
      <c r="D17" s="486">
        <f t="shared" si="1"/>
        <v>87.126199999999926</v>
      </c>
      <c r="E17" s="487">
        <v>1774.38076</v>
      </c>
    </row>
    <row r="18" spans="1:5" ht="15">
      <c r="A18" s="265" t="s">
        <v>122</v>
      </c>
      <c r="B18" s="488">
        <f t="shared" si="0"/>
        <v>126.69454999999994</v>
      </c>
      <c r="C18" s="485">
        <v>0</v>
      </c>
      <c r="D18" s="486">
        <f t="shared" si="1"/>
        <v>126.69454999999994</v>
      </c>
      <c r="E18" s="487">
        <v>1901.0753099999999</v>
      </c>
    </row>
    <row r="19" spans="1:5" ht="15">
      <c r="A19" s="265" t="s">
        <v>123</v>
      </c>
      <c r="B19" s="488">
        <f t="shared" si="0"/>
        <v>188.97727000000009</v>
      </c>
      <c r="C19" s="485">
        <v>0</v>
      </c>
      <c r="D19" s="488">
        <f t="shared" si="1"/>
        <v>188.97727000000009</v>
      </c>
      <c r="E19" s="487">
        <v>2090.05258</v>
      </c>
    </row>
    <row r="20" spans="1:5" ht="15">
      <c r="A20" s="265" t="s">
        <v>124</v>
      </c>
      <c r="B20" s="488">
        <f t="shared" si="0"/>
        <v>258.69743000000017</v>
      </c>
      <c r="C20" s="485">
        <v>0</v>
      </c>
      <c r="D20" s="488">
        <f t="shared" si="1"/>
        <v>258.69743000000017</v>
      </c>
      <c r="E20" s="487">
        <v>2348.7500100000002</v>
      </c>
    </row>
    <row r="21" spans="1:5" ht="15">
      <c r="A21" s="265" t="s">
        <v>125</v>
      </c>
      <c r="B21" s="488">
        <f t="shared" si="0"/>
        <v>309.70219999999972</v>
      </c>
      <c r="C21" s="485">
        <v>0</v>
      </c>
      <c r="D21" s="488">
        <f t="shared" si="1"/>
        <v>309.70219999999972</v>
      </c>
      <c r="E21" s="487">
        <v>2658.4522099999999</v>
      </c>
    </row>
    <row r="22" spans="1:5" ht="15">
      <c r="A22" s="265" t="s">
        <v>126</v>
      </c>
      <c r="B22" s="488">
        <f t="shared" si="0"/>
        <v>286.53819999999996</v>
      </c>
      <c r="C22" s="485">
        <v>0</v>
      </c>
      <c r="D22" s="488">
        <f t="shared" si="1"/>
        <v>286.53819999999996</v>
      </c>
      <c r="E22" s="487">
        <v>2944.9904099999999</v>
      </c>
    </row>
    <row r="23" spans="1:5" ht="15">
      <c r="A23" s="265" t="s">
        <v>127</v>
      </c>
      <c r="B23" s="488">
        <f t="shared" si="0"/>
        <v>317.66195999999991</v>
      </c>
      <c r="C23" s="485">
        <v>0</v>
      </c>
      <c r="D23" s="488">
        <f t="shared" si="1"/>
        <v>317.66195999999991</v>
      </c>
      <c r="E23" s="487">
        <v>3262.6523699999998</v>
      </c>
    </row>
    <row r="24" spans="1:5" ht="15">
      <c r="A24" s="584" t="s">
        <v>262</v>
      </c>
      <c r="B24" s="607">
        <f t="shared" si="0"/>
        <v>734.20073000000002</v>
      </c>
      <c r="C24" s="608">
        <v>0</v>
      </c>
      <c r="D24" s="607">
        <f t="shared" si="1"/>
        <v>734.20073000000002</v>
      </c>
      <c r="E24" s="609">
        <v>3996.8530999999998</v>
      </c>
    </row>
    <row r="25" spans="1:5" ht="15">
      <c r="A25" s="586" t="s">
        <v>115</v>
      </c>
      <c r="B25" s="488">
        <f>SUM(B15:B24)</f>
        <v>3996.8530999999998</v>
      </c>
      <c r="C25" s="591">
        <f>SUM(C15:C24)</f>
        <v>0</v>
      </c>
      <c r="D25" s="486">
        <f>SUM(D15:D24)</f>
        <v>3996.8530999999998</v>
      </c>
      <c r="E25" s="591">
        <f>SUM(E15:E24)</f>
        <v>24268.38593</v>
      </c>
    </row>
    <row r="26" spans="1:5" ht="15">
      <c r="A26" s="133"/>
      <c r="B26" s="218"/>
      <c r="C26" s="172"/>
      <c r="D26" s="123"/>
      <c r="E26" s="172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162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1200" r:id="rId1"/>
  <headerFooter>
    <oddHeader>&amp;RTO9 Annual Update
Attachment 4
WP-Schedule 3-CWIPBA Model
Page &amp;P of &amp;N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zoomScaleNormal="100" workbookViewId="0">
      <selection sqref="A1:E1"/>
    </sheetView>
  </sheetViews>
  <sheetFormatPr defaultRowHeight="12.75"/>
  <cols>
    <col min="1" max="1" width="10.5703125" bestFit="1" customWidth="1"/>
    <col min="2" max="2" width="13" customWidth="1"/>
    <col min="3" max="3" width="13.5703125" customWidth="1"/>
    <col min="4" max="4" width="11.5703125" customWidth="1"/>
    <col min="5" max="5" width="15.140625" customWidth="1"/>
  </cols>
  <sheetData>
    <row r="1" spans="1:5" ht="15.75">
      <c r="A1" s="651" t="s">
        <v>0</v>
      </c>
      <c r="B1" s="651"/>
      <c r="C1" s="651"/>
      <c r="D1" s="651"/>
      <c r="E1" s="651"/>
    </row>
    <row r="2" spans="1:5" ht="15">
      <c r="A2" s="673" t="s">
        <v>293</v>
      </c>
      <c r="B2" s="653"/>
      <c r="C2" s="653"/>
      <c r="D2" s="653"/>
      <c r="E2" s="653"/>
    </row>
    <row r="3" spans="1:5" ht="15">
      <c r="A3" s="654" t="s">
        <v>274</v>
      </c>
      <c r="B3" s="655"/>
      <c r="C3" s="655"/>
      <c r="D3" s="655"/>
      <c r="E3" s="655"/>
    </row>
    <row r="4" spans="1:5">
      <c r="A4" s="656" t="s">
        <v>1</v>
      </c>
      <c r="B4" s="656"/>
      <c r="C4" s="656"/>
      <c r="D4" s="656"/>
      <c r="E4" s="656"/>
    </row>
    <row r="5" spans="1:5">
      <c r="A5" s="531"/>
      <c r="B5" s="531"/>
      <c r="C5" s="531"/>
      <c r="D5" s="531"/>
      <c r="E5" s="125"/>
    </row>
    <row r="6" spans="1:5">
      <c r="A6" s="531"/>
      <c r="B6" s="531"/>
      <c r="C6" s="531"/>
      <c r="D6" s="531"/>
      <c r="E6" s="531"/>
    </row>
    <row r="7" spans="1:5" ht="15">
      <c r="A7" s="531"/>
      <c r="B7" s="531"/>
      <c r="C7" s="175"/>
      <c r="D7" s="176"/>
      <c r="E7" s="176"/>
    </row>
    <row r="8" spans="1:5" ht="15">
      <c r="A8" s="218" t="s">
        <v>294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31"/>
      <c r="B12" s="531"/>
      <c r="C12" s="531"/>
      <c r="D12" s="531"/>
      <c r="E12" s="531"/>
    </row>
    <row r="13" spans="1:5">
      <c r="A13" s="660" t="s">
        <v>114</v>
      </c>
      <c r="B13" s="662" t="s">
        <v>160</v>
      </c>
      <c r="C13" s="662" t="s">
        <v>161</v>
      </c>
      <c r="D13" s="658" t="s">
        <v>115</v>
      </c>
      <c r="E13" s="660" t="s">
        <v>116</v>
      </c>
    </row>
    <row r="14" spans="1:5" ht="31.5" customHeight="1">
      <c r="A14" s="661"/>
      <c r="B14" s="663"/>
      <c r="C14" s="659"/>
      <c r="D14" s="659"/>
      <c r="E14" s="661"/>
    </row>
    <row r="15" spans="1:5" ht="15">
      <c r="A15" s="411" t="s">
        <v>295</v>
      </c>
      <c r="B15" s="488">
        <f t="shared" ref="B15:B24" si="0">D15-C15</f>
        <v>26.16413</v>
      </c>
      <c r="C15" s="485">
        <v>0</v>
      </c>
      <c r="D15" s="486">
        <f t="shared" ref="D15:D24" si="1">IF(E15=0,0,E15-E14)</f>
        <v>26.16413</v>
      </c>
      <c r="E15" s="487">
        <v>26.16413</v>
      </c>
    </row>
    <row r="16" spans="1:5" ht="15">
      <c r="A16" s="411" t="s">
        <v>121</v>
      </c>
      <c r="B16" s="488">
        <f t="shared" si="0"/>
        <v>14.683889999999998</v>
      </c>
      <c r="C16" s="485">
        <v>0</v>
      </c>
      <c r="D16" s="486">
        <f t="shared" si="1"/>
        <v>14.683889999999998</v>
      </c>
      <c r="E16" s="487">
        <v>40.848019999999998</v>
      </c>
    </row>
    <row r="17" spans="1:5" ht="15">
      <c r="A17" s="411" t="s">
        <v>75</v>
      </c>
      <c r="B17" s="488">
        <f t="shared" si="0"/>
        <v>78.955720000000014</v>
      </c>
      <c r="C17" s="485">
        <v>0</v>
      </c>
      <c r="D17" s="486">
        <f t="shared" si="1"/>
        <v>78.955720000000014</v>
      </c>
      <c r="E17" s="487">
        <v>119.80374</v>
      </c>
    </row>
    <row r="18" spans="1:5" ht="15">
      <c r="A18" s="265" t="s">
        <v>122</v>
      </c>
      <c r="B18" s="488">
        <f t="shared" si="0"/>
        <v>98.110600000000005</v>
      </c>
      <c r="C18" s="485">
        <v>0</v>
      </c>
      <c r="D18" s="486">
        <f t="shared" si="1"/>
        <v>98.110600000000005</v>
      </c>
      <c r="E18" s="487">
        <v>217.91434000000001</v>
      </c>
    </row>
    <row r="19" spans="1:5" ht="15">
      <c r="A19" s="265" t="s">
        <v>123</v>
      </c>
      <c r="B19" s="488">
        <f t="shared" si="0"/>
        <v>18.343799999999987</v>
      </c>
      <c r="C19" s="485">
        <v>0</v>
      </c>
      <c r="D19" s="488">
        <f t="shared" si="1"/>
        <v>18.343799999999987</v>
      </c>
      <c r="E19" s="487">
        <v>236.25814</v>
      </c>
    </row>
    <row r="20" spans="1:5" ht="15">
      <c r="A20" s="265" t="s">
        <v>124</v>
      </c>
      <c r="B20" s="488">
        <f t="shared" si="0"/>
        <v>135.00620000000001</v>
      </c>
      <c r="C20" s="485">
        <v>0</v>
      </c>
      <c r="D20" s="488">
        <f t="shared" si="1"/>
        <v>135.00620000000001</v>
      </c>
      <c r="E20" s="487">
        <v>371.26434</v>
      </c>
    </row>
    <row r="21" spans="1:5" ht="15">
      <c r="A21" s="265" t="s">
        <v>125</v>
      </c>
      <c r="B21" s="488">
        <f t="shared" si="0"/>
        <v>258.32729</v>
      </c>
      <c r="C21" s="485">
        <v>0</v>
      </c>
      <c r="D21" s="488">
        <f t="shared" si="1"/>
        <v>258.32729</v>
      </c>
      <c r="E21" s="487">
        <v>629.59163000000001</v>
      </c>
    </row>
    <row r="22" spans="1:5" ht="15">
      <c r="A22" s="265" t="s">
        <v>126</v>
      </c>
      <c r="B22" s="488">
        <f t="shared" si="0"/>
        <v>973.35884999999996</v>
      </c>
      <c r="C22" s="485">
        <v>0</v>
      </c>
      <c r="D22" s="488">
        <f t="shared" si="1"/>
        <v>973.35884999999996</v>
      </c>
      <c r="E22" s="487">
        <v>1602.95048</v>
      </c>
    </row>
    <row r="23" spans="1:5" ht="15">
      <c r="A23" s="265" t="s">
        <v>127</v>
      </c>
      <c r="B23" s="488">
        <f t="shared" si="0"/>
        <v>1014.45226</v>
      </c>
      <c r="C23" s="485">
        <v>0</v>
      </c>
      <c r="D23" s="488">
        <f t="shared" si="1"/>
        <v>1014.45226</v>
      </c>
      <c r="E23" s="487">
        <v>2617.40274</v>
      </c>
    </row>
    <row r="24" spans="1:5" ht="15">
      <c r="A24" s="584" t="s">
        <v>262</v>
      </c>
      <c r="B24" s="607">
        <f t="shared" si="0"/>
        <v>275.80942000000005</v>
      </c>
      <c r="C24" s="608">
        <v>0</v>
      </c>
      <c r="D24" s="607">
        <f t="shared" si="1"/>
        <v>275.80942000000005</v>
      </c>
      <c r="E24" s="609">
        <v>2893.21216</v>
      </c>
    </row>
    <row r="25" spans="1:5" ht="15">
      <c r="A25" s="586" t="s">
        <v>115</v>
      </c>
      <c r="B25" s="488">
        <f>SUM(B15:B24)</f>
        <v>2893.21216</v>
      </c>
      <c r="C25" s="591">
        <f>SUM(C15:C24)</f>
        <v>0</v>
      </c>
      <c r="D25" s="486">
        <f>SUM(D15:D24)</f>
        <v>2893.21216</v>
      </c>
      <c r="E25" s="591">
        <f>SUM(E15:E24)</f>
        <v>8755.4097199999997</v>
      </c>
    </row>
    <row r="26" spans="1:5" ht="15">
      <c r="A26" s="133"/>
      <c r="B26" s="123"/>
      <c r="C26" s="172"/>
      <c r="D26" s="123"/>
      <c r="E26" s="172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162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1200" r:id="rId1"/>
  <headerFooter>
    <oddHeader>&amp;RTO9 Annual Update
Attachment 4
WP-Schedule 3-CWIPBA Model
Page &amp;P of &amp;N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zoomScaleNormal="100" workbookViewId="0">
      <selection sqref="A1:E1"/>
    </sheetView>
  </sheetViews>
  <sheetFormatPr defaultRowHeight="12.75"/>
  <cols>
    <col min="1" max="1" width="9.85546875" bestFit="1" customWidth="1"/>
    <col min="2" max="2" width="13" customWidth="1"/>
    <col min="3" max="3" width="13.42578125" customWidth="1"/>
    <col min="4" max="4" width="11.5703125" customWidth="1"/>
    <col min="5" max="5" width="14.28515625" customWidth="1"/>
  </cols>
  <sheetData>
    <row r="1" spans="1:5" ht="15.75">
      <c r="A1" s="651" t="s">
        <v>0</v>
      </c>
      <c r="B1" s="651"/>
      <c r="C1" s="651"/>
      <c r="D1" s="651"/>
      <c r="E1" s="651"/>
    </row>
    <row r="2" spans="1:5" ht="15">
      <c r="A2" s="673" t="s">
        <v>297</v>
      </c>
      <c r="B2" s="653"/>
      <c r="C2" s="653"/>
      <c r="D2" s="653"/>
      <c r="E2" s="653"/>
    </row>
    <row r="3" spans="1:5" ht="15">
      <c r="A3" s="654" t="s">
        <v>274</v>
      </c>
      <c r="B3" s="655"/>
      <c r="C3" s="655"/>
      <c r="D3" s="655"/>
      <c r="E3" s="655"/>
    </row>
    <row r="4" spans="1:5">
      <c r="A4" s="656" t="s">
        <v>1</v>
      </c>
      <c r="B4" s="656"/>
      <c r="C4" s="656"/>
      <c r="D4" s="656"/>
      <c r="E4" s="656"/>
    </row>
    <row r="5" spans="1:5">
      <c r="A5" s="531"/>
      <c r="B5" s="531"/>
      <c r="C5" s="531"/>
      <c r="D5" s="531"/>
      <c r="E5" s="125"/>
    </row>
    <row r="6" spans="1:5">
      <c r="A6" s="531"/>
      <c r="B6" s="531"/>
      <c r="C6" s="531"/>
      <c r="D6" s="531"/>
      <c r="E6" s="531"/>
    </row>
    <row r="7" spans="1:5" ht="15">
      <c r="A7" s="531"/>
      <c r="B7" s="531"/>
      <c r="C7" s="175"/>
      <c r="D7" s="176"/>
      <c r="E7" s="176"/>
    </row>
    <row r="8" spans="1:5" ht="15">
      <c r="A8" s="218" t="s">
        <v>294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31"/>
      <c r="B12" s="531"/>
      <c r="C12" s="531"/>
      <c r="D12" s="531"/>
      <c r="E12" s="531"/>
    </row>
    <row r="13" spans="1:5" ht="23.25" customHeight="1">
      <c r="A13" s="660" t="s">
        <v>114</v>
      </c>
      <c r="B13" s="662" t="s">
        <v>160</v>
      </c>
      <c r="C13" s="662" t="s">
        <v>161</v>
      </c>
      <c r="D13" s="658" t="s">
        <v>115</v>
      </c>
      <c r="E13" s="660" t="s">
        <v>116</v>
      </c>
    </row>
    <row r="14" spans="1:5" ht="21" customHeight="1">
      <c r="A14" s="661"/>
      <c r="B14" s="663"/>
      <c r="C14" s="659"/>
      <c r="D14" s="659"/>
      <c r="E14" s="661"/>
    </row>
    <row r="15" spans="1:5" ht="15">
      <c r="A15" s="411" t="s">
        <v>295</v>
      </c>
      <c r="B15" s="488">
        <f t="shared" ref="B15:B24" si="0">D15-C15</f>
        <v>261.71168999999998</v>
      </c>
      <c r="C15" s="485">
        <v>0</v>
      </c>
      <c r="D15" s="486">
        <f t="shared" ref="D15:D24" si="1">IF(E15=0,0,E15-E14)</f>
        <v>261.71168999999998</v>
      </c>
      <c r="E15" s="487">
        <v>261.71168999999998</v>
      </c>
    </row>
    <row r="16" spans="1:5" ht="15">
      <c r="A16" s="411" t="s">
        <v>121</v>
      </c>
      <c r="B16" s="488">
        <f t="shared" si="0"/>
        <v>81.714570000000037</v>
      </c>
      <c r="C16" s="485">
        <v>0</v>
      </c>
      <c r="D16" s="486">
        <f t="shared" si="1"/>
        <v>81.714570000000037</v>
      </c>
      <c r="E16" s="487">
        <v>343.42626000000001</v>
      </c>
    </row>
    <row r="17" spans="1:5" ht="15">
      <c r="A17" s="411" t="s">
        <v>75</v>
      </c>
      <c r="B17" s="488">
        <f t="shared" si="0"/>
        <v>94.576809999999966</v>
      </c>
      <c r="C17" s="485">
        <v>0</v>
      </c>
      <c r="D17" s="486">
        <f t="shared" si="1"/>
        <v>94.576809999999966</v>
      </c>
      <c r="E17" s="487">
        <v>438.00306999999998</v>
      </c>
    </row>
    <row r="18" spans="1:5" ht="15">
      <c r="A18" s="265" t="s">
        <v>122</v>
      </c>
      <c r="B18" s="488">
        <f t="shared" si="0"/>
        <v>137.50030000000004</v>
      </c>
      <c r="C18" s="485">
        <v>0</v>
      </c>
      <c r="D18" s="486">
        <f t="shared" si="1"/>
        <v>137.50030000000004</v>
      </c>
      <c r="E18" s="487">
        <v>575.50337000000002</v>
      </c>
    </row>
    <row r="19" spans="1:5" ht="15">
      <c r="A19" s="265" t="s">
        <v>123</v>
      </c>
      <c r="B19" s="488">
        <f t="shared" si="0"/>
        <v>137.39739999999995</v>
      </c>
      <c r="C19" s="485">
        <v>0</v>
      </c>
      <c r="D19" s="488">
        <f t="shared" si="1"/>
        <v>137.39739999999995</v>
      </c>
      <c r="E19" s="487">
        <v>712.90076999999997</v>
      </c>
    </row>
    <row r="20" spans="1:5" ht="15">
      <c r="A20" s="265" t="s">
        <v>124</v>
      </c>
      <c r="B20" s="488">
        <f t="shared" si="0"/>
        <v>235.86306999999999</v>
      </c>
      <c r="C20" s="485">
        <v>0</v>
      </c>
      <c r="D20" s="488">
        <f t="shared" si="1"/>
        <v>235.86306999999999</v>
      </c>
      <c r="E20" s="487">
        <v>948.76383999999996</v>
      </c>
    </row>
    <row r="21" spans="1:5" ht="15">
      <c r="A21" s="265" t="s">
        <v>125</v>
      </c>
      <c r="B21" s="488">
        <f t="shared" si="0"/>
        <v>293.5249</v>
      </c>
      <c r="C21" s="485">
        <v>0</v>
      </c>
      <c r="D21" s="488">
        <f t="shared" si="1"/>
        <v>293.5249</v>
      </c>
      <c r="E21" s="487">
        <v>1242.28874</v>
      </c>
    </row>
    <row r="22" spans="1:5" ht="15">
      <c r="A22" s="265" t="s">
        <v>126</v>
      </c>
      <c r="B22" s="488">
        <f t="shared" si="0"/>
        <v>286.61298000000011</v>
      </c>
      <c r="C22" s="485">
        <v>0</v>
      </c>
      <c r="D22" s="488">
        <f t="shared" si="1"/>
        <v>286.61298000000011</v>
      </c>
      <c r="E22" s="487">
        <v>1528.9017200000001</v>
      </c>
    </row>
    <row r="23" spans="1:5" ht="15">
      <c r="A23" s="265" t="s">
        <v>127</v>
      </c>
      <c r="B23" s="488">
        <f t="shared" si="0"/>
        <v>265.61032</v>
      </c>
      <c r="C23" s="485">
        <v>0</v>
      </c>
      <c r="D23" s="488">
        <f t="shared" si="1"/>
        <v>265.61032</v>
      </c>
      <c r="E23" s="487">
        <v>1794.5120400000001</v>
      </c>
    </row>
    <row r="24" spans="1:5" ht="15">
      <c r="A24" s="584" t="s">
        <v>262</v>
      </c>
      <c r="B24" s="607">
        <f t="shared" si="0"/>
        <v>344.84935999999971</v>
      </c>
      <c r="C24" s="608">
        <v>0</v>
      </c>
      <c r="D24" s="607">
        <f t="shared" si="1"/>
        <v>344.84935999999971</v>
      </c>
      <c r="E24" s="609">
        <v>2139.3613999999998</v>
      </c>
    </row>
    <row r="25" spans="1:5" ht="15">
      <c r="A25" s="586" t="s">
        <v>115</v>
      </c>
      <c r="B25" s="488">
        <f>SUM(B15:B24)</f>
        <v>2139.3613999999998</v>
      </c>
      <c r="C25" s="591">
        <f>SUM(C15:C24)</f>
        <v>0</v>
      </c>
      <c r="D25" s="486">
        <f>SUM(D15:D24)</f>
        <v>2139.3613999999998</v>
      </c>
      <c r="E25" s="591">
        <f>SUM(E15:E24)</f>
        <v>9985.3728999999985</v>
      </c>
    </row>
    <row r="26" spans="1:5" ht="15">
      <c r="A26" s="133"/>
      <c r="B26" s="123"/>
      <c r="C26" s="172"/>
      <c r="D26" s="123"/>
      <c r="E26" s="172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162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1200" r:id="rId1"/>
  <headerFooter>
    <oddHeader>&amp;RTO9 Annual Update
Attachment 4
WP-Schedule 3-CWIPBA Model
Page &amp;P of &amp;N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5"/>
  </sheetPr>
  <dimension ref="A1:I922"/>
  <sheetViews>
    <sheetView zoomScaleNormal="100" zoomScaleSheetLayoutView="100" workbookViewId="0">
      <selection sqref="A1:F1"/>
    </sheetView>
  </sheetViews>
  <sheetFormatPr defaultColWidth="11.42578125" defaultRowHeight="14.25"/>
  <cols>
    <col min="1" max="1" width="39.7109375" style="135" customWidth="1"/>
    <col min="2" max="4" width="16.42578125" style="135" customWidth="1"/>
    <col min="5" max="5" width="14.140625" style="167" customWidth="1"/>
    <col min="6" max="6" width="13.85546875" style="135" customWidth="1"/>
    <col min="7" max="7" width="14.140625" style="135" bestFit="1" customWidth="1"/>
    <col min="8" max="16384" width="11.42578125" style="135"/>
  </cols>
  <sheetData>
    <row r="1" spans="1:9" ht="15">
      <c r="A1" s="707" t="s">
        <v>0</v>
      </c>
      <c r="B1" s="707"/>
      <c r="C1" s="707"/>
      <c r="D1" s="707"/>
      <c r="E1" s="707"/>
      <c r="F1" s="707"/>
    </row>
    <row r="2" spans="1:9">
      <c r="A2" s="708" t="s">
        <v>133</v>
      </c>
      <c r="B2" s="708"/>
      <c r="C2" s="708"/>
      <c r="D2" s="708"/>
      <c r="E2" s="708"/>
      <c r="F2" s="708"/>
    </row>
    <row r="3" spans="1:9" ht="15">
      <c r="A3" s="654" t="s">
        <v>274</v>
      </c>
      <c r="B3" s="655"/>
      <c r="C3" s="655"/>
      <c r="D3" s="655"/>
      <c r="E3" s="655"/>
      <c r="F3" s="655"/>
      <c r="H3" s="137"/>
      <c r="I3" s="138"/>
    </row>
    <row r="4" spans="1:9">
      <c r="A4" s="656" t="s">
        <v>1</v>
      </c>
      <c r="B4" s="656"/>
      <c r="C4" s="656"/>
      <c r="D4" s="656"/>
      <c r="E4" s="656"/>
      <c r="F4" s="656"/>
    </row>
    <row r="7" spans="1:9" ht="18.75" thickBot="1">
      <c r="A7" s="690" t="s">
        <v>3</v>
      </c>
      <c r="B7" s="690"/>
      <c r="C7" s="690"/>
      <c r="D7" s="690"/>
      <c r="E7" s="690"/>
      <c r="F7" s="690"/>
    </row>
    <row r="8" spans="1:9">
      <c r="A8" s="194" t="s">
        <v>190</v>
      </c>
      <c r="B8" s="197">
        <v>6.2199999999999998E-2</v>
      </c>
      <c r="C8" s="157"/>
    </row>
    <row r="9" spans="1:9">
      <c r="A9" s="194" t="s">
        <v>167</v>
      </c>
      <c r="B9" s="197">
        <v>5.5E-2</v>
      </c>
    </row>
    <row r="10" spans="1:9">
      <c r="A10" s="194" t="s">
        <v>168</v>
      </c>
      <c r="B10" s="197">
        <v>5.5E-2</v>
      </c>
    </row>
    <row r="11" spans="1:9">
      <c r="A11" s="194" t="s">
        <v>169</v>
      </c>
      <c r="B11" s="237">
        <v>5.5E-2</v>
      </c>
    </row>
    <row r="12" spans="1:9">
      <c r="A12" s="137" t="s">
        <v>194</v>
      </c>
      <c r="B12" s="138">
        <f>'Income Tax Rates'!C19</f>
        <v>0.40588299999999994</v>
      </c>
    </row>
    <row r="13" spans="1:9">
      <c r="A13" s="194" t="s">
        <v>234</v>
      </c>
      <c r="B13" s="237">
        <v>6.1600000000000002E-2</v>
      </c>
    </row>
    <row r="14" spans="1:9">
      <c r="A14" s="194" t="s">
        <v>167</v>
      </c>
      <c r="B14" s="237">
        <v>6.1600000000000002E-2</v>
      </c>
    </row>
    <row r="15" spans="1:9">
      <c r="A15" s="194" t="s">
        <v>168</v>
      </c>
      <c r="B15" s="237">
        <v>6.1600000000000002E-2</v>
      </c>
    </row>
    <row r="16" spans="1:9">
      <c r="A16" s="194" t="s">
        <v>169</v>
      </c>
      <c r="B16" s="237">
        <v>6.1600000000000002E-2</v>
      </c>
    </row>
    <row r="17" spans="1:7">
      <c r="A17" s="137" t="s">
        <v>195</v>
      </c>
      <c r="B17" s="138">
        <f>'Income Tax Rates'!C36</f>
        <v>0.40669976930000001</v>
      </c>
    </row>
    <row r="18" spans="1:7">
      <c r="A18" s="393" t="s">
        <v>235</v>
      </c>
      <c r="B18" s="237">
        <v>6.25E-2</v>
      </c>
    </row>
    <row r="19" spans="1:7">
      <c r="A19" s="194" t="s">
        <v>167</v>
      </c>
      <c r="B19" s="237">
        <v>6.25E-2</v>
      </c>
    </row>
    <row r="20" spans="1:7">
      <c r="A20" s="194" t="s">
        <v>168</v>
      </c>
      <c r="B20" s="237">
        <v>6.25E-2</v>
      </c>
    </row>
    <row r="21" spans="1:7">
      <c r="A21" s="194" t="s">
        <v>169</v>
      </c>
      <c r="B21" s="237">
        <v>6.25E-2</v>
      </c>
    </row>
    <row r="22" spans="1:7">
      <c r="A22" s="137" t="s">
        <v>228</v>
      </c>
      <c r="B22" s="138">
        <f>'Income Tax Rates'!C56</f>
        <v>0.40720000000000001</v>
      </c>
    </row>
    <row r="23" spans="1:7">
      <c r="A23" s="393" t="s">
        <v>271</v>
      </c>
      <c r="B23" s="237">
        <v>6.25E-2</v>
      </c>
      <c r="C23" s="540"/>
    </row>
    <row r="24" spans="1:7">
      <c r="A24" s="392" t="s">
        <v>167</v>
      </c>
      <c r="B24" s="237">
        <v>6.25E-2</v>
      </c>
    </row>
    <row r="25" spans="1:7">
      <c r="A25" s="392" t="s">
        <v>168</v>
      </c>
      <c r="B25" s="237">
        <v>6.25E-2</v>
      </c>
    </row>
    <row r="26" spans="1:7">
      <c r="A26" s="392" t="s">
        <v>169</v>
      </c>
      <c r="B26" s="237">
        <v>6.25E-2</v>
      </c>
    </row>
    <row r="27" spans="1:7">
      <c r="A27" s="394" t="s">
        <v>272</v>
      </c>
      <c r="B27" s="138">
        <v>0.40739999999999998</v>
      </c>
    </row>
    <row r="28" spans="1:7">
      <c r="A28" s="137"/>
      <c r="B28" s="138"/>
    </row>
    <row r="30" spans="1:7" ht="15">
      <c r="A30" s="139" t="s">
        <v>135</v>
      </c>
      <c r="B30" s="140"/>
    </row>
    <row r="31" spans="1:7" ht="66.75" customHeight="1">
      <c r="A31" s="704" t="str">
        <f>A7</f>
        <v>DPV2</v>
      </c>
      <c r="B31" s="705" t="s">
        <v>179</v>
      </c>
      <c r="C31" s="705" t="s">
        <v>180</v>
      </c>
      <c r="D31" s="705" t="s">
        <v>181</v>
      </c>
      <c r="E31" s="710" t="s">
        <v>144</v>
      </c>
      <c r="F31" s="315" t="s">
        <v>136</v>
      </c>
      <c r="G31" s="153" t="s">
        <v>196</v>
      </c>
    </row>
    <row r="32" spans="1:7">
      <c r="A32" s="704"/>
      <c r="B32" s="705"/>
      <c r="C32" s="705"/>
      <c r="D32" s="706"/>
      <c r="E32" s="710"/>
      <c r="F32" s="258">
        <f>B12</f>
        <v>0.40588299999999994</v>
      </c>
      <c r="G32" s="259">
        <v>39448</v>
      </c>
    </row>
    <row r="33" spans="1:7" ht="15">
      <c r="A33" s="312"/>
      <c r="B33" s="311"/>
      <c r="C33" s="311"/>
      <c r="D33" s="314"/>
      <c r="E33" s="313"/>
      <c r="F33" s="154">
        <f>B17</f>
        <v>0.40669976930000001</v>
      </c>
      <c r="G33" s="259">
        <v>39814</v>
      </c>
    </row>
    <row r="34" spans="1:7" ht="15">
      <c r="A34" s="254"/>
      <c r="B34" s="255"/>
      <c r="C34" s="255"/>
      <c r="D34" s="256"/>
      <c r="E34" s="257"/>
      <c r="F34" s="258">
        <f>B22</f>
        <v>0.40720000000000001</v>
      </c>
      <c r="G34" s="259">
        <v>40179</v>
      </c>
    </row>
    <row r="35" spans="1:7" ht="15">
      <c r="A35" s="254"/>
      <c r="B35" s="255"/>
      <c r="C35" s="255"/>
      <c r="D35" s="256"/>
      <c r="E35" s="574"/>
      <c r="F35" s="258">
        <f>B27</f>
        <v>0.40739999999999998</v>
      </c>
      <c r="G35" s="259">
        <v>40544</v>
      </c>
    </row>
    <row r="36" spans="1:7" ht="15">
      <c r="A36" s="254"/>
      <c r="B36" s="255"/>
      <c r="C36" s="255"/>
      <c r="D36" s="256"/>
      <c r="E36" s="257"/>
      <c r="F36" s="294"/>
      <c r="G36" s="295"/>
    </row>
    <row r="37" spans="1:7">
      <c r="A37" s="141" t="s">
        <v>137</v>
      </c>
    </row>
    <row r="38" spans="1:7">
      <c r="A38" s="141" t="s">
        <v>117</v>
      </c>
    </row>
    <row r="39" spans="1:7" ht="15" thickBot="1">
      <c r="A39" s="141"/>
      <c r="E39" s="168"/>
      <c r="F39" s="142"/>
    </row>
    <row r="40" spans="1:7" ht="15" thickTop="1">
      <c r="A40" s="141"/>
    </row>
    <row r="41" spans="1:7">
      <c r="A41" s="141" t="s">
        <v>117</v>
      </c>
    </row>
    <row r="42" spans="1:7">
      <c r="A42" s="141" t="s">
        <v>118</v>
      </c>
    </row>
    <row r="43" spans="1:7">
      <c r="A43" s="141" t="s">
        <v>119</v>
      </c>
      <c r="B43" s="135">
        <f>'DPV2 CWIP Balance'!E17-'Beg int cap'!B5</f>
        <v>18408.62773</v>
      </c>
      <c r="C43" s="145">
        <f>'Beg int cap'!E5</f>
        <v>2609.2640000000001</v>
      </c>
      <c r="D43" s="135">
        <f>SUM(B43:C43)</f>
        <v>21017.891729999999</v>
      </c>
      <c r="F43" s="135">
        <f>(C$43*F$32)-('Beg int cap'!D$18*'Def Tax'!F$32)</f>
        <v>603.8318368389298</v>
      </c>
    </row>
    <row r="44" spans="1:7">
      <c r="A44" s="141" t="s">
        <v>120</v>
      </c>
      <c r="B44" s="135">
        <f>B43+'DPV2 CWIP Balance'!D18</f>
        <v>18476.972009999998</v>
      </c>
      <c r="C44" s="135">
        <f>C43+E44</f>
        <v>2718.2067388005003</v>
      </c>
      <c r="D44" s="135">
        <f>SUM(B44:C44)</f>
        <v>21195.178748800499</v>
      </c>
      <c r="E44" s="167">
        <f>D43*($B$8/12)</f>
        <v>108.9427388005</v>
      </c>
      <c r="F44" s="135">
        <f t="shared" ref="F44:F53" si="0">+E44*$F$32</f>
        <v>44.218005652563335</v>
      </c>
    </row>
    <row r="45" spans="1:7">
      <c r="A45" s="141" t="s">
        <v>121</v>
      </c>
      <c r="B45" s="135">
        <f>B44+'DPV2 CWIP Balance'!D19</f>
        <v>18934.92179</v>
      </c>
      <c r="C45" s="135">
        <f>C44+E45</f>
        <v>2815.3513080658358</v>
      </c>
      <c r="D45" s="135">
        <f>SUM(B45:C45)</f>
        <v>21750.273098065838</v>
      </c>
      <c r="E45" s="167">
        <f>D44*($B$9/12)</f>
        <v>97.144569265335619</v>
      </c>
      <c r="F45" s="135">
        <f t="shared" si="0"/>
        <v>39.429329207122208</v>
      </c>
    </row>
    <row r="46" spans="1:7">
      <c r="A46" s="141" t="s">
        <v>75</v>
      </c>
      <c r="B46" s="135">
        <f>B45+'DPV2 CWIP Balance'!D20</f>
        <v>19256.108079999998</v>
      </c>
      <c r="C46" s="135">
        <f t="shared" ref="C46:C68" si="1">C45+E46</f>
        <v>2915.0400597653042</v>
      </c>
      <c r="D46" s="135">
        <f t="shared" ref="D46:D78" si="2">SUM(B46:C46)</f>
        <v>22171.148139765304</v>
      </c>
      <c r="E46" s="167">
        <f>D45*($B$9/12)</f>
        <v>99.688751699468426</v>
      </c>
      <c r="F46" s="135">
        <f t="shared" si="0"/>
        <v>40.461969606035339</v>
      </c>
    </row>
    <row r="47" spans="1:7">
      <c r="A47" s="141" t="s">
        <v>122</v>
      </c>
      <c r="B47" s="135">
        <f>B46+'DPV2 CWIP Balance'!D21</f>
        <v>19774.123199999998</v>
      </c>
      <c r="C47" s="135">
        <f t="shared" si="1"/>
        <v>3016.6578220725619</v>
      </c>
      <c r="D47" s="135">
        <f t="shared" si="2"/>
        <v>22790.781022072559</v>
      </c>
      <c r="E47" s="167">
        <f>D46*($B$9/12)</f>
        <v>101.61776230725765</v>
      </c>
      <c r="F47" s="135">
        <f t="shared" si="0"/>
        <v>41.244922218556653</v>
      </c>
    </row>
    <row r="48" spans="1:7">
      <c r="A48" s="141" t="s">
        <v>123</v>
      </c>
      <c r="B48" s="135">
        <f>B47+'DPV2 CWIP Balance'!D22</f>
        <v>19993.58178</v>
      </c>
      <c r="C48" s="135">
        <f t="shared" si="1"/>
        <v>3121.1155684237278</v>
      </c>
      <c r="D48" s="135">
        <f t="shared" si="2"/>
        <v>23114.697348423728</v>
      </c>
      <c r="E48" s="167">
        <f>D47*($B$10/12)</f>
        <v>104.45774635116589</v>
      </c>
      <c r="F48" s="135">
        <f t="shared" si="0"/>
        <v>42.397623462250259</v>
      </c>
    </row>
    <row r="49" spans="1:6">
      <c r="A49" s="141" t="s">
        <v>124</v>
      </c>
      <c r="B49" s="135">
        <f>B48+'DPV2 CWIP Balance'!D23</f>
        <v>20355.413089999998</v>
      </c>
      <c r="C49" s="135">
        <f t="shared" si="1"/>
        <v>3227.05793127067</v>
      </c>
      <c r="D49" s="135">
        <f t="shared" si="2"/>
        <v>23582.471021270667</v>
      </c>
      <c r="E49" s="167">
        <f>D48*($B$10/12)</f>
        <v>105.94236284694209</v>
      </c>
      <c r="F49" s="135">
        <f t="shared" si="0"/>
        <v>43.000204059405391</v>
      </c>
    </row>
    <row r="50" spans="1:6">
      <c r="A50" s="141" t="s">
        <v>125</v>
      </c>
      <c r="B50" s="135">
        <f>B49+'DPV2 CWIP Balance'!D24</f>
        <v>21043.076729999997</v>
      </c>
      <c r="C50" s="135">
        <f t="shared" si="1"/>
        <v>3335.1442567848271</v>
      </c>
      <c r="D50" s="135">
        <f t="shared" si="2"/>
        <v>24378.220986784825</v>
      </c>
      <c r="E50" s="167">
        <f>D49*($B$10/12)</f>
        <v>108.08632551415722</v>
      </c>
      <c r="F50" s="135">
        <f t="shared" si="0"/>
        <v>43.87040205866267</v>
      </c>
    </row>
    <row r="51" spans="1:6">
      <c r="A51" s="141" t="s">
        <v>126</v>
      </c>
      <c r="B51" s="135">
        <f>B50+'DPV2 CWIP Balance'!D25</f>
        <v>21372.323949999998</v>
      </c>
      <c r="C51" s="135">
        <f t="shared" si="1"/>
        <v>3446.8777696409243</v>
      </c>
      <c r="D51" s="135">
        <f t="shared" si="2"/>
        <v>24819.201719640922</v>
      </c>
      <c r="E51" s="167">
        <f>D50*($B$11/12)</f>
        <v>111.73351285609712</v>
      </c>
      <c r="F51" s="135">
        <f t="shared" si="0"/>
        <v>45.350733398571258</v>
      </c>
    </row>
    <row r="52" spans="1:6">
      <c r="A52" s="141" t="s">
        <v>127</v>
      </c>
      <c r="B52" s="135">
        <f>B51+'DPV2 CWIP Balance'!D26</f>
        <v>21523.828999999998</v>
      </c>
      <c r="C52" s="135">
        <f t="shared" si="1"/>
        <v>3560.6324441892784</v>
      </c>
      <c r="D52" s="135">
        <f t="shared" si="2"/>
        <v>25084.461444189277</v>
      </c>
      <c r="E52" s="167">
        <f>D51*($B$11/12)</f>
        <v>113.75467454835423</v>
      </c>
      <c r="F52" s="135">
        <f t="shared" si="0"/>
        <v>46.171088569709653</v>
      </c>
    </row>
    <row r="53" spans="1:6">
      <c r="A53" s="141" t="s">
        <v>128</v>
      </c>
      <c r="B53" s="135">
        <f>B52+'DPV2 CWIP Balance'!D27</f>
        <v>22619.645949999998</v>
      </c>
      <c r="C53" s="135">
        <f t="shared" si="1"/>
        <v>3675.6028924751458</v>
      </c>
      <c r="D53" s="135">
        <f t="shared" si="2"/>
        <v>26295.248842475143</v>
      </c>
      <c r="E53" s="167">
        <f>D52*($B$11/12)</f>
        <v>114.97044828586752</v>
      </c>
      <c r="F53" s="135">
        <f t="shared" si="0"/>
        <v>46.664550461612762</v>
      </c>
    </row>
    <row r="54" spans="1:6" ht="15" thickBot="1">
      <c r="A54" s="141"/>
      <c r="E54" s="168"/>
      <c r="F54" s="142"/>
    </row>
    <row r="55" spans="1:6" ht="15" thickTop="1">
      <c r="A55" s="141"/>
    </row>
    <row r="56" spans="1:6" ht="21.75" customHeight="1">
      <c r="A56" s="141" t="s">
        <v>188</v>
      </c>
      <c r="B56" s="135">
        <f>B53+'DPV2 CWIP Balance'!D28</f>
        <v>22998.212929999998</v>
      </c>
      <c r="C56" s="135">
        <f>C53+E56</f>
        <v>3810.5851698665183</v>
      </c>
      <c r="D56" s="135">
        <f t="shared" si="2"/>
        <v>26808.798099866515</v>
      </c>
      <c r="E56" s="167">
        <f>D53*($B$13/12)</f>
        <v>134.98227739137241</v>
      </c>
      <c r="F56" s="135">
        <f>+E56*$F$33</f>
        <v>54.897261074659767</v>
      </c>
    </row>
    <row r="57" spans="1:6">
      <c r="A57" s="141" t="s">
        <v>119</v>
      </c>
      <c r="B57" s="135">
        <f>B56+'DPV2 CWIP Balance'!D29</f>
        <v>23395.329459999997</v>
      </c>
      <c r="C57" s="135">
        <f t="shared" si="1"/>
        <v>3948.2036667791663</v>
      </c>
      <c r="D57" s="135">
        <f t="shared" si="2"/>
        <v>27343.533126779163</v>
      </c>
      <c r="E57" s="167">
        <f>D56*($B$13/12)</f>
        <v>137.61849691264811</v>
      </c>
      <c r="F57" s="135">
        <f t="shared" ref="F57:F78" si="3">+E57*$F$33</f>
        <v>55.969410945786748</v>
      </c>
    </row>
    <row r="58" spans="1:6">
      <c r="A58" s="141" t="s">
        <v>120</v>
      </c>
      <c r="B58" s="135">
        <f>B57+'DPV2 CWIP Balance'!D30</f>
        <v>24418.257819999999</v>
      </c>
      <c r="C58" s="135">
        <f t="shared" si="1"/>
        <v>4088.5671368299659</v>
      </c>
      <c r="D58" s="135">
        <f t="shared" si="2"/>
        <v>28506.824956829965</v>
      </c>
      <c r="E58" s="167">
        <f>D57*($B$13/12)</f>
        <v>140.36347005079972</v>
      </c>
      <c r="F58" s="135">
        <f t="shared" si="3"/>
        <v>57.085790887807704</v>
      </c>
    </row>
    <row r="59" spans="1:6">
      <c r="A59" s="141" t="s">
        <v>121</v>
      </c>
      <c r="B59" s="135">
        <f>B58+'DPV2 CWIP Balance'!D31</f>
        <v>25570.178369999998</v>
      </c>
      <c r="C59" s="135">
        <f t="shared" si="1"/>
        <v>4234.9021716083598</v>
      </c>
      <c r="D59" s="135">
        <f t="shared" si="2"/>
        <v>29805.080541608357</v>
      </c>
      <c r="E59" s="167">
        <f>D58*($B$14/12)</f>
        <v>146.33503477839383</v>
      </c>
      <c r="F59" s="135">
        <f t="shared" si="3"/>
        <v>59.514424884880249</v>
      </c>
    </row>
    <row r="60" spans="1:6">
      <c r="A60" s="141" t="s">
        <v>75</v>
      </c>
      <c r="B60" s="135">
        <f>B59+'DPV2 CWIP Balance'!D32</f>
        <v>27925.817069999997</v>
      </c>
      <c r="C60" s="135">
        <f t="shared" si="1"/>
        <v>4387.9015850552823</v>
      </c>
      <c r="D60" s="135">
        <f t="shared" si="2"/>
        <v>32313.71865505528</v>
      </c>
      <c r="E60" s="167">
        <f>D59*($B$14/12)</f>
        <v>152.99941344692292</v>
      </c>
      <c r="F60" s="135">
        <f t="shared" si="3"/>
        <v>62.224826151898867</v>
      </c>
    </row>
    <row r="61" spans="1:6">
      <c r="A61" s="141"/>
    </row>
    <row r="62" spans="1:6">
      <c r="A62" s="141" t="s">
        <v>122</v>
      </c>
      <c r="B62" s="135">
        <f>B60-'DPV2 CWIP Balance'!C33</f>
        <v>27925.817069999997</v>
      </c>
      <c r="C62" s="135">
        <f>C60+E62</f>
        <v>4553.7786741512327</v>
      </c>
      <c r="D62" s="135">
        <f t="shared" si="2"/>
        <v>32479.595744151229</v>
      </c>
      <c r="E62" s="167">
        <f>D60*($B$14/12)</f>
        <v>165.87708909595045</v>
      </c>
      <c r="F62" s="135">
        <f t="shared" si="3"/>
        <v>67.462173867478597</v>
      </c>
    </row>
    <row r="63" spans="1:6">
      <c r="A63" s="141" t="s">
        <v>214</v>
      </c>
      <c r="B63" s="280">
        <f>-'DPV2 Transfer'!C6</f>
        <v>-430.37274999999863</v>
      </c>
      <c r="C63" s="280">
        <f>'DPV2 Transfer'!J6</f>
        <v>-62.740014212990957</v>
      </c>
      <c r="D63" s="280">
        <f>B63+C63</f>
        <v>-493.11276421298959</v>
      </c>
      <c r="E63" s="281"/>
      <c r="F63" s="280"/>
    </row>
    <row r="64" spans="1:6">
      <c r="A64" s="141" t="s">
        <v>215</v>
      </c>
      <c r="B64" s="135">
        <f>SUM(B62:B63)</f>
        <v>27495.444319999999</v>
      </c>
      <c r="C64" s="135">
        <f>SUM(C62:C63)</f>
        <v>4491.0386599382418</v>
      </c>
      <c r="D64" s="135">
        <f>SUM(D62:D63)</f>
        <v>31986.482979938239</v>
      </c>
      <c r="E64" s="135">
        <f>SUM(E62:E63)</f>
        <v>165.87708909595045</v>
      </c>
      <c r="F64" s="135">
        <f>SUM(F62:F63)</f>
        <v>67.462173867478597</v>
      </c>
    </row>
    <row r="65" spans="1:6">
      <c r="A65" s="141"/>
    </row>
    <row r="66" spans="1:6">
      <c r="A66" s="141" t="s">
        <v>123</v>
      </c>
      <c r="B66" s="135">
        <f>B64+'DPV2 CWIP Balance'!D34</f>
        <v>30562.043899999997</v>
      </c>
      <c r="C66" s="135">
        <f>C64+E66</f>
        <v>4655.2359392352582</v>
      </c>
      <c r="D66" s="135">
        <f t="shared" si="2"/>
        <v>35217.279839235256</v>
      </c>
      <c r="E66" s="167">
        <f>D64*($B$15/12)</f>
        <v>164.19727929701631</v>
      </c>
      <c r="F66" s="135">
        <f t="shared" si="3"/>
        <v>66.778995609784204</v>
      </c>
    </row>
    <row r="67" spans="1:6">
      <c r="A67" s="141" t="s">
        <v>124</v>
      </c>
      <c r="B67" s="135">
        <f>B66+'DPV2 CWIP Balance'!D35</f>
        <v>33298.761639999997</v>
      </c>
      <c r="C67" s="135">
        <f t="shared" si="1"/>
        <v>4836.0179757433325</v>
      </c>
      <c r="D67" s="135">
        <f t="shared" si="2"/>
        <v>38134.779615743333</v>
      </c>
      <c r="E67" s="167">
        <f>D66*($B$15/12)</f>
        <v>180.78203650807433</v>
      </c>
      <c r="F67" s="135">
        <f t="shared" si="3"/>
        <v>73.524012541418003</v>
      </c>
    </row>
    <row r="68" spans="1:6">
      <c r="A68" s="141" t="s">
        <v>125</v>
      </c>
      <c r="B68" s="135">
        <f>B67+'DPV2 CWIP Balance'!D36</f>
        <v>36268.796750000001</v>
      </c>
      <c r="C68" s="135">
        <f t="shared" si="1"/>
        <v>5031.7765111041481</v>
      </c>
      <c r="D68" s="135">
        <f t="shared" si="2"/>
        <v>41300.573261104146</v>
      </c>
      <c r="E68" s="167">
        <f>D67*($B$15/12)</f>
        <v>195.75853536081578</v>
      </c>
      <c r="F68" s="135">
        <f t="shared" si="3"/>
        <v>79.614951169749673</v>
      </c>
    </row>
    <row r="69" spans="1:6">
      <c r="A69" s="141"/>
    </row>
    <row r="70" spans="1:6">
      <c r="A70" s="141" t="s">
        <v>126</v>
      </c>
      <c r="B70" s="135">
        <f>B68</f>
        <v>36268.796750000001</v>
      </c>
      <c r="C70" s="135">
        <f>C68+E70</f>
        <v>5243.7861205111494</v>
      </c>
      <c r="D70" s="135">
        <f t="shared" si="2"/>
        <v>41512.582870511149</v>
      </c>
      <c r="E70" s="167">
        <f>D68*($B$16/12)</f>
        <v>212.00960940700128</v>
      </c>
      <c r="F70" s="135">
        <f t="shared" si="3"/>
        <v>86.224259235210539</v>
      </c>
    </row>
    <row r="71" spans="1:6">
      <c r="A71" s="141" t="s">
        <v>221</v>
      </c>
      <c r="B71" s="280">
        <f>-'DPV2 Transfer'!C7</f>
        <v>-1865.0846700000038</v>
      </c>
      <c r="C71" s="280">
        <f>'DPV2 Transfer'!J7</f>
        <v>-247.09603801928699</v>
      </c>
      <c r="D71" s="280">
        <f>B71+C71</f>
        <v>-2112.1807080192907</v>
      </c>
      <c r="E71" s="281"/>
      <c r="F71" s="280"/>
    </row>
    <row r="72" spans="1:6">
      <c r="A72" s="141" t="s">
        <v>222</v>
      </c>
      <c r="B72" s="135">
        <f>SUM(B70:B71)</f>
        <v>34403.712079999998</v>
      </c>
      <c r="C72" s="135">
        <f>SUM(C70:C71)</f>
        <v>4996.6900824918621</v>
      </c>
      <c r="D72" s="135">
        <f>SUM(D70:D71)</f>
        <v>39400.402162491861</v>
      </c>
      <c r="E72" s="135">
        <f>SUM(E70:E71)</f>
        <v>212.00960940700128</v>
      </c>
      <c r="F72" s="135">
        <f>SUM(F70:F71)</f>
        <v>86.224259235210539</v>
      </c>
    </row>
    <row r="73" spans="1:6">
      <c r="A73" s="141"/>
    </row>
    <row r="74" spans="1:6">
      <c r="A74" s="141" t="s">
        <v>127</v>
      </c>
      <c r="B74" s="135">
        <f>B72</f>
        <v>34403.712079999998</v>
      </c>
      <c r="C74" s="135">
        <f>C72+E74</f>
        <v>5198.94548025932</v>
      </c>
      <c r="D74" s="135">
        <f t="shared" si="2"/>
        <v>39602.657560259315</v>
      </c>
      <c r="E74" s="167">
        <f>D72*($B$16/12)</f>
        <v>202.25539776745822</v>
      </c>
      <c r="F74" s="135">
        <f t="shared" si="3"/>
        <v>82.257223611705001</v>
      </c>
    </row>
    <row r="75" spans="1:6">
      <c r="A75" s="141" t="s">
        <v>223</v>
      </c>
      <c r="B75" s="280">
        <f>-'DPV2 Transfer'!C8</f>
        <v>-2133.280399999996</v>
      </c>
      <c r="C75" s="280">
        <f>'DPV2 Transfer'!J8</f>
        <v>-294.06817239401533</v>
      </c>
      <c r="D75" s="280">
        <f>B75+C75</f>
        <v>-2427.3485723940112</v>
      </c>
      <c r="E75" s="281"/>
      <c r="F75" s="280"/>
    </row>
    <row r="76" spans="1:6">
      <c r="A76" s="141" t="s">
        <v>224</v>
      </c>
      <c r="B76" s="135">
        <f>SUM(B74:B75)</f>
        <v>32270.431680000002</v>
      </c>
      <c r="C76" s="135">
        <f>SUM(C74:C75)</f>
        <v>4904.8773078653048</v>
      </c>
      <c r="D76" s="135">
        <f>SUM(D74:D75)</f>
        <v>37175.308987865305</v>
      </c>
      <c r="E76" s="135">
        <f>SUM(E74:E75)</f>
        <v>202.25539776745822</v>
      </c>
      <c r="F76" s="135">
        <f>SUM(F74:F75)</f>
        <v>82.257223611705001</v>
      </c>
    </row>
    <row r="77" spans="1:6">
      <c r="A77" s="141"/>
    </row>
    <row r="78" spans="1:6">
      <c r="A78" s="141" t="s">
        <v>189</v>
      </c>
      <c r="B78" s="135">
        <f>B76+'DPV2 CWIP Balance'!D39</f>
        <v>35308.895100000002</v>
      </c>
      <c r="C78" s="135">
        <f>C76+E78</f>
        <v>5095.7105606696805</v>
      </c>
      <c r="D78" s="135">
        <f t="shared" si="2"/>
        <v>40404.60566066968</v>
      </c>
      <c r="E78" s="297">
        <f>D76*($B$16/12)</f>
        <v>190.83325280437523</v>
      </c>
      <c r="F78" s="298">
        <f t="shared" si="3"/>
        <v>77.611839890307991</v>
      </c>
    </row>
    <row r="79" spans="1:6" ht="15" thickBot="1">
      <c r="A79" s="141"/>
      <c r="E79" s="168"/>
      <c r="F79" s="142"/>
    </row>
    <row r="80" spans="1:6" ht="15" thickTop="1">
      <c r="E80" s="296"/>
      <c r="F80" s="140"/>
    </row>
    <row r="81" spans="1:8">
      <c r="A81" s="141" t="s">
        <v>225</v>
      </c>
      <c r="B81" s="167">
        <f>B78+'DPV2 CWIP Balance'!D40</f>
        <v>35124.686969999995</v>
      </c>
      <c r="C81" s="167">
        <f>C78+E81</f>
        <v>5306.1512151523348</v>
      </c>
      <c r="D81" s="167">
        <f>SUM(B81:C81)</f>
        <v>40430.83818515233</v>
      </c>
      <c r="E81" s="167">
        <f>D78*($B$18/12)</f>
        <v>210.44065448265457</v>
      </c>
      <c r="F81" s="167">
        <f t="shared" ref="F81:F96" si="4">+E81*$F$34</f>
        <v>85.691434505336943</v>
      </c>
    </row>
    <row r="82" spans="1:8">
      <c r="A82" s="141" t="s">
        <v>119</v>
      </c>
      <c r="B82" s="167">
        <f>B81+'DPV2 CWIP Balance'!D41</f>
        <v>35239.904300000002</v>
      </c>
      <c r="C82" s="167">
        <f>C81+E82</f>
        <v>5516.7284973666701</v>
      </c>
      <c r="D82" s="167">
        <f>SUM(B82:C82)</f>
        <v>40756.63279736667</v>
      </c>
      <c r="E82" s="167">
        <f>D81*($B$18/12)</f>
        <v>210.57728221433504</v>
      </c>
      <c r="F82" s="167">
        <f t="shared" si="4"/>
        <v>85.74706931767723</v>
      </c>
    </row>
    <row r="83" spans="1:8" s="167" customFormat="1">
      <c r="A83" s="253" t="s">
        <v>120</v>
      </c>
      <c r="B83" s="167">
        <f>B82+'DPV2 CWIP Balance'!D42</f>
        <v>36462.771209999999</v>
      </c>
      <c r="C83" s="167">
        <f>C82+E83</f>
        <v>5729.0026265196211</v>
      </c>
      <c r="D83" s="167">
        <f>SUM(B83:C83)</f>
        <v>42191.77383651962</v>
      </c>
      <c r="E83" s="167">
        <f>D82*($B$18/12)</f>
        <v>212.27412915295139</v>
      </c>
      <c r="F83" s="167">
        <f>+E83*$F$34</f>
        <v>86.438025391081808</v>
      </c>
    </row>
    <row r="84" spans="1:8" s="167" customFormat="1">
      <c r="A84" s="253" t="s">
        <v>121</v>
      </c>
      <c r="B84" s="167">
        <f>B83+'DPV2 CWIP Balance'!D43</f>
        <v>37284.384890000001</v>
      </c>
      <c r="C84" s="167">
        <f>C83+E84</f>
        <v>5948.7514485848278</v>
      </c>
      <c r="D84" s="167">
        <f>SUM(B84:C84)</f>
        <v>43233.136338584831</v>
      </c>
      <c r="E84" s="167">
        <f>D83*($B$19/12)</f>
        <v>219.74882206520635</v>
      </c>
      <c r="F84" s="167">
        <f t="shared" si="4"/>
        <v>89.481720344952024</v>
      </c>
    </row>
    <row r="85" spans="1:8" s="167" customFormat="1">
      <c r="A85" s="253" t="s">
        <v>75</v>
      </c>
      <c r="B85" s="167">
        <f>B84+'DPV2 CWIP Balance'!D44</f>
        <v>38628.502039999999</v>
      </c>
      <c r="C85" s="167">
        <f>C84+E85</f>
        <v>6173.9240336816238</v>
      </c>
      <c r="D85" s="167">
        <f>SUM(B85:C85)</f>
        <v>44802.426073681621</v>
      </c>
      <c r="E85" s="167">
        <f>D84*($B$19/12)</f>
        <v>225.17258509679598</v>
      </c>
      <c r="F85" s="167">
        <f t="shared" si="4"/>
        <v>91.690276651415331</v>
      </c>
    </row>
    <row r="86" spans="1:8" s="167" customFormat="1">
      <c r="A86" s="253"/>
    </row>
    <row r="87" spans="1:8" s="167" customFormat="1">
      <c r="A87" s="253" t="s">
        <v>122</v>
      </c>
      <c r="B87" s="167">
        <f>B85</f>
        <v>38628.502039999999</v>
      </c>
      <c r="C87" s="167">
        <f>C85+E87</f>
        <v>6407.2700028153822</v>
      </c>
      <c r="D87" s="167">
        <f t="shared" ref="D87:D95" si="5">SUM(B87:C87)</f>
        <v>45035.772042815384</v>
      </c>
      <c r="E87" s="167">
        <f>D85*($B$19/12)</f>
        <v>233.34596913375844</v>
      </c>
      <c r="F87" s="167">
        <f t="shared" si="4"/>
        <v>95.018478631266447</v>
      </c>
    </row>
    <row r="88" spans="1:8" s="167" customFormat="1">
      <c r="A88" s="347" t="s">
        <v>214</v>
      </c>
      <c r="B88" s="281">
        <f>-'DPV2 Transfer'!C9</f>
        <v>-7081.6236800000042</v>
      </c>
      <c r="C88" s="281">
        <f>'DPV2 Transfer'!J9</f>
        <v>-1081.8789106497018</v>
      </c>
      <c r="D88" s="281">
        <f t="shared" si="5"/>
        <v>-8163.5025906497058</v>
      </c>
      <c r="E88" s="281"/>
      <c r="F88" s="281"/>
    </row>
    <row r="89" spans="1:8" s="167" customFormat="1">
      <c r="A89" s="347" t="s">
        <v>215</v>
      </c>
      <c r="B89" s="167">
        <f>SUM(B87:B88)</f>
        <v>31546.878359999995</v>
      </c>
      <c r="C89" s="167">
        <f>SUM(C87:C88)</f>
        <v>5325.3910921656807</v>
      </c>
      <c r="D89" s="167">
        <f>SUM(D87:D88)</f>
        <v>36872.269452165681</v>
      </c>
      <c r="E89" s="167">
        <f t="shared" ref="E89:F89" si="6">SUM(E87:E88)</f>
        <v>233.34596913375844</v>
      </c>
      <c r="F89" s="167">
        <f t="shared" si="6"/>
        <v>95.018478631266447</v>
      </c>
    </row>
    <row r="90" spans="1:8" s="167" customFormat="1">
      <c r="A90" s="346"/>
    </row>
    <row r="91" spans="1:8" s="167" customFormat="1">
      <c r="A91" s="253" t="s">
        <v>123</v>
      </c>
      <c r="B91" s="167">
        <f>B89+'DPV2 CWIP Balance'!D46</f>
        <v>32482.494939999997</v>
      </c>
      <c r="C91" s="167">
        <f>C89+E91</f>
        <v>5517.434162229044</v>
      </c>
      <c r="D91" s="167">
        <f t="shared" si="5"/>
        <v>37999.929102229042</v>
      </c>
      <c r="E91" s="167">
        <f>D89*($B$20/12)</f>
        <v>192.0430700633629</v>
      </c>
      <c r="F91" s="167">
        <f t="shared" si="4"/>
        <v>78.199938129801382</v>
      </c>
      <c r="H91" s="299"/>
    </row>
    <row r="92" spans="1:8" s="167" customFormat="1">
      <c r="A92" s="253" t="s">
        <v>124</v>
      </c>
      <c r="B92" s="167">
        <f>B91+'DPV2 CWIP Balance'!D47</f>
        <v>33683.438459999998</v>
      </c>
      <c r="C92" s="167">
        <f t="shared" ref="C92:C95" si="7">C91+E92</f>
        <v>5715.3504596364874</v>
      </c>
      <c r="D92" s="167">
        <f t="shared" si="5"/>
        <v>39398.788919636485</v>
      </c>
      <c r="E92" s="167">
        <f>D91*($B$20/12)</f>
        <v>197.91629740744293</v>
      </c>
      <c r="F92" s="167">
        <f>+E92*$F$34</f>
        <v>80.591516304310758</v>
      </c>
      <c r="H92" s="299"/>
    </row>
    <row r="93" spans="1:8" s="167" customFormat="1">
      <c r="A93" s="253" t="s">
        <v>125</v>
      </c>
      <c r="B93" s="167">
        <f>B92+'DPV2 CWIP Balance'!D48</f>
        <v>35585.63147</v>
      </c>
      <c r="C93" s="167">
        <f t="shared" si="7"/>
        <v>5920.5524852595936</v>
      </c>
      <c r="D93" s="167">
        <f t="shared" si="5"/>
        <v>41506.183955259592</v>
      </c>
      <c r="E93" s="167">
        <f>D92*($B$20/12)</f>
        <v>205.20202562310669</v>
      </c>
      <c r="F93" s="167">
        <f t="shared" si="4"/>
        <v>83.558264833729041</v>
      </c>
      <c r="H93" s="299"/>
    </row>
    <row r="94" spans="1:8" s="167" customFormat="1" collapsed="1">
      <c r="A94" s="253" t="s">
        <v>126</v>
      </c>
      <c r="B94" s="167">
        <f>B93+'DPV2 CWIP Balance'!D49</f>
        <v>39249.198270000001</v>
      </c>
      <c r="C94" s="167">
        <f t="shared" si="7"/>
        <v>6136.7305266932372</v>
      </c>
      <c r="D94" s="167">
        <f t="shared" si="5"/>
        <v>45385.928796693239</v>
      </c>
      <c r="E94" s="167">
        <f>D93*($B$21/12)</f>
        <v>216.1780414336437</v>
      </c>
      <c r="F94" s="167">
        <f t="shared" si="4"/>
        <v>88.027698471779715</v>
      </c>
      <c r="H94" s="299"/>
    </row>
    <row r="95" spans="1:8" s="167" customFormat="1">
      <c r="A95" s="253" t="s">
        <v>127</v>
      </c>
      <c r="B95" s="167">
        <f>B94+'DPV2 CWIP Balance'!D50</f>
        <v>39971.749019999996</v>
      </c>
      <c r="C95" s="167">
        <f t="shared" si="7"/>
        <v>6373.1155725093477</v>
      </c>
      <c r="D95" s="167">
        <f t="shared" si="5"/>
        <v>46344.864592509344</v>
      </c>
      <c r="E95" s="167">
        <f>D94*($B$21/12)</f>
        <v>236.38504581611062</v>
      </c>
      <c r="F95" s="167">
        <f t="shared" si="4"/>
        <v>96.25599065632025</v>
      </c>
      <c r="H95" s="299"/>
    </row>
    <row r="96" spans="1:8">
      <c r="A96" s="141" t="s">
        <v>226</v>
      </c>
      <c r="B96" s="167">
        <f>B95+'DPV2 CWIP Balance'!D51</f>
        <v>42830.193780000001</v>
      </c>
      <c r="C96" s="167">
        <f>C95+E96</f>
        <v>6614.4950755953341</v>
      </c>
      <c r="D96" s="167">
        <f>SUM(B96:C96)</f>
        <v>49444.688855595334</v>
      </c>
      <c r="E96" s="170">
        <f>D95*($B$21/12)</f>
        <v>241.37950308598616</v>
      </c>
      <c r="F96" s="167">
        <f t="shared" si="4"/>
        <v>98.289733656613564</v>
      </c>
      <c r="H96" s="148"/>
    </row>
    <row r="97" spans="1:8" ht="15" thickBot="1">
      <c r="E97" s="168"/>
      <c r="F97" s="142"/>
      <c r="H97" s="148"/>
    </row>
    <row r="98" spans="1:8" ht="15" thickTop="1">
      <c r="H98" s="148"/>
    </row>
    <row r="99" spans="1:8">
      <c r="A99" s="686"/>
      <c r="B99" s="703"/>
      <c r="C99" s="703"/>
      <c r="D99" s="703"/>
      <c r="E99" s="703"/>
      <c r="F99" s="703"/>
      <c r="H99" s="148"/>
    </row>
    <row r="100" spans="1:8" s="167" customFormat="1">
      <c r="A100" s="347" t="s">
        <v>261</v>
      </c>
      <c r="B100" s="167">
        <f>B96+'DPV2 CWIP Balance'!D52</f>
        <v>44101.053039999999</v>
      </c>
      <c r="C100" s="167">
        <f>C96+E100</f>
        <v>6872.0194967182269</v>
      </c>
      <c r="D100" s="167">
        <f>SUM(B100:C100)</f>
        <v>50973.072536718224</v>
      </c>
      <c r="E100" s="167">
        <f>D96*($B$23/12)</f>
        <v>257.52442112289236</v>
      </c>
      <c r="F100" s="167">
        <f>+E100*$F$35</f>
        <v>104.91544916546634</v>
      </c>
    </row>
    <row r="101" spans="1:8" s="167" customFormat="1">
      <c r="A101" s="253" t="s">
        <v>119</v>
      </c>
      <c r="B101" s="167">
        <f>B100+'DPV2 CWIP Balance'!D53</f>
        <v>45962.435769999996</v>
      </c>
      <c r="C101" s="167">
        <f t="shared" ref="C101:C115" si="8">C100+E101</f>
        <v>7137.504249513634</v>
      </c>
      <c r="D101" s="167">
        <f>SUM(B101:C101)</f>
        <v>53099.940019513633</v>
      </c>
      <c r="E101" s="167">
        <f>D100*($B$23/12)</f>
        <v>265.48475279540742</v>
      </c>
      <c r="F101" s="167">
        <f>+E101*$F$35</f>
        <v>108.15848828884897</v>
      </c>
    </row>
    <row r="102" spans="1:8" s="167" customFormat="1">
      <c r="A102" s="253" t="s">
        <v>120</v>
      </c>
      <c r="B102" s="167">
        <f>B101+'DPV2 CWIP Balance'!D54</f>
        <v>48998.519329999996</v>
      </c>
      <c r="C102" s="167">
        <f t="shared" si="8"/>
        <v>7414.066437115267</v>
      </c>
      <c r="D102" s="167">
        <f t="shared" ref="D102:D115" si="9">SUM(B102:C102)</f>
        <v>56412.585767115263</v>
      </c>
      <c r="E102" s="167">
        <f>D101*($B$23/12)</f>
        <v>276.56218760163347</v>
      </c>
      <c r="F102" s="167">
        <f t="shared" ref="F102:F115" si="10">+E102*$F$35</f>
        <v>112.67143522890547</v>
      </c>
    </row>
    <row r="103" spans="1:8" s="167" customFormat="1">
      <c r="A103" s="253"/>
    </row>
    <row r="104" spans="1:8" s="167" customFormat="1">
      <c r="A104" s="253" t="s">
        <v>121</v>
      </c>
      <c r="B104" s="167">
        <f>B102+'DPV2 CWIP Balance'!B55</f>
        <v>50841.479729999992</v>
      </c>
      <c r="C104" s="167">
        <f>C102+E104</f>
        <v>7707.8819879856592</v>
      </c>
      <c r="D104" s="167">
        <f t="shared" si="9"/>
        <v>58549.361717985652</v>
      </c>
      <c r="E104" s="167">
        <f>D102*($B$24/12)</f>
        <v>293.81555087039197</v>
      </c>
      <c r="F104" s="167">
        <f t="shared" si="10"/>
        <v>119.70045542459769</v>
      </c>
    </row>
    <row r="105" spans="1:8" s="167" customFormat="1">
      <c r="A105" s="347" t="s">
        <v>309</v>
      </c>
      <c r="B105" s="281">
        <f>-'DPV2 Transfer'!C10</f>
        <v>-118.27867999999944</v>
      </c>
      <c r="C105" s="281">
        <f>'DPV2 Transfer'!J10</f>
        <v>-16.835271393698637</v>
      </c>
      <c r="D105" s="281">
        <f t="shared" ref="D105" si="11">SUM(B105:C105)</f>
        <v>-135.11395139369807</v>
      </c>
      <c r="E105" s="281"/>
      <c r="F105" s="281"/>
    </row>
    <row r="106" spans="1:8" s="167" customFormat="1">
      <c r="A106" s="347" t="s">
        <v>310</v>
      </c>
      <c r="B106" s="167">
        <f>SUM(B104:B105)</f>
        <v>50723.201049999989</v>
      </c>
      <c r="C106" s="167">
        <f>SUM(C104:C105)</f>
        <v>7691.0467165919608</v>
      </c>
      <c r="D106" s="167">
        <f>SUM(D104:D105)</f>
        <v>58414.24776659195</v>
      </c>
      <c r="E106" s="167">
        <f t="shared" ref="E106:F106" si="12">SUM(E104:E105)</f>
        <v>293.81555087039197</v>
      </c>
      <c r="F106" s="167">
        <f t="shared" si="12"/>
        <v>119.70045542459769</v>
      </c>
    </row>
    <row r="107" spans="1:8" s="167" customFormat="1">
      <c r="A107" s="253"/>
    </row>
    <row r="108" spans="1:8" s="167" customFormat="1">
      <c r="A108" s="253" t="s">
        <v>75</v>
      </c>
      <c r="B108" s="167">
        <f>B106+'DPV2 CWIP Balance'!D56</f>
        <v>53536.768769999995</v>
      </c>
      <c r="C108" s="167">
        <f>C106+E108</f>
        <v>7995.2875903762942</v>
      </c>
      <c r="D108" s="167">
        <f t="shared" si="9"/>
        <v>61532.056360376286</v>
      </c>
      <c r="E108" s="167">
        <f>D106*($B$24/12)</f>
        <v>304.24087378433308</v>
      </c>
      <c r="F108" s="167">
        <f t="shared" si="10"/>
        <v>123.94773197973728</v>
      </c>
    </row>
    <row r="109" spans="1:8" s="167" customFormat="1">
      <c r="A109" s="253" t="s">
        <v>122</v>
      </c>
      <c r="B109" s="167">
        <f>B108+'DPV2 CWIP Balance'!D57</f>
        <v>59071.817899999995</v>
      </c>
      <c r="C109" s="167">
        <f t="shared" si="8"/>
        <v>8315.7670505865881</v>
      </c>
      <c r="D109" s="167">
        <f t="shared" si="9"/>
        <v>67387.584950586577</v>
      </c>
      <c r="E109" s="167">
        <f>D108*($B$24/12)</f>
        <v>320.47946021029315</v>
      </c>
      <c r="F109" s="167">
        <f t="shared" si="10"/>
        <v>130.56333208967342</v>
      </c>
    </row>
    <row r="110" spans="1:8" s="167" customFormat="1">
      <c r="A110" s="253" t="s">
        <v>123</v>
      </c>
      <c r="B110" s="167">
        <f>B109+'DPV2 CWIP Balance'!D58</f>
        <v>63531.261349999986</v>
      </c>
      <c r="C110" s="167">
        <f t="shared" si="8"/>
        <v>8666.7440555375597</v>
      </c>
      <c r="D110" s="167">
        <f t="shared" si="9"/>
        <v>72198.005405537551</v>
      </c>
      <c r="E110" s="167">
        <f>D109*($B$25/12)</f>
        <v>350.97700495097172</v>
      </c>
      <c r="F110" s="167">
        <f t="shared" si="10"/>
        <v>142.98803181702587</v>
      </c>
    </row>
    <row r="111" spans="1:8" s="167" customFormat="1">
      <c r="A111" s="253" t="s">
        <v>124</v>
      </c>
      <c r="B111" s="167">
        <f>B110+'DPV2 CWIP Balance'!D59</f>
        <v>70121.378069999992</v>
      </c>
      <c r="C111" s="167">
        <f t="shared" si="8"/>
        <v>9042.7753336914011</v>
      </c>
      <c r="D111" s="167">
        <f t="shared" si="9"/>
        <v>79164.153403691394</v>
      </c>
      <c r="E111" s="167">
        <f>D110*($B$25/12)</f>
        <v>376.03127815384141</v>
      </c>
      <c r="F111" s="167">
        <f t="shared" si="10"/>
        <v>153.19514271987498</v>
      </c>
    </row>
    <row r="112" spans="1:8" s="167" customFormat="1">
      <c r="A112" s="253" t="s">
        <v>125</v>
      </c>
      <c r="B112" s="167">
        <f>B111+'DPV2 CWIP Balance'!D60</f>
        <v>83048.628399999987</v>
      </c>
      <c r="C112" s="167">
        <f t="shared" si="8"/>
        <v>9455.0886326689597</v>
      </c>
      <c r="D112" s="167">
        <f t="shared" si="9"/>
        <v>92503.717032668952</v>
      </c>
      <c r="E112" s="167">
        <f>D111*($B$25/12)</f>
        <v>412.31329897755933</v>
      </c>
      <c r="F112" s="167">
        <f t="shared" si="10"/>
        <v>167.97643800345767</v>
      </c>
    </row>
    <row r="113" spans="1:8" s="167" customFormat="1">
      <c r="A113" s="253" t="s">
        <v>126</v>
      </c>
      <c r="B113" s="167">
        <f>B112+'DPV2 CWIP Balance'!D61</f>
        <v>98758.657569999996</v>
      </c>
      <c r="C113" s="167">
        <f t="shared" si="8"/>
        <v>9936.8788255474446</v>
      </c>
      <c r="D113" s="167">
        <f t="shared" si="9"/>
        <v>108695.53639554745</v>
      </c>
      <c r="E113" s="167">
        <f>D112*($B$26/12)</f>
        <v>481.79019287848411</v>
      </c>
      <c r="F113" s="167">
        <f t="shared" si="10"/>
        <v>196.28132457869441</v>
      </c>
    </row>
    <row r="114" spans="1:8" s="167" customFormat="1">
      <c r="A114" s="253" t="s">
        <v>127</v>
      </c>
      <c r="B114" s="167">
        <f>B113+'DPV2 CWIP Balance'!D62</f>
        <v>122254.10855999999</v>
      </c>
      <c r="C114" s="167">
        <f t="shared" si="8"/>
        <v>10503.00141094092</v>
      </c>
      <c r="D114" s="167">
        <f t="shared" si="9"/>
        <v>132757.10997094092</v>
      </c>
      <c r="E114" s="167">
        <f>D113*($B$26/12)</f>
        <v>566.12258539347624</v>
      </c>
      <c r="F114" s="167">
        <f t="shared" si="10"/>
        <v>230.63834128930222</v>
      </c>
      <c r="H114" s="299"/>
    </row>
    <row r="115" spans="1:8" s="167" customFormat="1">
      <c r="A115" s="347" t="s">
        <v>262</v>
      </c>
      <c r="B115" s="167">
        <f>B114+'DPV2 CWIP Balance'!D63</f>
        <v>147685.98017</v>
      </c>
      <c r="C115" s="167">
        <f t="shared" si="8"/>
        <v>11194.444692039571</v>
      </c>
      <c r="D115" s="167">
        <f t="shared" si="9"/>
        <v>158880.42486203957</v>
      </c>
      <c r="E115" s="167">
        <f>D114*($B$26/12)</f>
        <v>691.44328109865057</v>
      </c>
      <c r="F115" s="167">
        <f t="shared" si="10"/>
        <v>281.69399271959026</v>
      </c>
      <c r="H115" s="299"/>
    </row>
    <row r="116" spans="1:8" s="167" customFormat="1" ht="15" thickBot="1">
      <c r="E116" s="168"/>
      <c r="F116" s="168"/>
      <c r="H116" s="489"/>
    </row>
    <row r="117" spans="1:8" s="167" customFormat="1" ht="15" thickTop="1">
      <c r="E117" s="296"/>
      <c r="F117" s="296"/>
      <c r="H117" s="489"/>
    </row>
    <row r="118" spans="1:8" s="167" customFormat="1">
      <c r="E118" s="296"/>
      <c r="F118" s="296"/>
      <c r="H118" s="489"/>
    </row>
    <row r="119" spans="1:8" s="167" customFormat="1" ht="15.75">
      <c r="A119" s="674" t="s">
        <v>145</v>
      </c>
      <c r="B119" s="709"/>
      <c r="C119" s="709"/>
      <c r="D119" s="709"/>
      <c r="E119" s="709"/>
      <c r="F119" s="709"/>
      <c r="H119" s="489"/>
    </row>
    <row r="120" spans="1:8">
      <c r="A120" s="686"/>
      <c r="B120" s="703"/>
      <c r="C120" s="703"/>
      <c r="D120" s="703"/>
      <c r="E120" s="703"/>
      <c r="F120" s="703"/>
      <c r="H120" s="148"/>
    </row>
    <row r="121" spans="1:8">
      <c r="H121" s="148"/>
    </row>
    <row r="122" spans="1:8" ht="15">
      <c r="A122" s="139" t="s">
        <v>138</v>
      </c>
      <c r="H122" s="148"/>
    </row>
    <row r="123" spans="1:8" ht="28.5">
      <c r="A123" s="143" t="str">
        <f>A7</f>
        <v>DPV2</v>
      </c>
      <c r="B123" s="144" t="s">
        <v>139</v>
      </c>
      <c r="C123" s="144" t="s">
        <v>140</v>
      </c>
      <c r="D123" s="144" t="s">
        <v>141</v>
      </c>
      <c r="E123" s="169" t="s">
        <v>142</v>
      </c>
      <c r="F123" s="144" t="s">
        <v>143</v>
      </c>
      <c r="H123" s="148"/>
    </row>
    <row r="124" spans="1:8">
      <c r="A124" s="141" t="s">
        <v>117</v>
      </c>
      <c r="B124" s="135">
        <f>F43</f>
        <v>603.8318368389298</v>
      </c>
      <c r="C124" s="145">
        <f>B124</f>
        <v>603.8318368389298</v>
      </c>
      <c r="D124" s="146">
        <v>1</v>
      </c>
      <c r="E124" s="170"/>
      <c r="F124" s="145">
        <f>+C124*D124</f>
        <v>603.8318368389298</v>
      </c>
      <c r="H124" s="148"/>
    </row>
    <row r="125" spans="1:8">
      <c r="A125" s="141" t="s">
        <v>118</v>
      </c>
      <c r="B125" s="145">
        <v>0</v>
      </c>
      <c r="C125" s="145">
        <f>+C124+B125</f>
        <v>603.8318368389298</v>
      </c>
      <c r="D125" s="146">
        <f t="shared" ref="D125:D136" si="13">D124-(1/12)</f>
        <v>0.91666666666666663</v>
      </c>
      <c r="E125" s="170">
        <f>+B125*D125</f>
        <v>0</v>
      </c>
      <c r="F125" s="145">
        <f>+F124+E125</f>
        <v>603.8318368389298</v>
      </c>
      <c r="H125" s="148"/>
    </row>
    <row r="126" spans="1:8">
      <c r="A126" s="141" t="s">
        <v>119</v>
      </c>
      <c r="B126" s="145">
        <v>0</v>
      </c>
      <c r="C126" s="145">
        <f>+C125+B126</f>
        <v>603.8318368389298</v>
      </c>
      <c r="D126" s="146">
        <f t="shared" si="13"/>
        <v>0.83333333333333326</v>
      </c>
      <c r="E126" s="170">
        <f>+B126*D126</f>
        <v>0</v>
      </c>
      <c r="F126" s="145">
        <f>+F125+E126</f>
        <v>603.8318368389298</v>
      </c>
      <c r="H126" s="148"/>
    </row>
    <row r="127" spans="1:8">
      <c r="A127" s="141" t="s">
        <v>120</v>
      </c>
      <c r="B127" s="145">
        <f t="shared" ref="B127:B136" si="14">+F44</f>
        <v>44.218005652563335</v>
      </c>
      <c r="C127" s="145">
        <f>+C126+B127</f>
        <v>648.04984249149311</v>
      </c>
      <c r="D127" s="146">
        <f t="shared" si="13"/>
        <v>0.74999999999999989</v>
      </c>
      <c r="E127" s="170">
        <f>+B127*D127</f>
        <v>33.163504239422494</v>
      </c>
      <c r="F127" s="145">
        <f>+F126+E127</f>
        <v>636.99534107835234</v>
      </c>
      <c r="H127" s="148"/>
    </row>
    <row r="128" spans="1:8">
      <c r="A128" s="141" t="s">
        <v>121</v>
      </c>
      <c r="B128" s="145">
        <f t="shared" si="14"/>
        <v>39.429329207122208</v>
      </c>
      <c r="C128" s="145">
        <f>+C127+B128</f>
        <v>687.47917169861535</v>
      </c>
      <c r="D128" s="146">
        <f t="shared" si="13"/>
        <v>0.66666666666666652</v>
      </c>
      <c r="E128" s="170">
        <f>+B128*D128</f>
        <v>26.2862194714148</v>
      </c>
      <c r="F128" s="145">
        <f>+F127+E128</f>
        <v>663.28156054976716</v>
      </c>
      <c r="H128" s="148"/>
    </row>
    <row r="129" spans="1:8">
      <c r="A129" s="141" t="s">
        <v>75</v>
      </c>
      <c r="B129" s="145">
        <f t="shared" si="14"/>
        <v>40.461969606035339</v>
      </c>
      <c r="C129" s="145">
        <f t="shared" ref="C129:C151" si="15">+C128+B129</f>
        <v>727.94114130465073</v>
      </c>
      <c r="D129" s="146">
        <f t="shared" si="13"/>
        <v>0.58333333333333315</v>
      </c>
      <c r="E129" s="170">
        <f t="shared" ref="E129:E161" si="16">+B129*D129</f>
        <v>23.602815603520607</v>
      </c>
      <c r="F129" s="145">
        <f t="shared" ref="F129:F151" si="17">+F128+E129</f>
        <v>686.8843761532878</v>
      </c>
      <c r="H129" s="148"/>
    </row>
    <row r="130" spans="1:8">
      <c r="A130" s="141" t="s">
        <v>122</v>
      </c>
      <c r="B130" s="145">
        <f t="shared" si="14"/>
        <v>41.244922218556653</v>
      </c>
      <c r="C130" s="145">
        <f t="shared" si="15"/>
        <v>769.18606352320739</v>
      </c>
      <c r="D130" s="146">
        <f t="shared" si="13"/>
        <v>0.49999999999999983</v>
      </c>
      <c r="E130" s="170">
        <f t="shared" si="16"/>
        <v>20.622461109278319</v>
      </c>
      <c r="F130" s="145">
        <f t="shared" si="17"/>
        <v>707.50683726256614</v>
      </c>
      <c r="H130" s="148"/>
    </row>
    <row r="131" spans="1:8">
      <c r="A131" s="141" t="s">
        <v>123</v>
      </c>
      <c r="B131" s="145">
        <f t="shared" si="14"/>
        <v>42.397623462250259</v>
      </c>
      <c r="C131" s="145">
        <f t="shared" si="15"/>
        <v>811.58368698545769</v>
      </c>
      <c r="D131" s="146">
        <f t="shared" si="13"/>
        <v>0.41666666666666652</v>
      </c>
      <c r="E131" s="170">
        <f t="shared" si="16"/>
        <v>17.665676442604269</v>
      </c>
      <c r="F131" s="145">
        <f t="shared" si="17"/>
        <v>725.17251370517045</v>
      </c>
      <c r="H131" s="148"/>
    </row>
    <row r="132" spans="1:8">
      <c r="A132" s="141" t="s">
        <v>124</v>
      </c>
      <c r="B132" s="145">
        <f t="shared" si="14"/>
        <v>43.000204059405391</v>
      </c>
      <c r="C132" s="145">
        <f t="shared" si="15"/>
        <v>854.58389104486309</v>
      </c>
      <c r="D132" s="146">
        <f t="shared" si="13"/>
        <v>0.3333333333333332</v>
      </c>
      <c r="E132" s="170">
        <f t="shared" si="16"/>
        <v>14.333401353135125</v>
      </c>
      <c r="F132" s="145">
        <f t="shared" si="17"/>
        <v>739.50591505830562</v>
      </c>
      <c r="H132" s="148"/>
    </row>
    <row r="133" spans="1:8">
      <c r="A133" s="141" t="s">
        <v>125</v>
      </c>
      <c r="B133" s="145">
        <f t="shared" si="14"/>
        <v>43.87040205866267</v>
      </c>
      <c r="C133" s="145">
        <f t="shared" si="15"/>
        <v>898.45429310352574</v>
      </c>
      <c r="D133" s="146">
        <f t="shared" si="13"/>
        <v>0.24999999999999989</v>
      </c>
      <c r="E133" s="170">
        <f t="shared" si="16"/>
        <v>10.967600514665662</v>
      </c>
      <c r="F133" s="145">
        <f t="shared" si="17"/>
        <v>750.47351557297134</v>
      </c>
      <c r="H133" s="148"/>
    </row>
    <row r="134" spans="1:8">
      <c r="A134" s="141" t="s">
        <v>126</v>
      </c>
      <c r="B134" s="145">
        <f t="shared" si="14"/>
        <v>45.350733398571258</v>
      </c>
      <c r="C134" s="145">
        <f t="shared" si="15"/>
        <v>943.80502650209701</v>
      </c>
      <c r="D134" s="146">
        <f t="shared" si="13"/>
        <v>0.16666666666666657</v>
      </c>
      <c r="E134" s="170">
        <f t="shared" si="16"/>
        <v>7.5584555664285391</v>
      </c>
      <c r="F134" s="145">
        <f t="shared" si="17"/>
        <v>758.03197113939984</v>
      </c>
      <c r="H134" s="148"/>
    </row>
    <row r="135" spans="1:8">
      <c r="A135" s="141" t="s">
        <v>127</v>
      </c>
      <c r="B135" s="145">
        <f t="shared" si="14"/>
        <v>46.171088569709653</v>
      </c>
      <c r="C135" s="145">
        <f t="shared" si="15"/>
        <v>989.9761150718067</v>
      </c>
      <c r="D135" s="146">
        <f t="shared" si="13"/>
        <v>8.3333333333333245E-2</v>
      </c>
      <c r="E135" s="170">
        <f t="shared" si="16"/>
        <v>3.8475907141424672</v>
      </c>
      <c r="F135" s="242">
        <f t="shared" si="17"/>
        <v>761.87956185354233</v>
      </c>
      <c r="H135" s="148"/>
    </row>
    <row r="136" spans="1:8">
      <c r="A136" s="141" t="s">
        <v>128</v>
      </c>
      <c r="B136" s="145">
        <f t="shared" si="14"/>
        <v>46.664550461612762</v>
      </c>
      <c r="C136" s="145">
        <f t="shared" si="15"/>
        <v>1036.6406655334195</v>
      </c>
      <c r="D136" s="146">
        <f t="shared" si="13"/>
        <v>0</v>
      </c>
      <c r="E136" s="170">
        <f t="shared" si="16"/>
        <v>0</v>
      </c>
      <c r="F136" s="242">
        <f t="shared" si="17"/>
        <v>761.87956185354233</v>
      </c>
    </row>
    <row r="137" spans="1:8" ht="15.75" customHeight="1" thickBot="1">
      <c r="A137" s="141" t="s">
        <v>199</v>
      </c>
      <c r="B137" s="150">
        <f>SUM(B124:B136)</f>
        <v>1036.6406655334195</v>
      </c>
      <c r="D137" s="696" t="s">
        <v>192</v>
      </c>
      <c r="E137" s="696"/>
      <c r="F137" s="142">
        <f>SUM(F124:F136)/13</f>
        <v>692.54666651874572</v>
      </c>
    </row>
    <row r="138" spans="1:8" ht="15.75" customHeight="1" thickTop="1">
      <c r="A138" s="141"/>
      <c r="B138" s="242"/>
      <c r="D138" s="515"/>
      <c r="E138" s="515"/>
      <c r="F138" s="140"/>
    </row>
    <row r="139" spans="1:8" ht="15.75" customHeight="1" collapsed="1">
      <c r="A139" s="253" t="s">
        <v>188</v>
      </c>
      <c r="B139" s="170">
        <f>+F56</f>
        <v>54.897261074659767</v>
      </c>
      <c r="C139" s="170">
        <f>+C136+B139</f>
        <v>1091.5379266080793</v>
      </c>
      <c r="D139" s="262">
        <f>D125</f>
        <v>0.91666666666666663</v>
      </c>
      <c r="E139" s="170">
        <f t="shared" si="16"/>
        <v>50.322489318438116</v>
      </c>
      <c r="F139" s="263">
        <f>+F136+E139</f>
        <v>812.20205117198043</v>
      </c>
      <c r="G139" s="167"/>
    </row>
    <row r="140" spans="1:8" ht="15.75" customHeight="1">
      <c r="A140" s="141" t="s">
        <v>119</v>
      </c>
      <c r="B140" s="145">
        <f>+F57</f>
        <v>55.969410945786748</v>
      </c>
      <c r="C140" s="145">
        <f t="shared" si="15"/>
        <v>1147.5073375538659</v>
      </c>
      <c r="D140" s="146">
        <f t="shared" ref="D140:D151" si="18">D139-(1/12)</f>
        <v>0.83333333333333326</v>
      </c>
      <c r="E140" s="170">
        <f t="shared" si="16"/>
        <v>46.641175788155621</v>
      </c>
      <c r="F140" s="242">
        <f t="shared" si="17"/>
        <v>858.84322696013601</v>
      </c>
    </row>
    <row r="141" spans="1:8">
      <c r="A141" s="141" t="s">
        <v>120</v>
      </c>
      <c r="B141" s="145">
        <f>+F58</f>
        <v>57.085790887807704</v>
      </c>
      <c r="C141" s="145">
        <f t="shared" si="15"/>
        <v>1204.5931284416736</v>
      </c>
      <c r="D141" s="146">
        <f t="shared" si="18"/>
        <v>0.74999999999999989</v>
      </c>
      <c r="E141" s="170">
        <f t="shared" si="16"/>
        <v>42.814343165855774</v>
      </c>
      <c r="F141" s="242">
        <f t="shared" si="17"/>
        <v>901.65757012599181</v>
      </c>
    </row>
    <row r="142" spans="1:8" ht="15.75" customHeight="1">
      <c r="A142" s="141" t="s">
        <v>121</v>
      </c>
      <c r="B142" s="145">
        <f>+F59</f>
        <v>59.514424884880249</v>
      </c>
      <c r="C142" s="145">
        <f t="shared" si="15"/>
        <v>1264.1075533265539</v>
      </c>
      <c r="D142" s="146">
        <f t="shared" si="18"/>
        <v>0.66666666666666652</v>
      </c>
      <c r="E142" s="170">
        <f t="shared" si="16"/>
        <v>39.676283256586821</v>
      </c>
      <c r="F142" s="242">
        <f t="shared" si="17"/>
        <v>941.33385338257858</v>
      </c>
    </row>
    <row r="143" spans="1:8" ht="15.75" customHeight="1">
      <c r="A143" s="141" t="s">
        <v>75</v>
      </c>
      <c r="B143" s="145">
        <f>+F60</f>
        <v>62.224826151898867</v>
      </c>
      <c r="C143" s="145">
        <f t="shared" si="15"/>
        <v>1326.3323794784528</v>
      </c>
      <c r="D143" s="146">
        <f t="shared" si="18"/>
        <v>0.58333333333333315</v>
      </c>
      <c r="E143" s="170">
        <f t="shared" si="16"/>
        <v>36.29781525527433</v>
      </c>
      <c r="F143" s="242">
        <f t="shared" si="17"/>
        <v>977.63166863785295</v>
      </c>
    </row>
    <row r="144" spans="1:8" ht="15.75" customHeight="1">
      <c r="A144" s="141"/>
      <c r="B144" s="145"/>
      <c r="C144" s="145"/>
      <c r="D144" s="146"/>
      <c r="E144" s="170"/>
      <c r="F144" s="242"/>
    </row>
    <row r="145" spans="1:6" ht="15.75" customHeight="1">
      <c r="A145" s="141" t="s">
        <v>122</v>
      </c>
      <c r="B145" s="145">
        <f>+F62</f>
        <v>67.462173867478597</v>
      </c>
      <c r="C145" s="145">
        <f>+C143+B145</f>
        <v>1393.7945533459315</v>
      </c>
      <c r="D145" s="146">
        <f>D143-(1/12)</f>
        <v>0.49999999999999983</v>
      </c>
      <c r="E145" s="170">
        <f t="shared" si="16"/>
        <v>33.731086933739284</v>
      </c>
      <c r="F145" s="242">
        <f>+F143+E145</f>
        <v>1011.3627555715923</v>
      </c>
    </row>
    <row r="146" spans="1:6" ht="15.75" customHeight="1">
      <c r="A146" s="141" t="s">
        <v>214</v>
      </c>
      <c r="B146" s="280">
        <f>'DPV2 Transfer'!F6</f>
        <v>-19.203105013269468</v>
      </c>
      <c r="C146" s="280">
        <f>B146</f>
        <v>-19.203105013269468</v>
      </c>
      <c r="D146" s="136">
        <f>D145</f>
        <v>0.49999999999999983</v>
      </c>
      <c r="E146" s="281">
        <f t="shared" si="16"/>
        <v>-9.6015525066347305</v>
      </c>
      <c r="F146" s="280">
        <f>E146</f>
        <v>-9.6015525066347305</v>
      </c>
    </row>
    <row r="147" spans="1:6" ht="15" customHeight="1">
      <c r="A147" s="141" t="s">
        <v>215</v>
      </c>
      <c r="B147" s="145">
        <f>SUM(B145:B146)</f>
        <v>48.259068854209133</v>
      </c>
      <c r="C147" s="145">
        <f>SUM(C145:C146)</f>
        <v>1374.5914483326619</v>
      </c>
      <c r="D147" s="146">
        <f>D146</f>
        <v>0.49999999999999983</v>
      </c>
      <c r="E147" s="145">
        <f>SUM(E145:E146)</f>
        <v>24.129534427104552</v>
      </c>
      <c r="F147" s="145">
        <f>SUM(F145:F146)</f>
        <v>1001.7612030649576</v>
      </c>
    </row>
    <row r="148" spans="1:6" ht="15.75" customHeight="1">
      <c r="A148" s="141"/>
      <c r="B148" s="145"/>
      <c r="C148" s="145"/>
      <c r="D148" s="146"/>
      <c r="E148" s="170"/>
      <c r="F148" s="242"/>
    </row>
    <row r="149" spans="1:6" ht="15.75" customHeight="1">
      <c r="A149" s="141" t="s">
        <v>123</v>
      </c>
      <c r="B149" s="145">
        <f>+F66</f>
        <v>66.778995609784204</v>
      </c>
      <c r="C149" s="145">
        <f>+C147+B149</f>
        <v>1441.3704439424462</v>
      </c>
      <c r="D149" s="146">
        <f>D145-(1/12)</f>
        <v>0.41666666666666652</v>
      </c>
      <c r="E149" s="170">
        <f t="shared" si="16"/>
        <v>27.824581504076743</v>
      </c>
      <c r="F149" s="242">
        <f>+F147+E149</f>
        <v>1029.5857845690343</v>
      </c>
    </row>
    <row r="150" spans="1:6" ht="15.75" customHeight="1">
      <c r="A150" s="141" t="s">
        <v>124</v>
      </c>
      <c r="B150" s="145">
        <f>+F67</f>
        <v>73.524012541418003</v>
      </c>
      <c r="C150" s="145">
        <f t="shared" si="15"/>
        <v>1514.8944564838641</v>
      </c>
      <c r="D150" s="146">
        <f t="shared" si="18"/>
        <v>0.3333333333333332</v>
      </c>
      <c r="E150" s="170">
        <f t="shared" si="16"/>
        <v>24.508004180472657</v>
      </c>
      <c r="F150" s="242">
        <f t="shared" si="17"/>
        <v>1054.093788749507</v>
      </c>
    </row>
    <row r="151" spans="1:6" ht="15.75" customHeight="1">
      <c r="A151" s="141" t="s">
        <v>125</v>
      </c>
      <c r="B151" s="145">
        <f>+F68</f>
        <v>79.614951169749673</v>
      </c>
      <c r="C151" s="145">
        <f t="shared" si="15"/>
        <v>1594.5094076536138</v>
      </c>
      <c r="D151" s="146">
        <f t="shared" si="18"/>
        <v>0.24999999999999989</v>
      </c>
      <c r="E151" s="170">
        <f t="shared" si="16"/>
        <v>19.903737792437411</v>
      </c>
      <c r="F151" s="242">
        <f t="shared" si="17"/>
        <v>1073.9975265419444</v>
      </c>
    </row>
    <row r="152" spans="1:6" ht="15.75" customHeight="1">
      <c r="A152" s="141"/>
      <c r="B152" s="145"/>
      <c r="C152" s="145"/>
      <c r="D152" s="146"/>
      <c r="E152" s="170"/>
      <c r="F152" s="242"/>
    </row>
    <row r="153" spans="1:6" ht="15.75" customHeight="1">
      <c r="A153" s="141" t="s">
        <v>126</v>
      </c>
      <c r="B153" s="145">
        <f>+F70</f>
        <v>86.224259235210539</v>
      </c>
      <c r="C153" s="145">
        <f>+C151+B153</f>
        <v>1680.7336668888245</v>
      </c>
      <c r="D153" s="146">
        <f>D151-(1/12)</f>
        <v>0.16666666666666657</v>
      </c>
      <c r="E153" s="170">
        <f t="shared" si="16"/>
        <v>14.370709872535082</v>
      </c>
      <c r="F153" s="242">
        <f>+F151+E153</f>
        <v>1088.3682364144795</v>
      </c>
    </row>
    <row r="154" spans="1:6" ht="15.75" customHeight="1">
      <c r="A154" s="141" t="s">
        <v>221</v>
      </c>
      <c r="B154" s="280">
        <f>'DPV2 Transfer'!F7</f>
        <v>-79.19900249733567</v>
      </c>
      <c r="C154" s="280">
        <f>B154</f>
        <v>-79.19900249733567</v>
      </c>
      <c r="D154" s="136">
        <f>D153</f>
        <v>0.16666666666666657</v>
      </c>
      <c r="E154" s="281">
        <f>+B154*D154</f>
        <v>-13.199833749555937</v>
      </c>
      <c r="F154" s="280">
        <f>E154</f>
        <v>-13.199833749555937</v>
      </c>
    </row>
    <row r="155" spans="1:6">
      <c r="A155" s="141" t="s">
        <v>222</v>
      </c>
      <c r="B155" s="145">
        <f>SUM(B153:B154)</f>
        <v>7.0252567378748694</v>
      </c>
      <c r="C155" s="145">
        <f>SUM(C153:C154)</f>
        <v>1601.5346643914888</v>
      </c>
      <c r="D155" s="146">
        <f>D154</f>
        <v>0.16666666666666657</v>
      </c>
      <c r="E155" s="145">
        <f>SUM(E153:E154)</f>
        <v>1.1708761229791449</v>
      </c>
      <c r="F155" s="145">
        <f>SUM(F153:F154)</f>
        <v>1075.1684026649236</v>
      </c>
    </row>
    <row r="156" spans="1:6" ht="15.75" customHeight="1">
      <c r="A156" s="141"/>
      <c r="B156" s="145"/>
      <c r="C156" s="145"/>
      <c r="D156" s="146"/>
      <c r="E156" s="170"/>
      <c r="F156" s="242"/>
    </row>
    <row r="157" spans="1:6" ht="15.75" customHeight="1">
      <c r="A157" s="141" t="s">
        <v>127</v>
      </c>
      <c r="B157" s="289">
        <f>+F74</f>
        <v>82.257223611705001</v>
      </c>
      <c r="C157" s="289">
        <f>+C155+B157</f>
        <v>1683.7918880031939</v>
      </c>
      <c r="D157" s="146">
        <f>D153-(1/12)</f>
        <v>8.3333333333333245E-2</v>
      </c>
      <c r="E157" s="290">
        <f t="shared" si="16"/>
        <v>6.8547686343087433</v>
      </c>
      <c r="F157" s="291">
        <f>+F155+E157</f>
        <v>1082.0231712992324</v>
      </c>
    </row>
    <row r="158" spans="1:6" ht="15.75" customHeight="1">
      <c r="A158" s="141" t="s">
        <v>223</v>
      </c>
      <c r="B158" s="280">
        <f>'DPV2 Transfer'!F8</f>
        <v>-95.240391551917185</v>
      </c>
      <c r="C158" s="280">
        <f>B158</f>
        <v>-95.240391551917185</v>
      </c>
      <c r="D158" s="136">
        <f>D157</f>
        <v>8.3333333333333245E-2</v>
      </c>
      <c r="E158" s="281">
        <f t="shared" si="16"/>
        <v>-7.9366992959930904</v>
      </c>
      <c r="F158" s="280">
        <f>E158</f>
        <v>-7.9366992959930904</v>
      </c>
    </row>
    <row r="159" spans="1:6" ht="15.75" customHeight="1">
      <c r="A159" s="141" t="s">
        <v>224</v>
      </c>
      <c r="B159" s="289">
        <f>SUM(B157:B158)</f>
        <v>-12.983167940212184</v>
      </c>
      <c r="C159" s="289">
        <f>SUM(C157:C158)</f>
        <v>1588.5514964512768</v>
      </c>
      <c r="D159" s="146">
        <f>D158</f>
        <v>8.3333333333333245E-2</v>
      </c>
      <c r="E159" s="289">
        <f>SUM(E157:E158)</f>
        <v>-1.0819306616843472</v>
      </c>
      <c r="F159" s="289">
        <f>SUM(F157:F158)</f>
        <v>1074.0864720032394</v>
      </c>
    </row>
    <row r="160" spans="1:6" ht="15.75" customHeight="1">
      <c r="A160" s="141"/>
      <c r="B160" s="145"/>
      <c r="C160" s="145"/>
      <c r="D160" s="146"/>
      <c r="E160" s="170"/>
      <c r="F160" s="242"/>
    </row>
    <row r="161" spans="1:7" ht="15.75" customHeight="1">
      <c r="A161" s="141" t="s">
        <v>189</v>
      </c>
      <c r="B161" s="145">
        <f>+F78</f>
        <v>77.611839890307991</v>
      </c>
      <c r="C161" s="145">
        <f>+C159+B161</f>
        <v>1666.1633363415847</v>
      </c>
      <c r="D161" s="146">
        <f>D157-(1/12)</f>
        <v>0</v>
      </c>
      <c r="E161" s="170">
        <f t="shared" si="16"/>
        <v>0</v>
      </c>
      <c r="F161" s="147">
        <f>+F159+E161</f>
        <v>1074.0864720032394</v>
      </c>
    </row>
    <row r="162" spans="1:7" ht="15.75" customHeight="1" thickBot="1">
      <c r="A162" s="346" t="s">
        <v>284</v>
      </c>
      <c r="B162" s="150">
        <f>SUM(B139:B143)+B147+SUM(B149:B151)+B155+B159+B161</f>
        <v>629.52267080816512</v>
      </c>
      <c r="D162" s="695" t="s">
        <v>285</v>
      </c>
      <c r="E162" s="696"/>
      <c r="F162" s="151">
        <f>(SUM(F139:F143)+F147+SUM(F149:F151)+F155+F159+F161)/12</f>
        <v>989.53733498961537</v>
      </c>
    </row>
    <row r="163" spans="1:7" ht="15.75" customHeight="1" thickTop="1">
      <c r="A163" s="149"/>
      <c r="B163" s="263"/>
      <c r="C163" s="167"/>
      <c r="D163" s="319"/>
      <c r="E163" s="319"/>
      <c r="F163" s="296"/>
    </row>
    <row r="164" spans="1:7" ht="15.75" customHeight="1">
      <c r="A164" s="141" t="s">
        <v>225</v>
      </c>
      <c r="B164" s="170">
        <f>+F81</f>
        <v>85.691434505336943</v>
      </c>
      <c r="C164" s="170">
        <f>+C161+B164</f>
        <v>1751.8547708469216</v>
      </c>
      <c r="D164" s="262">
        <f>D125</f>
        <v>0.91666666666666663</v>
      </c>
      <c r="E164" s="170">
        <f>+B164*D164</f>
        <v>78.55048162989219</v>
      </c>
      <c r="F164" s="170">
        <f>+F161+E164</f>
        <v>1152.6369536331315</v>
      </c>
    </row>
    <row r="165" spans="1:7" ht="15.75" customHeight="1">
      <c r="A165" s="141" t="s">
        <v>119</v>
      </c>
      <c r="B165" s="170">
        <f>+F82</f>
        <v>85.74706931767723</v>
      </c>
      <c r="C165" s="170">
        <f>+C164+B165</f>
        <v>1837.6018401645988</v>
      </c>
      <c r="D165" s="262">
        <f t="shared" ref="D165:D179" si="19">D164-(1/12)</f>
        <v>0.83333333333333326</v>
      </c>
      <c r="E165" s="170">
        <f>+B165*D165</f>
        <v>71.455891098064356</v>
      </c>
      <c r="F165" s="170">
        <f>+F164+E165</f>
        <v>1224.0928447311958</v>
      </c>
      <c r="G165" s="152"/>
    </row>
    <row r="166" spans="1:7" ht="15.75" customHeight="1">
      <c r="A166" s="141" t="s">
        <v>120</v>
      </c>
      <c r="B166" s="170">
        <f>+F83</f>
        <v>86.438025391081808</v>
      </c>
      <c r="C166" s="170">
        <f>+C165+B166</f>
        <v>1924.0398655556805</v>
      </c>
      <c r="D166" s="262">
        <f t="shared" si="19"/>
        <v>0.74999999999999989</v>
      </c>
      <c r="E166" s="170">
        <f>+B166*D166</f>
        <v>64.828519043311346</v>
      </c>
      <c r="F166" s="170">
        <f>+F165+E166</f>
        <v>1288.9213637745072</v>
      </c>
    </row>
    <row r="167" spans="1:7" ht="15.75" customHeight="1">
      <c r="A167" s="141" t="s">
        <v>121</v>
      </c>
      <c r="B167" s="170">
        <f>+F84</f>
        <v>89.481720344952024</v>
      </c>
      <c r="C167" s="170">
        <f>+C166+B167</f>
        <v>2013.5215859006325</v>
      </c>
      <c r="D167" s="262">
        <f t="shared" si="19"/>
        <v>0.66666666666666652</v>
      </c>
      <c r="E167" s="170">
        <f>+B167*D167</f>
        <v>59.654480229968001</v>
      </c>
      <c r="F167" s="170">
        <f>+F166+E167</f>
        <v>1348.5758440044751</v>
      </c>
    </row>
    <row r="168" spans="1:7" ht="15.75" customHeight="1">
      <c r="A168" s="141" t="s">
        <v>75</v>
      </c>
      <c r="B168" s="170">
        <f>+F85</f>
        <v>91.690276651415331</v>
      </c>
      <c r="C168" s="170">
        <f t="shared" ref="C168:C178" si="20">+C167+B168</f>
        <v>2105.2118625520479</v>
      </c>
      <c r="D168" s="262">
        <f t="shared" si="19"/>
        <v>0.58333333333333315</v>
      </c>
      <c r="E168" s="170">
        <f t="shared" ref="E168:E177" si="21">+B168*D168</f>
        <v>53.485994713325596</v>
      </c>
      <c r="F168" s="170">
        <f t="shared" ref="F168:F179" si="22">+F167+E168</f>
        <v>1402.0618387178008</v>
      </c>
    </row>
    <row r="169" spans="1:7" ht="15.75" customHeight="1">
      <c r="A169" s="141"/>
      <c r="B169" s="170"/>
      <c r="C169" s="170"/>
      <c r="D169" s="262"/>
      <c r="E169" s="170"/>
      <c r="F169" s="170"/>
    </row>
    <row r="170" spans="1:7" ht="15.75" customHeight="1">
      <c r="A170" s="253" t="s">
        <v>122</v>
      </c>
      <c r="B170" s="170">
        <f>+F87</f>
        <v>95.018478631266447</v>
      </c>
      <c r="C170" s="170">
        <f>+C168+B170</f>
        <v>2200.2303411833145</v>
      </c>
      <c r="D170" s="262">
        <f>D168-(1/12)</f>
        <v>0.49999999999999983</v>
      </c>
      <c r="E170" s="170">
        <f t="shared" si="21"/>
        <v>47.509239315633209</v>
      </c>
      <c r="F170" s="170">
        <f>+F168+E170</f>
        <v>1449.5710780334341</v>
      </c>
    </row>
    <row r="171" spans="1:7" ht="15.75" customHeight="1">
      <c r="A171" s="347" t="s">
        <v>214</v>
      </c>
      <c r="B171" s="281">
        <f>'DPV2 Transfer'!F9</f>
        <v>-371.51279775190926</v>
      </c>
      <c r="C171" s="281">
        <f>B171</f>
        <v>-371.51279775190926</v>
      </c>
      <c r="D171" s="262">
        <f>D170</f>
        <v>0.49999999999999983</v>
      </c>
      <c r="E171" s="281">
        <f t="shared" si="21"/>
        <v>-185.75639887595457</v>
      </c>
      <c r="F171" s="281">
        <f>E171</f>
        <v>-185.75639887595457</v>
      </c>
    </row>
    <row r="172" spans="1:7" ht="15.75" customHeight="1">
      <c r="A172" s="347" t="s">
        <v>215</v>
      </c>
      <c r="B172" s="290">
        <f>SUM(B170:B171)</f>
        <v>-276.49431912064279</v>
      </c>
      <c r="C172" s="290">
        <f>SUM(C170:C171)</f>
        <v>1828.7175434314054</v>
      </c>
      <c r="D172" s="262">
        <f>D170</f>
        <v>0.49999999999999983</v>
      </c>
      <c r="E172" s="290">
        <f>SUM(E170:E171)</f>
        <v>-138.24715956032136</v>
      </c>
      <c r="F172" s="290">
        <f>SUM(F170:F171)</f>
        <v>1263.8146791574795</v>
      </c>
    </row>
    <row r="173" spans="1:7" ht="15.75" customHeight="1">
      <c r="A173" s="346"/>
      <c r="B173" s="170"/>
      <c r="C173" s="170"/>
      <c r="D173" s="262"/>
      <c r="E173" s="170"/>
      <c r="F173" s="170"/>
    </row>
    <row r="174" spans="1:7" ht="15.75" customHeight="1">
      <c r="A174" s="141" t="s">
        <v>123</v>
      </c>
      <c r="B174" s="170">
        <f t="shared" ref="B174:B179" si="23">+F91</f>
        <v>78.199938129801382</v>
      </c>
      <c r="C174" s="170">
        <f>+C170+B174</f>
        <v>2278.430279313116</v>
      </c>
      <c r="D174" s="262">
        <f>D170-(1/12)</f>
        <v>0.41666666666666652</v>
      </c>
      <c r="E174" s="170">
        <f t="shared" si="21"/>
        <v>32.583307554083895</v>
      </c>
      <c r="F174" s="170">
        <f>+F170+E174</f>
        <v>1482.1543855875179</v>
      </c>
    </row>
    <row r="175" spans="1:7" s="167" customFormat="1">
      <c r="A175" s="141" t="s">
        <v>124</v>
      </c>
      <c r="B175" s="170">
        <f t="shared" si="23"/>
        <v>80.591516304310758</v>
      </c>
      <c r="C175" s="170">
        <f t="shared" si="20"/>
        <v>2359.021795617427</v>
      </c>
      <c r="D175" s="262">
        <f t="shared" si="19"/>
        <v>0.3333333333333332</v>
      </c>
      <c r="E175" s="170">
        <f t="shared" si="21"/>
        <v>26.863838768103577</v>
      </c>
      <c r="F175" s="170">
        <f t="shared" si="22"/>
        <v>1509.0182243556214</v>
      </c>
      <c r="G175" s="135"/>
    </row>
    <row r="176" spans="1:7" ht="15.75" customHeight="1">
      <c r="A176" s="141" t="s">
        <v>125</v>
      </c>
      <c r="B176" s="170">
        <f t="shared" si="23"/>
        <v>83.558264833729041</v>
      </c>
      <c r="C176" s="170">
        <f t="shared" si="20"/>
        <v>2442.580060451156</v>
      </c>
      <c r="D176" s="262">
        <f t="shared" si="19"/>
        <v>0.24999999999999989</v>
      </c>
      <c r="E176" s="170">
        <f t="shared" si="21"/>
        <v>20.88956620843225</v>
      </c>
      <c r="F176" s="170">
        <f t="shared" si="22"/>
        <v>1529.9077905640536</v>
      </c>
    </row>
    <row r="177" spans="1:7" ht="15.75" customHeight="1" collapsed="1">
      <c r="A177" s="141" t="s">
        <v>126</v>
      </c>
      <c r="B177" s="170">
        <f t="shared" si="23"/>
        <v>88.027698471779715</v>
      </c>
      <c r="C177" s="170">
        <f t="shared" si="20"/>
        <v>2530.6077589229358</v>
      </c>
      <c r="D177" s="262">
        <f t="shared" si="19"/>
        <v>0.16666666666666657</v>
      </c>
      <c r="E177" s="170">
        <f t="shared" si="21"/>
        <v>14.671283078629944</v>
      </c>
      <c r="F177" s="170">
        <f t="shared" si="22"/>
        <v>1544.5790736426836</v>
      </c>
    </row>
    <row r="178" spans="1:7" ht="15.75" customHeight="1">
      <c r="A178" s="141" t="s">
        <v>127</v>
      </c>
      <c r="B178" s="170">
        <f t="shared" si="23"/>
        <v>96.25599065632025</v>
      </c>
      <c r="C178" s="170">
        <f t="shared" si="20"/>
        <v>2626.8637495792559</v>
      </c>
      <c r="D178" s="262">
        <f t="shared" si="19"/>
        <v>8.3333333333333245E-2</v>
      </c>
      <c r="E178" s="170">
        <f>+B178*D178</f>
        <v>8.0213325546933465</v>
      </c>
      <c r="F178" s="263">
        <f t="shared" si="22"/>
        <v>1552.600406197377</v>
      </c>
    </row>
    <row r="179" spans="1:7" ht="15.75" customHeight="1">
      <c r="A179" s="141" t="s">
        <v>226</v>
      </c>
      <c r="B179" s="170">
        <f t="shared" si="23"/>
        <v>98.289733656613564</v>
      </c>
      <c r="C179" s="170">
        <f>+C178+B179</f>
        <v>2725.1534832358693</v>
      </c>
      <c r="D179" s="262">
        <f t="shared" si="19"/>
        <v>0</v>
      </c>
      <c r="E179" s="170">
        <f>+B179*D179</f>
        <v>0</v>
      </c>
      <c r="F179" s="391">
        <f t="shared" si="22"/>
        <v>1552.600406197377</v>
      </c>
    </row>
    <row r="180" spans="1:7" s="167" customFormat="1" ht="15.75" customHeight="1" thickBot="1">
      <c r="A180" s="346" t="s">
        <v>284</v>
      </c>
      <c r="B180" s="150">
        <f>SUM(B164:B168)+B172+SUM(B174:B179)</f>
        <v>687.47734914237526</v>
      </c>
      <c r="C180" s="135"/>
      <c r="D180" s="695" t="s">
        <v>285</v>
      </c>
      <c r="E180" s="696"/>
      <c r="F180" s="151">
        <f>(SUM(F164:F168)+F172+SUM(F174:F179))/12</f>
        <v>1404.2469842136015</v>
      </c>
      <c r="G180" s="135"/>
    </row>
    <row r="181" spans="1:7" ht="15.75" customHeight="1" thickTop="1">
      <c r="A181" s="149"/>
    </row>
    <row r="182" spans="1:7" s="167" customFormat="1" ht="15.75" customHeight="1">
      <c r="A182" s="347" t="s">
        <v>261</v>
      </c>
      <c r="B182" s="170">
        <f>+F100</f>
        <v>104.91544916546634</v>
      </c>
      <c r="C182" s="170">
        <f>+C179+B182</f>
        <v>2830.0689324013356</v>
      </c>
      <c r="D182" s="262">
        <f>D125</f>
        <v>0.91666666666666663</v>
      </c>
      <c r="E182" s="170">
        <f>+B182*D182</f>
        <v>96.172495068344148</v>
      </c>
      <c r="F182" s="170">
        <f>+F179+E182</f>
        <v>1648.7729012657212</v>
      </c>
    </row>
    <row r="183" spans="1:7" s="167" customFormat="1" ht="15.75" customHeight="1">
      <c r="A183" s="253" t="s">
        <v>119</v>
      </c>
      <c r="B183" s="170">
        <f>+F101</f>
        <v>108.15848828884897</v>
      </c>
      <c r="C183" s="170">
        <f t="shared" ref="C183:C197" si="24">+C182+B183</f>
        <v>2938.2274206901848</v>
      </c>
      <c r="D183" s="262">
        <f t="shared" ref="D183:D197" si="25">D182-(1/12)</f>
        <v>0.83333333333333326</v>
      </c>
      <c r="E183" s="170">
        <f>+B183*D183</f>
        <v>90.132073574040803</v>
      </c>
      <c r="F183" s="170">
        <f>+F182+E183</f>
        <v>1738.904974839762</v>
      </c>
      <c r="G183" s="490"/>
    </row>
    <row r="184" spans="1:7" s="167" customFormat="1" ht="15.75" customHeight="1">
      <c r="A184" s="253" t="s">
        <v>120</v>
      </c>
      <c r="B184" s="170">
        <f>+F102</f>
        <v>112.67143522890547</v>
      </c>
      <c r="C184" s="170">
        <f t="shared" si="24"/>
        <v>3050.8988559190902</v>
      </c>
      <c r="D184" s="262">
        <f t="shared" si="25"/>
        <v>0.74999999999999989</v>
      </c>
      <c r="E184" s="170">
        <f>+B184*D184</f>
        <v>84.503576421679085</v>
      </c>
      <c r="F184" s="170">
        <f>+F183+E184</f>
        <v>1823.4085512614411</v>
      </c>
    </row>
    <row r="185" spans="1:7" s="167" customFormat="1" ht="15.75" customHeight="1">
      <c r="A185" s="253"/>
      <c r="B185" s="170"/>
      <c r="C185" s="170"/>
      <c r="D185" s="262"/>
      <c r="E185" s="170"/>
      <c r="F185" s="170"/>
    </row>
    <row r="186" spans="1:7" s="167" customFormat="1" ht="15.75" customHeight="1">
      <c r="A186" s="253" t="s">
        <v>121</v>
      </c>
      <c r="B186" s="170">
        <f>+F104</f>
        <v>119.70045542459769</v>
      </c>
      <c r="C186" s="170">
        <f>+C184+B186</f>
        <v>3170.599311343688</v>
      </c>
      <c r="D186" s="262">
        <f>D184-(1/12)</f>
        <v>0.66666666666666652</v>
      </c>
      <c r="E186" s="170">
        <f>+B186*D186</f>
        <v>79.800303616398438</v>
      </c>
      <c r="F186" s="170">
        <f>+F184+E186</f>
        <v>1903.2088548778395</v>
      </c>
    </row>
    <row r="187" spans="1:7" s="167" customFormat="1" ht="15.75" customHeight="1">
      <c r="A187" s="347" t="s">
        <v>214</v>
      </c>
      <c r="B187" s="281">
        <f>'DPV2 Transfer'!F10</f>
        <v>-6.9251060110086753</v>
      </c>
      <c r="C187" s="281">
        <f>B187</f>
        <v>-6.9251060110086753</v>
      </c>
      <c r="D187" s="262">
        <f>D186</f>
        <v>0.66666666666666652</v>
      </c>
      <c r="E187" s="281">
        <f t="shared" ref="E187" si="26">+B187*D187</f>
        <v>-4.616737340672449</v>
      </c>
      <c r="F187" s="281">
        <f>E187</f>
        <v>-4.616737340672449</v>
      </c>
    </row>
    <row r="188" spans="1:7" s="167" customFormat="1" ht="15.75" customHeight="1">
      <c r="A188" s="347" t="s">
        <v>215</v>
      </c>
      <c r="B188" s="290">
        <f>SUM(B186:B187)</f>
        <v>112.77534941358901</v>
      </c>
      <c r="C188" s="290">
        <f>SUM(C186:C187)</f>
        <v>3163.6742053326793</v>
      </c>
      <c r="D188" s="262">
        <f>D186</f>
        <v>0.66666666666666652</v>
      </c>
      <c r="E188" s="290">
        <f>SUM(E186:E187)</f>
        <v>75.183566275725994</v>
      </c>
      <c r="F188" s="290">
        <f>SUM(F186:F187)</f>
        <v>1898.592117537167</v>
      </c>
    </row>
    <row r="189" spans="1:7" s="167" customFormat="1" ht="15.75" customHeight="1">
      <c r="A189" s="253"/>
      <c r="B189" s="170"/>
      <c r="C189" s="170"/>
      <c r="D189" s="262"/>
      <c r="E189" s="170"/>
      <c r="F189" s="170"/>
    </row>
    <row r="190" spans="1:7" s="167" customFormat="1" ht="15.75" customHeight="1">
      <c r="A190" s="253" t="s">
        <v>75</v>
      </c>
      <c r="B190" s="170">
        <f t="shared" ref="B190:B197" si="27">+F108</f>
        <v>123.94773197973728</v>
      </c>
      <c r="C190" s="556">
        <f>+C188+B190</f>
        <v>3287.6219373124168</v>
      </c>
      <c r="D190" s="262">
        <f>D186-(1/12)</f>
        <v>0.58333333333333315</v>
      </c>
      <c r="E190" s="170">
        <f>+B190*D190</f>
        <v>72.302843654846725</v>
      </c>
      <c r="F190" s="556">
        <f>+F188+E190</f>
        <v>1970.8949611920139</v>
      </c>
    </row>
    <row r="191" spans="1:7" s="167" customFormat="1" ht="15.75" customHeight="1">
      <c r="A191" s="347" t="s">
        <v>122</v>
      </c>
      <c r="B191" s="170">
        <f t="shared" si="27"/>
        <v>130.56333208967342</v>
      </c>
      <c r="C191" s="170">
        <f t="shared" si="24"/>
        <v>3418.1852694020904</v>
      </c>
      <c r="D191" s="262">
        <f t="shared" si="25"/>
        <v>0.49999999999999983</v>
      </c>
      <c r="E191" s="170">
        <f t="shared" ref="E191:E197" si="28">+B191*D191</f>
        <v>65.281666044836683</v>
      </c>
      <c r="F191" s="170">
        <f t="shared" ref="F191:F197" si="29">+F190+E191</f>
        <v>2036.1766272368504</v>
      </c>
    </row>
    <row r="192" spans="1:7" s="167" customFormat="1" ht="15.75" customHeight="1">
      <c r="A192" s="253" t="s">
        <v>123</v>
      </c>
      <c r="B192" s="170">
        <f t="shared" si="27"/>
        <v>142.98803181702587</v>
      </c>
      <c r="C192" s="170">
        <f t="shared" si="24"/>
        <v>3561.1733012191162</v>
      </c>
      <c r="D192" s="262">
        <f t="shared" si="25"/>
        <v>0.41666666666666652</v>
      </c>
      <c r="E192" s="170">
        <f t="shared" si="28"/>
        <v>59.578346590427422</v>
      </c>
      <c r="F192" s="170">
        <f t="shared" si="29"/>
        <v>2095.7549738272778</v>
      </c>
    </row>
    <row r="193" spans="1:7" s="167" customFormat="1" ht="15.75" customHeight="1">
      <c r="A193" s="347" t="s">
        <v>124</v>
      </c>
      <c r="B193" s="170">
        <f t="shared" si="27"/>
        <v>153.19514271987498</v>
      </c>
      <c r="C193" s="170">
        <f t="shared" si="24"/>
        <v>3714.3684439389913</v>
      </c>
      <c r="D193" s="262">
        <f t="shared" si="25"/>
        <v>0.3333333333333332</v>
      </c>
      <c r="E193" s="170">
        <f t="shared" si="28"/>
        <v>51.065047573291643</v>
      </c>
      <c r="F193" s="170">
        <f t="shared" si="29"/>
        <v>2146.8200214005697</v>
      </c>
    </row>
    <row r="194" spans="1:7" s="167" customFormat="1" ht="15.75" customHeight="1">
      <c r="A194" s="253" t="s">
        <v>125</v>
      </c>
      <c r="B194" s="170">
        <f t="shared" si="27"/>
        <v>167.97643800345767</v>
      </c>
      <c r="C194" s="170">
        <f t="shared" si="24"/>
        <v>3882.3448819424489</v>
      </c>
      <c r="D194" s="262">
        <f t="shared" si="25"/>
        <v>0.24999999999999989</v>
      </c>
      <c r="E194" s="170">
        <f t="shared" si="28"/>
        <v>41.994109500864397</v>
      </c>
      <c r="F194" s="170">
        <f t="shared" si="29"/>
        <v>2188.8141309014341</v>
      </c>
    </row>
    <row r="195" spans="1:7" s="167" customFormat="1" ht="15.75" customHeight="1">
      <c r="A195" s="347" t="s">
        <v>126</v>
      </c>
      <c r="B195" s="170">
        <f t="shared" si="27"/>
        <v>196.28132457869441</v>
      </c>
      <c r="C195" s="170">
        <f t="shared" si="24"/>
        <v>4078.6262065211431</v>
      </c>
      <c r="D195" s="262">
        <f t="shared" si="25"/>
        <v>0.16666666666666657</v>
      </c>
      <c r="E195" s="170">
        <f t="shared" si="28"/>
        <v>32.713554096449052</v>
      </c>
      <c r="F195" s="170">
        <f t="shared" si="29"/>
        <v>2221.5276849978832</v>
      </c>
    </row>
    <row r="196" spans="1:7" s="167" customFormat="1" ht="15.75" customHeight="1">
      <c r="A196" s="253" t="s">
        <v>127</v>
      </c>
      <c r="B196" s="170">
        <f t="shared" si="27"/>
        <v>230.63834128930222</v>
      </c>
      <c r="C196" s="170">
        <f t="shared" si="24"/>
        <v>4309.264547810445</v>
      </c>
      <c r="D196" s="262">
        <f t="shared" si="25"/>
        <v>8.3333333333333245E-2</v>
      </c>
      <c r="E196" s="170">
        <f t="shared" si="28"/>
        <v>19.219861774108498</v>
      </c>
      <c r="F196" s="170">
        <f t="shared" si="29"/>
        <v>2240.7475467719919</v>
      </c>
    </row>
    <row r="197" spans="1:7" s="167" customFormat="1">
      <c r="A197" s="347" t="s">
        <v>262</v>
      </c>
      <c r="B197" s="170">
        <f t="shared" si="27"/>
        <v>281.69399271959026</v>
      </c>
      <c r="C197" s="170">
        <f t="shared" si="24"/>
        <v>4590.958540530035</v>
      </c>
      <c r="D197" s="262">
        <f t="shared" si="25"/>
        <v>0</v>
      </c>
      <c r="E197" s="170">
        <f t="shared" si="28"/>
        <v>0</v>
      </c>
      <c r="F197" s="170">
        <f t="shared" si="29"/>
        <v>2240.7475467719919</v>
      </c>
    </row>
    <row r="198" spans="1:7" s="167" customFormat="1" ht="15.75" customHeight="1" thickBot="1">
      <c r="A198" s="347" t="s">
        <v>284</v>
      </c>
      <c r="B198" s="491">
        <f>SUM(B182:B197)</f>
        <v>1978.5804067077547</v>
      </c>
      <c r="D198" s="675" t="s">
        <v>285</v>
      </c>
      <c r="E198" s="676"/>
      <c r="F198" s="168">
        <f>SUM(F182:F197)/12</f>
        <v>2179.1461796284393</v>
      </c>
    </row>
    <row r="199" spans="1:7" s="167" customFormat="1" ht="15.75" customHeight="1" thickTop="1">
      <c r="A199" s="149"/>
      <c r="B199" s="242"/>
      <c r="C199" s="135"/>
      <c r="D199" s="409"/>
      <c r="E199" s="409"/>
      <c r="F199" s="140"/>
      <c r="G199" s="135"/>
    </row>
    <row r="200" spans="1:7" s="167" customFormat="1" ht="15.75" customHeight="1">
      <c r="A200" s="149"/>
      <c r="B200" s="242"/>
      <c r="C200" s="135"/>
      <c r="D200" s="613"/>
      <c r="E200" s="613"/>
      <c r="F200" s="140"/>
      <c r="G200" s="135"/>
    </row>
    <row r="201" spans="1:7" ht="15.75" customHeight="1">
      <c r="A201" s="149"/>
    </row>
    <row r="202" spans="1:7" ht="15.75" customHeight="1" thickBot="1">
      <c r="A202" s="690" t="s">
        <v>4</v>
      </c>
      <c r="B202" s="690"/>
      <c r="C202" s="690"/>
      <c r="D202" s="690"/>
      <c r="E202" s="690"/>
      <c r="F202" s="690"/>
    </row>
    <row r="203" spans="1:7">
      <c r="A203" s="194" t="s">
        <v>190</v>
      </c>
      <c r="B203" s="136">
        <f>B8</f>
        <v>6.2199999999999998E-2</v>
      </c>
      <c r="C203" s="157"/>
    </row>
    <row r="204" spans="1:7" ht="15.75" customHeight="1">
      <c r="A204" s="194" t="s">
        <v>167</v>
      </c>
      <c r="B204" s="136">
        <f>B9</f>
        <v>5.5E-2</v>
      </c>
    </row>
    <row r="205" spans="1:7" ht="15.75" customHeight="1">
      <c r="A205" s="194" t="s">
        <v>168</v>
      </c>
      <c r="B205" s="136">
        <f>B10</f>
        <v>5.5E-2</v>
      </c>
    </row>
    <row r="206" spans="1:7" ht="15.75" customHeight="1">
      <c r="A206" s="194" t="s">
        <v>169</v>
      </c>
      <c r="B206" s="136">
        <f>B11</f>
        <v>5.5E-2</v>
      </c>
    </row>
    <row r="207" spans="1:7" ht="15.75" customHeight="1">
      <c r="A207" s="137" t="s">
        <v>194</v>
      </c>
      <c r="B207" s="138">
        <f>+B12</f>
        <v>0.40588299999999994</v>
      </c>
    </row>
    <row r="208" spans="1:7" ht="15.75" customHeight="1">
      <c r="A208" s="194" t="s">
        <v>191</v>
      </c>
      <c r="B208" s="136">
        <f>B13</f>
        <v>6.1600000000000002E-2</v>
      </c>
    </row>
    <row r="209" spans="1:2" ht="15.75" customHeight="1">
      <c r="A209" s="194" t="s">
        <v>167</v>
      </c>
      <c r="B209" s="136">
        <f>B14</f>
        <v>6.1600000000000002E-2</v>
      </c>
    </row>
    <row r="210" spans="1:2" ht="15.75" customHeight="1">
      <c r="A210" s="194" t="s">
        <v>168</v>
      </c>
      <c r="B210" s="136">
        <f>B15</f>
        <v>6.1600000000000002E-2</v>
      </c>
    </row>
    <row r="211" spans="1:2" ht="15.75" customHeight="1">
      <c r="A211" s="194" t="s">
        <v>169</v>
      </c>
      <c r="B211" s="136">
        <f>B16</f>
        <v>6.1600000000000002E-2</v>
      </c>
    </row>
    <row r="212" spans="1:2" ht="15.75" customHeight="1">
      <c r="A212" s="137" t="s">
        <v>195</v>
      </c>
      <c r="B212" s="138">
        <f>+B17</f>
        <v>0.40669976930000001</v>
      </c>
    </row>
    <row r="213" spans="1:2" ht="15.75" customHeight="1">
      <c r="A213" s="194" t="s">
        <v>227</v>
      </c>
      <c r="B213" s="136">
        <f>B18</f>
        <v>6.25E-2</v>
      </c>
    </row>
    <row r="214" spans="1:2" ht="15.75" customHeight="1">
      <c r="A214" s="194" t="s">
        <v>167</v>
      </c>
      <c r="B214" s="136">
        <f>B19</f>
        <v>6.25E-2</v>
      </c>
    </row>
    <row r="215" spans="1:2" ht="15.75" customHeight="1">
      <c r="A215" s="194" t="s">
        <v>168</v>
      </c>
      <c r="B215" s="136">
        <f>B20</f>
        <v>6.25E-2</v>
      </c>
    </row>
    <row r="216" spans="1:2" ht="15.75" customHeight="1">
      <c r="A216" s="194" t="s">
        <v>169</v>
      </c>
      <c r="B216" s="136">
        <f>B21</f>
        <v>6.25E-2</v>
      </c>
    </row>
    <row r="217" spans="1:2" ht="15.75" customHeight="1">
      <c r="A217" s="137" t="s">
        <v>228</v>
      </c>
      <c r="B217" s="138">
        <f>+B22</f>
        <v>0.40720000000000001</v>
      </c>
    </row>
    <row r="218" spans="1:2" s="167" customFormat="1" ht="15.75" customHeight="1">
      <c r="A218" s="492" t="s">
        <v>267</v>
      </c>
      <c r="B218" s="493">
        <f>B23</f>
        <v>6.25E-2</v>
      </c>
    </row>
    <row r="219" spans="1:2" s="167" customFormat="1" ht="15.75" customHeight="1">
      <c r="A219" s="319" t="s">
        <v>167</v>
      </c>
      <c r="B219" s="493">
        <f>B24</f>
        <v>6.25E-2</v>
      </c>
    </row>
    <row r="220" spans="1:2" s="167" customFormat="1" ht="15.75" customHeight="1">
      <c r="A220" s="319" t="s">
        <v>168</v>
      </c>
      <c r="B220" s="493">
        <f>B25</f>
        <v>6.25E-2</v>
      </c>
    </row>
    <row r="221" spans="1:2" s="167" customFormat="1" ht="15.75" customHeight="1">
      <c r="A221" s="319" t="s">
        <v>169</v>
      </c>
      <c r="B221" s="493">
        <f>B26</f>
        <v>6.25E-2</v>
      </c>
    </row>
    <row r="222" spans="1:2" s="167" customFormat="1" ht="15.75" customHeight="1">
      <c r="A222" s="494" t="s">
        <v>272</v>
      </c>
      <c r="B222" s="495">
        <f>+B27</f>
        <v>0.40739999999999998</v>
      </c>
    </row>
    <row r="223" spans="1:2" ht="15.75" customHeight="1"/>
    <row r="224" spans="1:2" ht="15.75" customHeight="1">
      <c r="A224" s="139" t="s">
        <v>135</v>
      </c>
    </row>
    <row r="225" spans="1:7" ht="63.75" customHeight="1">
      <c r="A225" s="704" t="str">
        <f>A202</f>
        <v>Tehachapi</v>
      </c>
      <c r="B225" s="705" t="s">
        <v>179</v>
      </c>
      <c r="C225" s="705" t="s">
        <v>180</v>
      </c>
      <c r="D225" s="705" t="s">
        <v>181</v>
      </c>
      <c r="E225" s="710" t="s">
        <v>144</v>
      </c>
      <c r="F225" s="315" t="s">
        <v>136</v>
      </c>
      <c r="G225" s="153" t="s">
        <v>196</v>
      </c>
    </row>
    <row r="226" spans="1:7">
      <c r="A226" s="704"/>
      <c r="B226" s="705"/>
      <c r="C226" s="705"/>
      <c r="D226" s="706"/>
      <c r="E226" s="710"/>
      <c r="F226" s="258">
        <f>B207</f>
        <v>0.40588299999999994</v>
      </c>
      <c r="G226" s="259">
        <v>39448</v>
      </c>
    </row>
    <row r="227" spans="1:7" ht="15.75" customHeight="1">
      <c r="A227" s="312"/>
      <c r="B227" s="311"/>
      <c r="C227" s="311"/>
      <c r="D227" s="314"/>
      <c r="E227" s="313"/>
      <c r="F227" s="154">
        <f>B212</f>
        <v>0.40669976930000001</v>
      </c>
      <c r="G227" s="259">
        <v>39814</v>
      </c>
    </row>
    <row r="228" spans="1:7" ht="15.75" customHeight="1">
      <c r="A228" s="254"/>
      <c r="B228" s="255"/>
      <c r="C228" s="255"/>
      <c r="D228" s="256"/>
      <c r="E228" s="257"/>
      <c r="F228" s="258">
        <f>B217</f>
        <v>0.40720000000000001</v>
      </c>
      <c r="G228" s="259">
        <v>40179</v>
      </c>
    </row>
    <row r="229" spans="1:7" ht="15.75" customHeight="1">
      <c r="A229" s="254"/>
      <c r="B229" s="255"/>
      <c r="C229" s="255"/>
      <c r="D229" s="256"/>
      <c r="E229" s="574"/>
      <c r="F229" s="258">
        <f>B222</f>
        <v>0.40739999999999998</v>
      </c>
      <c r="G229" s="259">
        <v>40544</v>
      </c>
    </row>
    <row r="230" spans="1:7" ht="15.75" customHeight="1">
      <c r="A230" s="254"/>
      <c r="B230" s="255"/>
      <c r="C230" s="255"/>
      <c r="D230" s="256"/>
      <c r="E230" s="257"/>
      <c r="F230" s="294"/>
      <c r="G230" s="295"/>
    </row>
    <row r="231" spans="1:7" ht="15.75" customHeight="1">
      <c r="A231" s="141" t="s">
        <v>137</v>
      </c>
      <c r="G231" s="167"/>
    </row>
    <row r="232" spans="1:7" ht="15.75" customHeight="1">
      <c r="A232" s="141" t="s">
        <v>117</v>
      </c>
    </row>
    <row r="233" spans="1:7" ht="15.75" customHeight="1" thickBot="1">
      <c r="A233" s="141"/>
      <c r="E233" s="168"/>
      <c r="F233" s="142"/>
    </row>
    <row r="234" spans="1:7" ht="15.75" customHeight="1" thickTop="1">
      <c r="A234" s="141"/>
    </row>
    <row r="235" spans="1:7" ht="15.75" customHeight="1">
      <c r="A235" s="141" t="s">
        <v>117</v>
      </c>
      <c r="G235" s="167"/>
    </row>
    <row r="236" spans="1:7" ht="15.75" customHeight="1">
      <c r="A236" s="141" t="s">
        <v>118</v>
      </c>
    </row>
    <row r="237" spans="1:7" ht="15.75" customHeight="1">
      <c r="A237" s="141" t="s">
        <v>119</v>
      </c>
      <c r="B237" s="135">
        <f>'Tehachapi CWIP Balance'!E17-'Beg int cap'!B6</f>
        <v>49773.118780000004</v>
      </c>
      <c r="C237" s="145">
        <f>'Beg int cap'!E6</f>
        <v>2165.3119999999999</v>
      </c>
      <c r="D237" s="135">
        <f>SUM(B237:C237)</f>
        <v>51938.430780000002</v>
      </c>
      <c r="F237" s="135">
        <f>(C237*F$226)-('Beg int cap'!D$19*'Def Tax'!F$226)</f>
        <v>501.09323896007913</v>
      </c>
    </row>
    <row r="238" spans="1:7" ht="15.75" customHeight="1">
      <c r="A238" s="141" t="s">
        <v>120</v>
      </c>
      <c r="B238" s="135">
        <f>B237+'Tehachapi CWIP Balance'!D18</f>
        <v>57653.880349999999</v>
      </c>
      <c r="C238" s="135">
        <f>C237+E238</f>
        <v>2434.5261995430001</v>
      </c>
      <c r="D238" s="135">
        <f>SUM(B238:C238)</f>
        <v>60088.406549542997</v>
      </c>
      <c r="E238" s="167">
        <f>D237*($B$203/12)</f>
        <v>269.21419954300001</v>
      </c>
      <c r="F238" s="135">
        <f>+E238*$F$226</f>
        <v>109.26946695311146</v>
      </c>
    </row>
    <row r="239" spans="1:7" ht="15.75" customHeight="1">
      <c r="A239" s="141" t="s">
        <v>121</v>
      </c>
      <c r="B239" s="135">
        <f>B238+'Tehachapi CWIP Balance'!D19</f>
        <v>65825.950500000006</v>
      </c>
      <c r="C239" s="135">
        <f>C238+E239</f>
        <v>2709.9313962284054</v>
      </c>
      <c r="D239" s="135">
        <f>SUM(B239:C239)</f>
        <v>68535.881896228413</v>
      </c>
      <c r="E239" s="167">
        <f>D238*($B$204/12)</f>
        <v>275.40519668540543</v>
      </c>
      <c r="F239" s="135">
        <f t="shared" ref="F239:F247" si="30">+E239*$F$226</f>
        <v>111.7822874462624</v>
      </c>
    </row>
    <row r="240" spans="1:7" ht="15.75" customHeight="1">
      <c r="A240" s="141" t="s">
        <v>75</v>
      </c>
      <c r="B240" s="135">
        <f>B239+'Tehachapi CWIP Balance'!D20</f>
        <v>78051.364440000005</v>
      </c>
      <c r="C240" s="135">
        <f t="shared" ref="C240:C262" si="31">C239+E240</f>
        <v>3024.0541882527855</v>
      </c>
      <c r="D240" s="135">
        <f t="shared" ref="D240:D268" si="32">SUM(B240:C240)</f>
        <v>81075.418628252795</v>
      </c>
      <c r="E240" s="167">
        <f>D239*($B$204/12)</f>
        <v>314.1227920243802</v>
      </c>
      <c r="F240" s="135">
        <f t="shared" si="30"/>
        <v>127.49710119523149</v>
      </c>
    </row>
    <row r="241" spans="1:7" ht="15.75" customHeight="1">
      <c r="A241" s="141" t="s">
        <v>122</v>
      </c>
      <c r="B241" s="135">
        <f>B240+'Tehachapi CWIP Balance'!D21</f>
        <v>98357.161240000016</v>
      </c>
      <c r="C241" s="135">
        <f t="shared" si="31"/>
        <v>3395.649856965611</v>
      </c>
      <c r="D241" s="135">
        <f t="shared" si="32"/>
        <v>101752.81109696563</v>
      </c>
      <c r="E241" s="167">
        <f>D240*($B$204/12)</f>
        <v>371.59566871282533</v>
      </c>
      <c r="F241" s="135">
        <f t="shared" si="30"/>
        <v>150.82436480416766</v>
      </c>
    </row>
    <row r="242" spans="1:7" ht="15.75" customHeight="1">
      <c r="A242" s="141" t="s">
        <v>123</v>
      </c>
      <c r="B242" s="135">
        <f>B241+'Tehachapi CWIP Balance'!D22</f>
        <v>111030.71100000001</v>
      </c>
      <c r="C242" s="135">
        <f t="shared" si="31"/>
        <v>3862.0169078267036</v>
      </c>
      <c r="D242" s="135">
        <f t="shared" si="32"/>
        <v>114892.72790782672</v>
      </c>
      <c r="E242" s="167">
        <f>D241*($B$205/12)</f>
        <v>466.36705086109248</v>
      </c>
      <c r="F242" s="135">
        <f t="shared" si="30"/>
        <v>189.29045770465277</v>
      </c>
    </row>
    <row r="243" spans="1:7" ht="15.75" customHeight="1">
      <c r="A243" s="141" t="s">
        <v>124</v>
      </c>
      <c r="B243" s="135">
        <f>B242+'Tehachapi CWIP Balance'!D23</f>
        <v>132241.39981000003</v>
      </c>
      <c r="C243" s="135">
        <f t="shared" si="31"/>
        <v>4388.6085774042431</v>
      </c>
      <c r="D243" s="135">
        <f t="shared" si="32"/>
        <v>136630.00838740426</v>
      </c>
      <c r="E243" s="167">
        <f>D242*($B$205/12)</f>
        <v>526.59166957753916</v>
      </c>
      <c r="F243" s="135">
        <f t="shared" si="30"/>
        <v>213.73460662314031</v>
      </c>
    </row>
    <row r="244" spans="1:7" ht="15.75" customHeight="1">
      <c r="A244" s="253" t="s">
        <v>125</v>
      </c>
      <c r="B244" s="167">
        <f>B243+'Tehachapi CWIP Balance'!D24</f>
        <v>140705.12059000004</v>
      </c>
      <c r="C244" s="167">
        <f t="shared" si="31"/>
        <v>5014.8294491798461</v>
      </c>
      <c r="D244" s="167">
        <f t="shared" si="32"/>
        <v>145719.95003917988</v>
      </c>
      <c r="E244" s="167">
        <f>D243*($B$205/12)</f>
        <v>626.22087177560286</v>
      </c>
      <c r="F244" s="167">
        <f t="shared" si="30"/>
        <v>254.17240609889697</v>
      </c>
    </row>
    <row r="245" spans="1:7" ht="15.75" customHeight="1">
      <c r="A245" s="141" t="s">
        <v>126</v>
      </c>
      <c r="B245" s="167">
        <f>B244+'Tehachapi CWIP Balance'!D25</f>
        <v>165908.24596000003</v>
      </c>
      <c r="C245" s="135">
        <f t="shared" si="31"/>
        <v>5682.7125535260875</v>
      </c>
      <c r="D245" s="135">
        <f t="shared" si="32"/>
        <v>171590.95851352613</v>
      </c>
      <c r="E245" s="167">
        <f>D244*($B$206/12)</f>
        <v>667.88310434624111</v>
      </c>
      <c r="F245" s="135">
        <f t="shared" si="30"/>
        <v>271.08239804136537</v>
      </c>
    </row>
    <row r="246" spans="1:7" ht="15.75" customHeight="1">
      <c r="A246" s="141" t="s">
        <v>127</v>
      </c>
      <c r="B246" s="167">
        <f>B245+'Tehachapi CWIP Balance'!D26</f>
        <v>172913.77654000002</v>
      </c>
      <c r="C246" s="135">
        <f t="shared" si="31"/>
        <v>6469.1711133797489</v>
      </c>
      <c r="D246" s="135">
        <f t="shared" si="32"/>
        <v>179382.94765337976</v>
      </c>
      <c r="E246" s="167">
        <f>D245*($B$206/12)</f>
        <v>786.45855985366143</v>
      </c>
      <c r="F246" s="135">
        <f t="shared" si="30"/>
        <v>319.21015964908361</v>
      </c>
    </row>
    <row r="247" spans="1:7" ht="15.75" customHeight="1">
      <c r="A247" s="141" t="s">
        <v>128</v>
      </c>
      <c r="B247" s="167">
        <f>B246+'Tehachapi CWIP Balance'!D27</f>
        <v>206671.38564000002</v>
      </c>
      <c r="C247" s="135">
        <f t="shared" si="31"/>
        <v>7291.3429567910725</v>
      </c>
      <c r="D247" s="135">
        <f t="shared" si="32"/>
        <v>213962.7285967911</v>
      </c>
      <c r="E247" s="167">
        <f>D246*($B$206/12)</f>
        <v>822.17184341132383</v>
      </c>
      <c r="F247" s="135">
        <f t="shared" si="30"/>
        <v>333.70557431931832</v>
      </c>
    </row>
    <row r="248" spans="1:7" ht="15.75" customHeight="1" thickBot="1">
      <c r="A248" s="141"/>
      <c r="B248" s="167"/>
      <c r="E248" s="168"/>
      <c r="F248" s="142"/>
    </row>
    <row r="249" spans="1:7" ht="15.75" customHeight="1" thickTop="1">
      <c r="A249" s="141"/>
      <c r="B249" s="167"/>
    </row>
    <row r="250" spans="1:7" collapsed="1">
      <c r="A250" s="253" t="s">
        <v>188</v>
      </c>
      <c r="B250" s="167">
        <f>B247+'Tehachapi CWIP Balance'!D28</f>
        <v>211200.60601000002</v>
      </c>
      <c r="C250" s="167">
        <f>C247+E250</f>
        <v>8389.6849635879335</v>
      </c>
      <c r="D250" s="167">
        <f t="shared" si="32"/>
        <v>219590.29097358795</v>
      </c>
      <c r="E250" s="167">
        <f>D247*($B$208/12)</f>
        <v>1098.3420067968609</v>
      </c>
      <c r="F250" s="167">
        <f>+E250*$F$227</f>
        <v>446.69544077678239</v>
      </c>
    </row>
    <row r="251" spans="1:7" ht="15.75" customHeight="1">
      <c r="A251" s="141" t="s">
        <v>119</v>
      </c>
      <c r="B251" s="167">
        <f>B250+'Tehachapi CWIP Balance'!D29</f>
        <v>213659.23333000002</v>
      </c>
      <c r="C251" s="135">
        <f t="shared" si="31"/>
        <v>9516.9151239190178</v>
      </c>
      <c r="D251" s="135">
        <f t="shared" si="32"/>
        <v>223176.14845391904</v>
      </c>
      <c r="E251" s="167">
        <f>D250*($B$208/12)</f>
        <v>1127.2301603310848</v>
      </c>
      <c r="F251" s="167">
        <f t="shared" ref="F251:F268" si="33">+E251*$F$227</f>
        <v>458.44424615465419</v>
      </c>
    </row>
    <row r="252" spans="1:7" ht="15.75" customHeight="1">
      <c r="A252" s="141" t="s">
        <v>120</v>
      </c>
      <c r="B252" s="167">
        <f>B251+'Tehachapi CWIP Balance'!D30</f>
        <v>233732.89676000003</v>
      </c>
      <c r="C252" s="135">
        <f t="shared" si="31"/>
        <v>10662.552685982469</v>
      </c>
      <c r="D252" s="135">
        <f t="shared" si="32"/>
        <v>244395.44944598249</v>
      </c>
      <c r="E252" s="167">
        <f>D251*($B$208/12)</f>
        <v>1145.637562063451</v>
      </c>
      <c r="F252" s="167">
        <f t="shared" si="33"/>
        <v>465.93053219261998</v>
      </c>
    </row>
    <row r="253" spans="1:7" s="167" customFormat="1" ht="15.75" customHeight="1">
      <c r="A253" s="141" t="s">
        <v>121</v>
      </c>
      <c r="B253" s="167">
        <f>B252+'Tehachapi CWIP Balance'!D31</f>
        <v>254349.13652000003</v>
      </c>
      <c r="C253" s="135">
        <f t="shared" si="31"/>
        <v>11917.115993138514</v>
      </c>
      <c r="D253" s="135">
        <f t="shared" si="32"/>
        <v>266266.25251313852</v>
      </c>
      <c r="E253" s="167">
        <f>D252*($B$209/12)</f>
        <v>1254.5633071560435</v>
      </c>
      <c r="F253" s="167">
        <f t="shared" si="33"/>
        <v>510.23060759260795</v>
      </c>
      <c r="G253" s="135"/>
    </row>
    <row r="254" spans="1:7" ht="15.75" customHeight="1">
      <c r="A254" s="141"/>
      <c r="F254" s="167"/>
    </row>
    <row r="255" spans="1:7" ht="15.75" customHeight="1">
      <c r="A255" s="141" t="s">
        <v>75</v>
      </c>
      <c r="B255" s="135">
        <f>B253+'Tehachapi CWIP Balance'!B32</f>
        <v>284012.80041000003</v>
      </c>
      <c r="C255" s="135">
        <f>C253+E255</f>
        <v>13283.949422705959</v>
      </c>
      <c r="D255" s="135">
        <f t="shared" si="32"/>
        <v>297296.749832706</v>
      </c>
      <c r="E255" s="167">
        <f>D253*($B$209/12)</f>
        <v>1366.8334295674445</v>
      </c>
      <c r="F255" s="167">
        <f t="shared" si="33"/>
        <v>555.89084047660742</v>
      </c>
    </row>
    <row r="256" spans="1:7" ht="15.75" customHeight="1">
      <c r="A256" s="141" t="s">
        <v>211</v>
      </c>
      <c r="B256" s="280">
        <f>-'Tehachapi Transfer'!C6</f>
        <v>-1885.3353000000134</v>
      </c>
      <c r="C256" s="280">
        <f>'Tehachapi Transfer'!J6</f>
        <v>-87.336559307760368</v>
      </c>
      <c r="D256" s="280">
        <f>C256+B256</f>
        <v>-1972.6718593077737</v>
      </c>
      <c r="E256" s="281"/>
      <c r="F256" s="281"/>
    </row>
    <row r="257" spans="1:7" s="167" customFormat="1" ht="15.75" customHeight="1">
      <c r="A257" s="141" t="s">
        <v>212</v>
      </c>
      <c r="B257" s="135">
        <f>SUM(B255:B256)</f>
        <v>282127.46510999999</v>
      </c>
      <c r="C257" s="135">
        <f>SUM(C255:C256)</f>
        <v>13196.612863398199</v>
      </c>
      <c r="D257" s="135">
        <f>SUM(D255:D256)</f>
        <v>295324.07797339821</v>
      </c>
      <c r="E257" s="135">
        <f>SUM(E255:E256)</f>
        <v>1366.8334295674445</v>
      </c>
      <c r="F257" s="135">
        <f>SUM(F255:F256)</f>
        <v>555.89084047660742</v>
      </c>
      <c r="G257" s="135"/>
    </row>
    <row r="258" spans="1:7" ht="15.75" customHeight="1">
      <c r="A258" s="141"/>
      <c r="F258" s="167"/>
    </row>
    <row r="259" spans="1:7" ht="15.75" customHeight="1">
      <c r="A259" s="141" t="s">
        <v>122</v>
      </c>
      <c r="B259" s="167">
        <f>B257+'Tehachapi CWIP Balance'!D33</f>
        <v>308154.88413999998</v>
      </c>
      <c r="C259" s="135">
        <f>C257+E259</f>
        <v>14712.609796994977</v>
      </c>
      <c r="D259" s="135">
        <f t="shared" si="32"/>
        <v>322867.49393699493</v>
      </c>
      <c r="E259" s="167">
        <f>D257*($B$209/12)</f>
        <v>1515.9969335967776</v>
      </c>
      <c r="F259" s="167">
        <f t="shared" si="33"/>
        <v>616.55560315331684</v>
      </c>
    </row>
    <row r="260" spans="1:7" ht="15.75" customHeight="1">
      <c r="A260" s="141" t="s">
        <v>123</v>
      </c>
      <c r="B260" s="167">
        <f>B259+'Tehachapi CWIP Balance'!D34</f>
        <v>333705.64635</v>
      </c>
      <c r="C260" s="135">
        <f t="shared" si="31"/>
        <v>16369.99626587155</v>
      </c>
      <c r="D260" s="135">
        <f t="shared" si="32"/>
        <v>350075.64261587156</v>
      </c>
      <c r="E260" s="167">
        <f>D259*($B$210/12)</f>
        <v>1657.3864688765741</v>
      </c>
      <c r="F260" s="167">
        <f t="shared" si="33"/>
        <v>674.05869453304433</v>
      </c>
    </row>
    <row r="261" spans="1:7" ht="15.75" customHeight="1">
      <c r="A261" s="141" t="s">
        <v>124</v>
      </c>
      <c r="B261" s="167">
        <f>B260+'Tehachapi CWIP Balance'!D35</f>
        <v>341826.20941999997</v>
      </c>
      <c r="C261" s="135">
        <f t="shared" si="31"/>
        <v>18167.051231299691</v>
      </c>
      <c r="D261" s="135">
        <f t="shared" si="32"/>
        <v>359993.26065129967</v>
      </c>
      <c r="E261" s="167">
        <f>D260*($B$210/12)</f>
        <v>1797.0549654281408</v>
      </c>
      <c r="F261" s="167">
        <f t="shared" si="33"/>
        <v>730.86183985904438</v>
      </c>
    </row>
    <row r="262" spans="1:7" ht="15.75" customHeight="1">
      <c r="A262" s="141" t="s">
        <v>125</v>
      </c>
      <c r="B262" s="167">
        <f>B261+'Tehachapi CWIP Balance'!D36</f>
        <v>363323.23781000002</v>
      </c>
      <c r="C262" s="135">
        <f t="shared" si="31"/>
        <v>20015.016635976361</v>
      </c>
      <c r="D262" s="135">
        <f t="shared" si="32"/>
        <v>383338.2544459764</v>
      </c>
      <c r="E262" s="167">
        <f>D261*($B$210/12)</f>
        <v>1847.9654046766716</v>
      </c>
      <c r="F262" s="167">
        <f t="shared" si="33"/>
        <v>751.56710375638352</v>
      </c>
    </row>
    <row r="263" spans="1:7" ht="15.75" customHeight="1">
      <c r="A263" s="141"/>
      <c r="B263" s="167"/>
      <c r="F263" s="167"/>
    </row>
    <row r="264" spans="1:7" ht="15.75" customHeight="1">
      <c r="A264" s="141" t="s">
        <v>126</v>
      </c>
      <c r="B264" s="167">
        <f>B262</f>
        <v>363323.23781000002</v>
      </c>
      <c r="C264" s="135">
        <f>C262+E264</f>
        <v>21982.819675465707</v>
      </c>
      <c r="D264" s="135">
        <f t="shared" si="32"/>
        <v>385306.05748546572</v>
      </c>
      <c r="E264" s="167">
        <f>D262*($B$211/12)</f>
        <v>1967.8030394893456</v>
      </c>
      <c r="F264" s="167">
        <f t="shared" si="33"/>
        <v>800.30504218815565</v>
      </c>
    </row>
    <row r="265" spans="1:7" ht="15.75" customHeight="1">
      <c r="A265" s="141" t="s">
        <v>221</v>
      </c>
      <c r="B265" s="280">
        <f>-'Tehachapi Transfer'!C7</f>
        <v>-120549.08683000001</v>
      </c>
      <c r="C265" s="280">
        <f>'Tehachapi Transfer'!J7</f>
        <v>-7239.0529574741295</v>
      </c>
      <c r="D265" s="280">
        <f>C265+B265</f>
        <v>-127788.13978747414</v>
      </c>
      <c r="E265" s="281"/>
      <c r="F265" s="281"/>
    </row>
    <row r="266" spans="1:7" ht="15.75" customHeight="1">
      <c r="A266" s="141" t="s">
        <v>222</v>
      </c>
      <c r="B266" s="135">
        <f>SUM(B264:B265)</f>
        <v>242774.15098000001</v>
      </c>
      <c r="C266" s="135">
        <f>SUM(C264:C265)</f>
        <v>14743.766717991577</v>
      </c>
      <c r="D266" s="135">
        <f>SUM(D264:D265)</f>
        <v>257517.91769799159</v>
      </c>
      <c r="E266" s="135">
        <f>SUM(E264:E265)</f>
        <v>1967.8030394893456</v>
      </c>
      <c r="F266" s="135">
        <f>SUM(F264:F265)</f>
        <v>800.30504218815565</v>
      </c>
    </row>
    <row r="267" spans="1:7" ht="15.75" customHeight="1">
      <c r="A267" s="141"/>
      <c r="F267" s="167"/>
    </row>
    <row r="268" spans="1:7" ht="15.75" customHeight="1">
      <c r="A268" s="141" t="s">
        <v>127</v>
      </c>
      <c r="B268" s="167">
        <f>B266</f>
        <v>242774.15098000001</v>
      </c>
      <c r="C268" s="135">
        <f>C266+E268</f>
        <v>16065.692028841268</v>
      </c>
      <c r="D268" s="135">
        <f t="shared" si="32"/>
        <v>258839.84300884127</v>
      </c>
      <c r="E268" s="167">
        <f>D266*($B$211/12)</f>
        <v>1321.9253108496903</v>
      </c>
      <c r="F268" s="167">
        <f t="shared" si="33"/>
        <v>537.62671895439985</v>
      </c>
    </row>
    <row r="269" spans="1:7" ht="15.75" customHeight="1">
      <c r="A269" s="141" t="s">
        <v>223</v>
      </c>
      <c r="B269" s="280">
        <f>-'Tehachapi Transfer'!C8</f>
        <v>-79443.871270000003</v>
      </c>
      <c r="C269" s="280">
        <f>'Tehachapi Transfer'!J8</f>
        <v>-5198.394262413045</v>
      </c>
      <c r="D269" s="280">
        <f>C269+B269</f>
        <v>-84642.265532413046</v>
      </c>
      <c r="E269" s="281"/>
      <c r="F269" s="281"/>
    </row>
    <row r="270" spans="1:7" ht="15.75" customHeight="1">
      <c r="A270" s="141" t="s">
        <v>224</v>
      </c>
      <c r="B270" s="135">
        <f>SUM(B268:B269)</f>
        <v>163330.27971</v>
      </c>
      <c r="C270" s="135">
        <f>SUM(C268:C269)</f>
        <v>10867.297766428223</v>
      </c>
      <c r="D270" s="135">
        <f>SUM(D268:D269)</f>
        <v>174197.57747642824</v>
      </c>
      <c r="E270" s="135">
        <f>SUM(E268:E269)</f>
        <v>1321.9253108496903</v>
      </c>
      <c r="F270" s="135">
        <f>SUM(F268:F269)</f>
        <v>537.62671895439985</v>
      </c>
    </row>
    <row r="271" spans="1:7" ht="15.75" customHeight="1">
      <c r="A271" s="141"/>
      <c r="F271" s="167"/>
    </row>
    <row r="272" spans="1:7" ht="15.75" customHeight="1">
      <c r="A272" s="141" t="s">
        <v>189</v>
      </c>
      <c r="B272" s="167">
        <f>B270</f>
        <v>163330.27971</v>
      </c>
      <c r="C272" s="135">
        <f>C270+E272</f>
        <v>11761.511997473888</v>
      </c>
      <c r="D272" s="135">
        <f>SUM(B272:C272)</f>
        <v>175091.79170747389</v>
      </c>
      <c r="E272" s="167">
        <f>D270*($B$211/12)</f>
        <v>894.21423104566497</v>
      </c>
      <c r="F272" s="167">
        <f>+E272*$F$227</f>
        <v>363.67672147104884</v>
      </c>
    </row>
    <row r="273" spans="1:7" ht="15.75" customHeight="1">
      <c r="A273" s="141" t="s">
        <v>229</v>
      </c>
      <c r="B273" s="280">
        <f>-'Tehachapi Transfer'!C9</f>
        <v>-57861.731690000001</v>
      </c>
      <c r="C273" s="280">
        <f>'Tehachapi Transfer'!J9</f>
        <v>-4097.7157752326693</v>
      </c>
      <c r="D273" s="280">
        <f>C273+B273</f>
        <v>-61959.447465232668</v>
      </c>
      <c r="E273" s="281"/>
      <c r="F273" s="281"/>
    </row>
    <row r="274" spans="1:7" ht="15.75" customHeight="1">
      <c r="A274" s="141" t="s">
        <v>230</v>
      </c>
      <c r="B274" s="135">
        <f>SUM(B272:B273)</f>
        <v>105468.54802</v>
      </c>
      <c r="C274" s="135">
        <f>SUM(C272:C273)</f>
        <v>7663.7962222412189</v>
      </c>
      <c r="D274" s="135">
        <f>SUM(D272:D273)</f>
        <v>113132.34424224123</v>
      </c>
      <c r="E274" s="135">
        <f>SUM(E272:E273)</f>
        <v>894.21423104566497</v>
      </c>
      <c r="F274" s="135">
        <f>SUM(F272:F273)</f>
        <v>363.67672147104884</v>
      </c>
    </row>
    <row r="275" spans="1:7" ht="15.75" customHeight="1">
      <c r="A275" s="141"/>
      <c r="F275" s="167"/>
    </row>
    <row r="276" spans="1:7" ht="15.75" customHeight="1" thickBot="1">
      <c r="E276" s="168"/>
      <c r="F276" s="142"/>
    </row>
    <row r="277" spans="1:7" ht="15.75" customHeight="1" collapsed="1" thickTop="1"/>
    <row r="278" spans="1:7" ht="15.75" customHeight="1">
      <c r="A278" s="141" t="s">
        <v>225</v>
      </c>
      <c r="B278" s="167">
        <f>B274+'Tehachapi CWIP Balance'!D40</f>
        <v>117640.49394</v>
      </c>
      <c r="C278" s="167">
        <f>C274+E278</f>
        <v>8253.0271818362253</v>
      </c>
      <c r="D278" s="167">
        <f>SUM(B278:C278)</f>
        <v>125893.52112183622</v>
      </c>
      <c r="E278" s="167">
        <f>D274*($B$213/12)</f>
        <v>589.23095959500642</v>
      </c>
      <c r="F278" s="167">
        <f>+E278*$F$228</f>
        <v>239.93484674708662</v>
      </c>
    </row>
    <row r="279" spans="1:7" ht="15.75" customHeight="1">
      <c r="A279" s="141" t="s">
        <v>119</v>
      </c>
      <c r="B279" s="167">
        <f>B278+'Tehachapi CWIP Balance'!D41</f>
        <v>139336.15495999999</v>
      </c>
      <c r="C279" s="167">
        <f t="shared" ref="C279:C289" si="34">C278+E279</f>
        <v>8908.7226043457886</v>
      </c>
      <c r="D279" s="167">
        <f>SUM(B279:C279)</f>
        <v>148244.87756434578</v>
      </c>
      <c r="E279" s="167">
        <f>D278*($B$213/12)</f>
        <v>655.69542250956363</v>
      </c>
      <c r="F279" s="167">
        <f>+E279*$F$228</f>
        <v>266.99917604589433</v>
      </c>
    </row>
    <row r="280" spans="1:7" ht="15.75" customHeight="1">
      <c r="A280" s="141" t="s">
        <v>120</v>
      </c>
      <c r="B280" s="167">
        <f>B279+'Tehachapi CWIP Balance'!D42</f>
        <v>154493.09961</v>
      </c>
      <c r="C280" s="167">
        <f t="shared" si="34"/>
        <v>9680.8313416600904</v>
      </c>
      <c r="D280" s="167">
        <f>SUM(B280:C280)</f>
        <v>164173.93095166009</v>
      </c>
      <c r="E280" s="167">
        <f>D279*($B$213/12)</f>
        <v>772.10873731430092</v>
      </c>
      <c r="F280" s="167">
        <f t="shared" ref="F280:F289" si="35">+E280*$F$228</f>
        <v>314.40267783438333</v>
      </c>
      <c r="G280" s="167"/>
    </row>
    <row r="281" spans="1:7" s="167" customFormat="1" ht="15.75" customHeight="1">
      <c r="A281" s="253" t="s">
        <v>121</v>
      </c>
      <c r="B281" s="167">
        <f>B280+'Tehachapi CWIP Balance'!D43</f>
        <v>182050.65698</v>
      </c>
      <c r="C281" s="167">
        <f t="shared" si="34"/>
        <v>10535.903898699988</v>
      </c>
      <c r="D281" s="167">
        <f>SUM(B281:C281)</f>
        <v>192586.56087869999</v>
      </c>
      <c r="E281" s="167">
        <f>D280*($B$214/12)</f>
        <v>855.07255703989631</v>
      </c>
      <c r="F281" s="167">
        <f t="shared" si="35"/>
        <v>348.18554522664579</v>
      </c>
    </row>
    <row r="282" spans="1:7" s="167" customFormat="1" ht="15.75" customHeight="1">
      <c r="A282" s="253" t="s">
        <v>75</v>
      </c>
      <c r="B282" s="167">
        <f>B281+'Tehachapi CWIP Balance'!D44</f>
        <v>214447.14460999999</v>
      </c>
      <c r="C282" s="167">
        <f t="shared" si="34"/>
        <v>11538.958903276551</v>
      </c>
      <c r="D282" s="167">
        <f t="shared" ref="D282:D289" si="36">SUM(B282:C282)</f>
        <v>225986.10351327655</v>
      </c>
      <c r="E282" s="167">
        <f>D281*($B$214/12)</f>
        <v>1003.0550045765624</v>
      </c>
      <c r="F282" s="167">
        <f t="shared" si="35"/>
        <v>408.44399786357621</v>
      </c>
    </row>
    <row r="283" spans="1:7" s="167" customFormat="1" ht="15.75" customHeight="1">
      <c r="A283" s="253" t="s">
        <v>122</v>
      </c>
      <c r="B283" s="167">
        <f>B282+'Tehachapi CWIP Balance'!D45</f>
        <v>239064.89481</v>
      </c>
      <c r="C283" s="167">
        <f t="shared" si="34"/>
        <v>12715.969859074867</v>
      </c>
      <c r="D283" s="167">
        <f>SUM(B283:C283)</f>
        <v>251780.86466907486</v>
      </c>
      <c r="E283" s="167">
        <f>D282*($B$214/12)</f>
        <v>1177.0109557983153</v>
      </c>
      <c r="F283" s="167">
        <f t="shared" si="35"/>
        <v>479.27886120107399</v>
      </c>
    </row>
    <row r="284" spans="1:7" s="167" customFormat="1" ht="15.75" customHeight="1">
      <c r="A284" s="253" t="s">
        <v>123</v>
      </c>
      <c r="B284" s="167">
        <f>B283+'Tehachapi CWIP Balance'!D46</f>
        <v>295123.16495000001</v>
      </c>
      <c r="C284" s="167">
        <f t="shared" si="34"/>
        <v>14027.328529226299</v>
      </c>
      <c r="D284" s="167">
        <f t="shared" si="36"/>
        <v>309150.49347922631</v>
      </c>
      <c r="E284" s="167">
        <f>D283*($B$215/12)</f>
        <v>1311.3586701514314</v>
      </c>
      <c r="F284" s="167">
        <f t="shared" si="35"/>
        <v>533.98525048566285</v>
      </c>
    </row>
    <row r="285" spans="1:7" s="167" customFormat="1" ht="15.75" customHeight="1">
      <c r="A285" s="253" t="s">
        <v>124</v>
      </c>
      <c r="B285" s="167">
        <f>B284+'Tehachapi CWIP Balance'!D47</f>
        <v>330638.11194999999</v>
      </c>
      <c r="C285" s="167">
        <f t="shared" si="34"/>
        <v>15637.487349430603</v>
      </c>
      <c r="D285" s="167">
        <f t="shared" si="36"/>
        <v>346275.59929943061</v>
      </c>
      <c r="E285" s="167">
        <f>D284*($B$215/12)</f>
        <v>1610.1588202043035</v>
      </c>
      <c r="F285" s="167">
        <f t="shared" si="35"/>
        <v>655.65667158719236</v>
      </c>
    </row>
    <row r="286" spans="1:7" s="167" customFormat="1" ht="16.5" customHeight="1">
      <c r="A286" s="253" t="s">
        <v>125</v>
      </c>
      <c r="B286" s="167">
        <f>B285+'Tehachapi CWIP Balance'!D48</f>
        <v>363882.33756999997</v>
      </c>
      <c r="C286" s="167">
        <f t="shared" si="34"/>
        <v>17441.006095781806</v>
      </c>
      <c r="D286" s="167">
        <f t="shared" si="36"/>
        <v>381323.34366578178</v>
      </c>
      <c r="E286" s="167">
        <f>D285*($B$215/12)</f>
        <v>1803.5187463512011</v>
      </c>
      <c r="F286" s="167">
        <f t="shared" si="35"/>
        <v>734.39283351420909</v>
      </c>
    </row>
    <row r="287" spans="1:7" s="167" customFormat="1">
      <c r="A287" s="253" t="s">
        <v>126</v>
      </c>
      <c r="B287" s="167">
        <f>B286+'Tehachapi CWIP Balance'!D49</f>
        <v>401995.92852999998</v>
      </c>
      <c r="C287" s="167">
        <f t="shared" si="34"/>
        <v>19427.065177374418</v>
      </c>
      <c r="D287" s="167">
        <f t="shared" si="36"/>
        <v>421422.99370737438</v>
      </c>
      <c r="E287" s="167">
        <f>D286*($B$216/12)</f>
        <v>1986.0590815926134</v>
      </c>
      <c r="F287" s="167">
        <f t="shared" si="35"/>
        <v>808.72325802451223</v>
      </c>
    </row>
    <row r="288" spans="1:7" s="167" customFormat="1">
      <c r="A288" s="253" t="s">
        <v>127</v>
      </c>
      <c r="B288" s="167">
        <f>B287+'Tehachapi CWIP Balance'!D50</f>
        <v>457757.46684000001</v>
      </c>
      <c r="C288" s="167">
        <f t="shared" si="34"/>
        <v>21621.976602933661</v>
      </c>
      <c r="D288" s="167">
        <f t="shared" si="36"/>
        <v>479379.44344293367</v>
      </c>
      <c r="E288" s="167">
        <f>D287*($B$216/12)</f>
        <v>2194.9114255592413</v>
      </c>
      <c r="F288" s="167">
        <f t="shared" si="35"/>
        <v>893.7679324877231</v>
      </c>
    </row>
    <row r="289" spans="1:6" s="167" customFormat="1">
      <c r="A289" s="253" t="s">
        <v>226</v>
      </c>
      <c r="B289" s="167">
        <f>B288+'Tehachapi CWIP Balance'!D51</f>
        <v>553599.93926999997</v>
      </c>
      <c r="C289" s="167">
        <f t="shared" si="34"/>
        <v>24118.744537532271</v>
      </c>
      <c r="D289" s="167">
        <f t="shared" si="36"/>
        <v>577718.6838075323</v>
      </c>
      <c r="E289" s="167">
        <f>D288*($B$216/12)</f>
        <v>2496.7679345986126</v>
      </c>
      <c r="F289" s="167">
        <f t="shared" si="35"/>
        <v>1016.683902968555</v>
      </c>
    </row>
    <row r="290" spans="1:6" ht="15" customHeight="1" thickBot="1">
      <c r="E290" s="168"/>
      <c r="F290" s="142"/>
    </row>
    <row r="291" spans="1:6" ht="15" customHeight="1" thickTop="1">
      <c r="E291" s="296"/>
      <c r="F291" s="140"/>
    </row>
    <row r="292" spans="1:6" s="167" customFormat="1" ht="15.75" customHeight="1">
      <c r="A292" s="347" t="s">
        <v>261</v>
      </c>
      <c r="B292" s="167">
        <f>B289+'Tehachapi CWIP Balance'!D52</f>
        <v>579759.30487999995</v>
      </c>
      <c r="C292" s="167">
        <f>C289+E292</f>
        <v>27127.696015696503</v>
      </c>
      <c r="D292" s="167">
        <f>SUM(B292:C292)</f>
        <v>606887.00089569646</v>
      </c>
      <c r="E292" s="167">
        <f>D289*($B$218/12)</f>
        <v>3008.9514781642306</v>
      </c>
      <c r="F292" s="167">
        <f t="shared" ref="F292:F307" si="37">+E292*$F$229</f>
        <v>1225.8468322041074</v>
      </c>
    </row>
    <row r="293" spans="1:6" s="167" customFormat="1" ht="15.75" customHeight="1">
      <c r="A293" s="253" t="s">
        <v>119</v>
      </c>
      <c r="B293" s="167">
        <f>B292+'Tehachapi CWIP Balance'!D53</f>
        <v>622823.99362999992</v>
      </c>
      <c r="C293" s="167">
        <f>C292+E293</f>
        <v>30288.565812028257</v>
      </c>
      <c r="D293" s="167">
        <f>SUM(B293:C293)</f>
        <v>653112.55944202817</v>
      </c>
      <c r="E293" s="167">
        <f>D292*($B$218/12)</f>
        <v>3160.8697963317522</v>
      </c>
      <c r="F293" s="167">
        <f t="shared" si="37"/>
        <v>1287.7383550255558</v>
      </c>
    </row>
    <row r="294" spans="1:6" s="167" customFormat="1" ht="15.75" customHeight="1">
      <c r="A294" s="253" t="s">
        <v>120</v>
      </c>
      <c r="B294" s="167">
        <f>B293+'Tehachapi CWIP Balance'!D54</f>
        <v>674084.51848999993</v>
      </c>
      <c r="C294" s="167">
        <f t="shared" ref="C294:C301" si="38">C293+E294</f>
        <v>33690.19372578882</v>
      </c>
      <c r="D294" s="167">
        <f>SUM(B294:C294)</f>
        <v>707774.71221578878</v>
      </c>
      <c r="E294" s="167">
        <f>D293*($B$218/12)</f>
        <v>3401.6279137605634</v>
      </c>
      <c r="F294" s="167">
        <f t="shared" si="37"/>
        <v>1385.8232120660534</v>
      </c>
    </row>
    <row r="295" spans="1:6" s="167" customFormat="1" ht="15.75" customHeight="1">
      <c r="A295" s="253" t="s">
        <v>121</v>
      </c>
      <c r="B295" s="167">
        <f>B294+'Tehachapi CWIP Balance'!D55</f>
        <v>718312.82786999992</v>
      </c>
      <c r="C295" s="167">
        <f t="shared" si="38"/>
        <v>37376.520351912717</v>
      </c>
      <c r="D295" s="167">
        <f>SUM(B295:C295)</f>
        <v>755689.34822191263</v>
      </c>
      <c r="E295" s="167">
        <f>D294*($B$219/12)</f>
        <v>3686.3266261238996</v>
      </c>
      <c r="F295" s="167">
        <f t="shared" si="37"/>
        <v>1501.8094674828767</v>
      </c>
    </row>
    <row r="296" spans="1:6" s="167" customFormat="1" ht="15.75" customHeight="1">
      <c r="A296" s="253" t="s">
        <v>75</v>
      </c>
      <c r="B296" s="167">
        <f>B295+'Tehachapi CWIP Balance'!D56</f>
        <v>767842.7551699999</v>
      </c>
      <c r="C296" s="167">
        <f t="shared" si="38"/>
        <v>41312.402373901845</v>
      </c>
      <c r="D296" s="167">
        <f t="shared" ref="D296" si="39">SUM(B296:C296)</f>
        <v>809155.1575439017</v>
      </c>
      <c r="E296" s="167">
        <f>D295*($B$219/12)</f>
        <v>3935.8820219891281</v>
      </c>
      <c r="F296" s="167">
        <f t="shared" si="37"/>
        <v>1603.4783357583708</v>
      </c>
    </row>
    <row r="297" spans="1:6" s="167" customFormat="1" ht="15.75" customHeight="1">
      <c r="A297" s="253" t="s">
        <v>122</v>
      </c>
      <c r="B297" s="167">
        <f>B296+'Tehachapi CWIP Balance'!D57</f>
        <v>783191.47353999992</v>
      </c>
      <c r="C297" s="167">
        <f t="shared" si="38"/>
        <v>45526.752152776331</v>
      </c>
      <c r="D297" s="167">
        <f>SUM(B297:C297)</f>
        <v>828718.22569277626</v>
      </c>
      <c r="E297" s="167">
        <f>D296*($B$219/12)</f>
        <v>4214.349778874488</v>
      </c>
      <c r="F297" s="167">
        <f t="shared" si="37"/>
        <v>1716.9260999134663</v>
      </c>
    </row>
    <row r="298" spans="1:6" s="167" customFormat="1" ht="15.75" customHeight="1">
      <c r="A298" s="253" t="s">
        <v>123</v>
      </c>
      <c r="B298" s="167">
        <f>B297+'Tehachapi CWIP Balance'!D58</f>
        <v>819727.7358599999</v>
      </c>
      <c r="C298" s="167">
        <f t="shared" si="38"/>
        <v>49842.992911592875</v>
      </c>
      <c r="D298" s="167">
        <f t="shared" ref="D298:D307" si="40">SUM(B298:C298)</f>
        <v>869570.72877159272</v>
      </c>
      <c r="E298" s="167">
        <f>D297*($B$220/12)</f>
        <v>4316.2407588165424</v>
      </c>
      <c r="F298" s="167">
        <f t="shared" si="37"/>
        <v>1758.4364851418593</v>
      </c>
    </row>
    <row r="299" spans="1:6" s="167" customFormat="1" ht="15.75" customHeight="1">
      <c r="A299" s="253" t="s">
        <v>124</v>
      </c>
      <c r="B299" s="167">
        <f>B298+'Tehachapi CWIP Balance'!D59</f>
        <v>853743.71751999995</v>
      </c>
      <c r="C299" s="167">
        <f t="shared" si="38"/>
        <v>54372.007123944917</v>
      </c>
      <c r="D299" s="167">
        <f t="shared" si="40"/>
        <v>908115.72464394488</v>
      </c>
      <c r="E299" s="167">
        <f>D298*($B$220/12)</f>
        <v>4529.0142123520454</v>
      </c>
      <c r="F299" s="167">
        <f t="shared" si="37"/>
        <v>1845.1203901122233</v>
      </c>
    </row>
    <row r="300" spans="1:6" s="167" customFormat="1" ht="16.5" customHeight="1">
      <c r="A300" s="253" t="s">
        <v>125</v>
      </c>
      <c r="B300" s="167">
        <f>B299+'Tehachapi CWIP Balance'!D60</f>
        <v>904485.50772999995</v>
      </c>
      <c r="C300" s="167">
        <f t="shared" si="38"/>
        <v>59101.776523132132</v>
      </c>
      <c r="D300" s="167">
        <f t="shared" si="40"/>
        <v>963587.28425313206</v>
      </c>
      <c r="E300" s="167">
        <f>D299*($B$220/12)</f>
        <v>4729.7693991872129</v>
      </c>
      <c r="F300" s="167">
        <f t="shared" si="37"/>
        <v>1926.9080532288704</v>
      </c>
    </row>
    <row r="301" spans="1:6" s="167" customFormat="1">
      <c r="A301" s="253" t="s">
        <v>126</v>
      </c>
      <c r="B301" s="167">
        <f>B300+'Tehachapi CWIP Balance'!D61</f>
        <v>943714.91731999989</v>
      </c>
      <c r="C301" s="167">
        <f t="shared" si="38"/>
        <v>64120.460295283861</v>
      </c>
      <c r="D301" s="167">
        <f t="shared" si="40"/>
        <v>1007835.3776152837</v>
      </c>
      <c r="E301" s="167">
        <f>D300*($B$221/12)</f>
        <v>5018.6837721517295</v>
      </c>
      <c r="F301" s="167">
        <f t="shared" si="37"/>
        <v>2044.6117687746146</v>
      </c>
    </row>
    <row r="302" spans="1:6" s="167" customFormat="1">
      <c r="A302" s="253"/>
    </row>
    <row r="303" spans="1:6" s="167" customFormat="1">
      <c r="A303" s="253" t="s">
        <v>127</v>
      </c>
      <c r="B303" s="167">
        <f>B301+'Tehachapi CWIP Balance'!B62</f>
        <v>1014586.3511499999</v>
      </c>
      <c r="C303" s="167">
        <f>C301+E303</f>
        <v>69369.602887030138</v>
      </c>
      <c r="D303" s="167">
        <f t="shared" si="40"/>
        <v>1083955.95403703</v>
      </c>
      <c r="E303" s="167">
        <f>D301*($B$221/12)</f>
        <v>5249.1425917462693</v>
      </c>
      <c r="F303" s="167">
        <f t="shared" si="37"/>
        <v>2138.5006918774302</v>
      </c>
    </row>
    <row r="304" spans="1:6" ht="15.75" customHeight="1">
      <c r="A304" s="141" t="s">
        <v>223</v>
      </c>
      <c r="B304" s="281">
        <f>-'Tehachapi Transfer'!C10</f>
        <v>-18618.465119999993</v>
      </c>
      <c r="C304" s="281">
        <f>'Tehachapi Transfer'!J10</f>
        <v>-1269.5487694635985</v>
      </c>
      <c r="D304" s="280">
        <f>C304+B304</f>
        <v>-19888.013889463593</v>
      </c>
      <c r="E304" s="281"/>
      <c r="F304" s="281"/>
    </row>
    <row r="305" spans="1:7" ht="15.75" customHeight="1">
      <c r="A305" s="141" t="s">
        <v>224</v>
      </c>
      <c r="B305" s="135">
        <f>SUM(B303:B304)</f>
        <v>995967.88602999994</v>
      </c>
      <c r="C305" s="135">
        <f>SUM(C303:C304)</f>
        <v>68100.054117566542</v>
      </c>
      <c r="D305" s="135">
        <f>SUM(D303:D304)</f>
        <v>1064067.9401475664</v>
      </c>
      <c r="E305" s="135">
        <f>SUM(E303:E304)</f>
        <v>5249.1425917462693</v>
      </c>
      <c r="F305" s="135">
        <f>SUM(F303:F304)</f>
        <v>2138.5006918774302</v>
      </c>
    </row>
    <row r="306" spans="1:7" s="167" customFormat="1">
      <c r="A306" s="253"/>
    </row>
    <row r="307" spans="1:7" s="167" customFormat="1">
      <c r="A307" s="347" t="s">
        <v>262</v>
      </c>
      <c r="B307" s="167">
        <f>B305+'Tehachapi CWIP Balance'!D63</f>
        <v>1052355.11986</v>
      </c>
      <c r="C307" s="167">
        <f>C305+E307</f>
        <v>73642.074639168452</v>
      </c>
      <c r="D307" s="167">
        <f t="shared" si="40"/>
        <v>1125997.1944991685</v>
      </c>
      <c r="E307" s="167">
        <f>D305*($B$221/12)</f>
        <v>5542.0205216019076</v>
      </c>
      <c r="F307" s="167">
        <f t="shared" si="37"/>
        <v>2257.8191605006173</v>
      </c>
    </row>
    <row r="308" spans="1:7" s="167" customFormat="1" ht="15" customHeight="1" thickBot="1">
      <c r="E308" s="168"/>
      <c r="F308" s="168"/>
    </row>
    <row r="309" spans="1:7" s="167" customFormat="1" ht="15" customHeight="1" thickTop="1">
      <c r="E309" s="296"/>
      <c r="F309" s="296"/>
    </row>
    <row r="310" spans="1:7">
      <c r="A310" s="686"/>
      <c r="B310" s="703"/>
      <c r="C310" s="703"/>
      <c r="D310" s="703"/>
      <c r="E310" s="703"/>
      <c r="F310" s="703"/>
    </row>
    <row r="311" spans="1:7" ht="15.75">
      <c r="A311" s="686" t="s">
        <v>145</v>
      </c>
      <c r="B311" s="703"/>
      <c r="C311" s="703"/>
      <c r="D311" s="703"/>
      <c r="E311" s="703"/>
      <c r="F311" s="703"/>
    </row>
    <row r="312" spans="1:7">
      <c r="A312" s="686"/>
      <c r="B312" s="703"/>
      <c r="C312" s="703"/>
      <c r="D312" s="703"/>
      <c r="E312" s="703"/>
      <c r="F312" s="703"/>
    </row>
    <row r="314" spans="1:7" ht="15">
      <c r="A314" s="139" t="s">
        <v>138</v>
      </c>
    </row>
    <row r="315" spans="1:7" ht="28.5">
      <c r="A315" s="143" t="str">
        <f>A202</f>
        <v>Tehachapi</v>
      </c>
      <c r="B315" s="144" t="s">
        <v>139</v>
      </c>
      <c r="C315" s="144" t="s">
        <v>140</v>
      </c>
      <c r="D315" s="144" t="s">
        <v>141</v>
      </c>
      <c r="E315" s="169" t="s">
        <v>142</v>
      </c>
      <c r="F315" s="144" t="s">
        <v>143</v>
      </c>
    </row>
    <row r="316" spans="1:7">
      <c r="A316" s="141" t="s">
        <v>117</v>
      </c>
      <c r="B316" s="135">
        <f>F237</f>
        <v>501.09323896007913</v>
      </c>
      <c r="C316" s="145">
        <f>B316</f>
        <v>501.09323896007913</v>
      </c>
      <c r="D316" s="146">
        <v>1</v>
      </c>
      <c r="E316" s="170"/>
      <c r="F316" s="145">
        <f>+C316*D316</f>
        <v>501.09323896007913</v>
      </c>
    </row>
    <row r="317" spans="1:7">
      <c r="A317" s="141" t="s">
        <v>118</v>
      </c>
      <c r="B317" s="145">
        <v>0</v>
      </c>
      <c r="C317" s="145">
        <f>+C316+B317</f>
        <v>501.09323896007913</v>
      </c>
      <c r="D317" s="146">
        <f t="shared" ref="D317:D328" si="41">D316-(1/12)</f>
        <v>0.91666666666666663</v>
      </c>
      <c r="E317" s="170">
        <f>+B317*D317</f>
        <v>0</v>
      </c>
      <c r="F317" s="145">
        <f>+F316+E317</f>
        <v>501.09323896007913</v>
      </c>
    </row>
    <row r="318" spans="1:7">
      <c r="A318" s="141" t="s">
        <v>119</v>
      </c>
      <c r="B318" s="145">
        <v>0</v>
      </c>
      <c r="C318" s="145">
        <f>+C317+B318</f>
        <v>501.09323896007913</v>
      </c>
      <c r="D318" s="146">
        <f t="shared" si="41"/>
        <v>0.83333333333333326</v>
      </c>
      <c r="E318" s="170">
        <f>+B318*D318</f>
        <v>0</v>
      </c>
      <c r="F318" s="145">
        <f>+F317+E318</f>
        <v>501.09323896007913</v>
      </c>
    </row>
    <row r="319" spans="1:7" s="167" customFormat="1">
      <c r="A319" s="141" t="s">
        <v>120</v>
      </c>
      <c r="B319" s="145">
        <f t="shared" ref="B319:B328" si="42">+F238</f>
        <v>109.26946695311146</v>
      </c>
      <c r="C319" s="145">
        <f>+C318+B319</f>
        <v>610.36270591319055</v>
      </c>
      <c r="D319" s="146">
        <f t="shared" si="41"/>
        <v>0.74999999999999989</v>
      </c>
      <c r="E319" s="170">
        <f>+B319*D319</f>
        <v>81.952100214833578</v>
      </c>
      <c r="F319" s="145">
        <f>+F318+E319</f>
        <v>583.04533917491267</v>
      </c>
      <c r="G319" s="135"/>
    </row>
    <row r="320" spans="1:7" s="167" customFormat="1">
      <c r="A320" s="141" t="s">
        <v>121</v>
      </c>
      <c r="B320" s="145">
        <f t="shared" si="42"/>
        <v>111.7822874462624</v>
      </c>
      <c r="C320" s="145">
        <f>+C319+B320</f>
        <v>722.144993359453</v>
      </c>
      <c r="D320" s="146">
        <f t="shared" si="41"/>
        <v>0.66666666666666652</v>
      </c>
      <c r="E320" s="170">
        <f>+B320*D320</f>
        <v>74.521524964174915</v>
      </c>
      <c r="F320" s="145">
        <f>+F319+E320</f>
        <v>657.56686413908756</v>
      </c>
    </row>
    <row r="321" spans="1:6">
      <c r="A321" s="141" t="s">
        <v>75</v>
      </c>
      <c r="B321" s="145">
        <f t="shared" si="42"/>
        <v>127.49710119523149</v>
      </c>
      <c r="C321" s="145">
        <f t="shared" ref="C321:C342" si="43">+C320+B321</f>
        <v>849.64209455468449</v>
      </c>
      <c r="D321" s="146">
        <f t="shared" si="41"/>
        <v>0.58333333333333315</v>
      </c>
      <c r="E321" s="170">
        <f t="shared" ref="E321:E349" si="44">+B321*D321</f>
        <v>74.373309030551681</v>
      </c>
      <c r="F321" s="145">
        <f t="shared" ref="F321:F343" si="45">+F320+E321</f>
        <v>731.94017316963925</v>
      </c>
    </row>
    <row r="322" spans="1:6">
      <c r="A322" s="141" t="s">
        <v>122</v>
      </c>
      <c r="B322" s="145">
        <f t="shared" si="42"/>
        <v>150.82436480416766</v>
      </c>
      <c r="C322" s="145">
        <f t="shared" si="43"/>
        <v>1000.4664593588521</v>
      </c>
      <c r="D322" s="146">
        <f t="shared" si="41"/>
        <v>0.49999999999999983</v>
      </c>
      <c r="E322" s="170">
        <f t="shared" si="44"/>
        <v>75.412182402083801</v>
      </c>
      <c r="F322" s="145">
        <f t="shared" si="45"/>
        <v>807.35235557172302</v>
      </c>
    </row>
    <row r="323" spans="1:6">
      <c r="A323" s="141" t="s">
        <v>123</v>
      </c>
      <c r="B323" s="145">
        <f t="shared" si="42"/>
        <v>189.29045770465277</v>
      </c>
      <c r="C323" s="145">
        <f t="shared" si="43"/>
        <v>1189.7569170635049</v>
      </c>
      <c r="D323" s="146">
        <f t="shared" si="41"/>
        <v>0.41666666666666652</v>
      </c>
      <c r="E323" s="170">
        <f t="shared" si="44"/>
        <v>78.871024043605289</v>
      </c>
      <c r="F323" s="145">
        <f t="shared" si="45"/>
        <v>886.22337961532833</v>
      </c>
    </row>
    <row r="324" spans="1:6">
      <c r="A324" s="141" t="s">
        <v>124</v>
      </c>
      <c r="B324" s="145">
        <f t="shared" si="42"/>
        <v>213.73460662314031</v>
      </c>
      <c r="C324" s="145">
        <f t="shared" si="43"/>
        <v>1403.4915236866452</v>
      </c>
      <c r="D324" s="146">
        <f t="shared" si="41"/>
        <v>0.3333333333333332</v>
      </c>
      <c r="E324" s="170">
        <f t="shared" si="44"/>
        <v>71.244868874380074</v>
      </c>
      <c r="F324" s="145">
        <f t="shared" si="45"/>
        <v>957.46824848970846</v>
      </c>
    </row>
    <row r="325" spans="1:6">
      <c r="A325" s="253" t="s">
        <v>125</v>
      </c>
      <c r="B325" s="170">
        <f t="shared" si="42"/>
        <v>254.17240609889697</v>
      </c>
      <c r="C325" s="170">
        <f t="shared" si="43"/>
        <v>1657.6639297855422</v>
      </c>
      <c r="D325" s="262">
        <f t="shared" si="41"/>
        <v>0.24999999999999989</v>
      </c>
      <c r="E325" s="170">
        <f t="shared" si="44"/>
        <v>63.543101524724214</v>
      </c>
      <c r="F325" s="170">
        <f t="shared" si="45"/>
        <v>1021.0113500144327</v>
      </c>
    </row>
    <row r="326" spans="1:6">
      <c r="A326" s="141" t="s">
        <v>126</v>
      </c>
      <c r="B326" s="145">
        <f t="shared" si="42"/>
        <v>271.08239804136537</v>
      </c>
      <c r="C326" s="145">
        <f t="shared" si="43"/>
        <v>1928.7463278269076</v>
      </c>
      <c r="D326" s="146">
        <f t="shared" si="41"/>
        <v>0.16666666666666657</v>
      </c>
      <c r="E326" s="170">
        <f t="shared" si="44"/>
        <v>45.180399673560871</v>
      </c>
      <c r="F326" s="145">
        <f t="shared" si="45"/>
        <v>1066.1917496879935</v>
      </c>
    </row>
    <row r="327" spans="1:6">
      <c r="A327" s="141" t="s">
        <v>127</v>
      </c>
      <c r="B327" s="145">
        <f t="shared" si="42"/>
        <v>319.21015964908361</v>
      </c>
      <c r="C327" s="145">
        <f t="shared" si="43"/>
        <v>2247.9564874759913</v>
      </c>
      <c r="D327" s="146">
        <f t="shared" si="41"/>
        <v>8.3333333333333245E-2</v>
      </c>
      <c r="E327" s="170">
        <f t="shared" si="44"/>
        <v>26.600846637423604</v>
      </c>
      <c r="F327" s="145">
        <f t="shared" si="45"/>
        <v>1092.792596325417</v>
      </c>
    </row>
    <row r="328" spans="1:6">
      <c r="A328" s="141" t="s">
        <v>128</v>
      </c>
      <c r="B328" s="145">
        <f t="shared" si="42"/>
        <v>333.70557431931832</v>
      </c>
      <c r="C328" s="145">
        <f t="shared" si="43"/>
        <v>2581.6620617953095</v>
      </c>
      <c r="D328" s="146">
        <f t="shared" si="41"/>
        <v>0</v>
      </c>
      <c r="E328" s="170">
        <f t="shared" si="44"/>
        <v>0</v>
      </c>
      <c r="F328" s="242">
        <f t="shared" si="45"/>
        <v>1092.792596325417</v>
      </c>
    </row>
    <row r="329" spans="1:6" ht="15" thickBot="1">
      <c r="A329" s="141" t="s">
        <v>199</v>
      </c>
      <c r="B329" s="150">
        <f>SUM(B316:B328)</f>
        <v>2581.6620617953095</v>
      </c>
      <c r="D329" s="696" t="s">
        <v>192</v>
      </c>
      <c r="E329" s="696"/>
      <c r="F329" s="142">
        <f>SUM(F316:F328)/13</f>
        <v>799.97418226106902</v>
      </c>
    </row>
    <row r="330" spans="1:6" ht="15" thickTop="1">
      <c r="A330" s="141"/>
      <c r="B330" s="145"/>
      <c r="C330" s="145"/>
      <c r="D330" s="146"/>
      <c r="E330" s="170"/>
      <c r="F330" s="242"/>
    </row>
    <row r="331" spans="1:6" collapsed="1">
      <c r="A331" s="253" t="s">
        <v>188</v>
      </c>
      <c r="B331" s="170">
        <f>+F250</f>
        <v>446.69544077678239</v>
      </c>
      <c r="C331" s="170">
        <f>+C328+B331</f>
        <v>3028.357502572092</v>
      </c>
      <c r="D331" s="262">
        <f>D317</f>
        <v>0.91666666666666663</v>
      </c>
      <c r="E331" s="170">
        <f t="shared" si="44"/>
        <v>409.47082071205051</v>
      </c>
      <c r="F331" s="263">
        <f>+F328+E331</f>
        <v>1502.2634170374674</v>
      </c>
    </row>
    <row r="332" spans="1:6">
      <c r="A332" s="141" t="s">
        <v>119</v>
      </c>
      <c r="B332" s="145">
        <f>+F251</f>
        <v>458.44424615465419</v>
      </c>
      <c r="C332" s="145">
        <f t="shared" si="43"/>
        <v>3486.8017487267462</v>
      </c>
      <c r="D332" s="146">
        <f t="shared" ref="D332:D343" si="46">D331-(1/12)</f>
        <v>0.83333333333333326</v>
      </c>
      <c r="E332" s="170">
        <f t="shared" si="44"/>
        <v>382.03687179554515</v>
      </c>
      <c r="F332" s="242">
        <f t="shared" si="45"/>
        <v>1884.3002888330125</v>
      </c>
    </row>
    <row r="333" spans="1:6">
      <c r="A333" s="141" t="s">
        <v>120</v>
      </c>
      <c r="B333" s="145">
        <f>+F252</f>
        <v>465.93053219261998</v>
      </c>
      <c r="C333" s="145">
        <f t="shared" si="43"/>
        <v>3952.7322809193661</v>
      </c>
      <c r="D333" s="146">
        <f t="shared" si="46"/>
        <v>0.74999999999999989</v>
      </c>
      <c r="E333" s="170">
        <f t="shared" si="44"/>
        <v>349.44789914446494</v>
      </c>
      <c r="F333" s="242">
        <f t="shared" si="45"/>
        <v>2233.7481879774773</v>
      </c>
    </row>
    <row r="334" spans="1:6">
      <c r="A334" s="141" t="s">
        <v>121</v>
      </c>
      <c r="B334" s="145">
        <f>+F253</f>
        <v>510.23060759260795</v>
      </c>
      <c r="C334" s="145">
        <f t="shared" si="43"/>
        <v>4462.9628885119737</v>
      </c>
      <c r="D334" s="146">
        <f t="shared" si="46"/>
        <v>0.66666666666666652</v>
      </c>
      <c r="E334" s="170">
        <f t="shared" si="44"/>
        <v>340.15373839507191</v>
      </c>
      <c r="F334" s="242">
        <f t="shared" si="45"/>
        <v>2573.901926372549</v>
      </c>
    </row>
    <row r="335" spans="1:6">
      <c r="A335" s="141"/>
      <c r="B335" s="145"/>
      <c r="C335" s="145"/>
      <c r="D335" s="146"/>
      <c r="E335" s="170"/>
      <c r="F335" s="242"/>
    </row>
    <row r="336" spans="1:6">
      <c r="A336" s="141" t="s">
        <v>75</v>
      </c>
      <c r="B336" s="145">
        <f>+F255</f>
        <v>555.89084047660742</v>
      </c>
      <c r="C336" s="145">
        <f>+C334+B336</f>
        <v>5018.8537289885808</v>
      </c>
      <c r="D336" s="146">
        <f>D334-(1/12)</f>
        <v>0.58333333333333315</v>
      </c>
      <c r="E336" s="170">
        <f t="shared" si="44"/>
        <v>324.26965694468754</v>
      </c>
      <c r="F336" s="242">
        <f>+F334+E336</f>
        <v>2898.1715833172366</v>
      </c>
    </row>
    <row r="337" spans="1:7">
      <c r="A337" s="141" t="s">
        <v>211</v>
      </c>
      <c r="B337" s="280">
        <f>'Tehachapi Transfer'!F6</f>
        <v>-32.996919998020978</v>
      </c>
      <c r="C337" s="280">
        <f>B337</f>
        <v>-32.996919998020978</v>
      </c>
      <c r="D337" s="146">
        <f>D336</f>
        <v>0.58333333333333315</v>
      </c>
      <c r="E337" s="282">
        <f>D337*B337</f>
        <v>-19.248203332178896</v>
      </c>
      <c r="F337" s="282">
        <f>E337</f>
        <v>-19.248203332178896</v>
      </c>
    </row>
    <row r="338" spans="1:7">
      <c r="A338" s="141" t="s">
        <v>212</v>
      </c>
      <c r="B338" s="145">
        <f>SUM(B336:B337)</f>
        <v>522.89392047858644</v>
      </c>
      <c r="C338" s="145">
        <f>SUM(C336:C337)</f>
        <v>4985.8568089905602</v>
      </c>
      <c r="D338" s="146">
        <f>D337</f>
        <v>0.58333333333333315</v>
      </c>
      <c r="E338" s="145">
        <f>SUM(E336:E337)</f>
        <v>305.02145361250865</v>
      </c>
      <c r="F338" s="145">
        <f>SUM(F336:F337)</f>
        <v>2878.9233799850576</v>
      </c>
    </row>
    <row r="339" spans="1:7">
      <c r="A339" s="141"/>
      <c r="B339" s="145"/>
      <c r="C339" s="145"/>
      <c r="D339" s="146"/>
      <c r="E339" s="170"/>
      <c r="F339" s="242"/>
    </row>
    <row r="340" spans="1:7">
      <c r="A340" s="141" t="s">
        <v>122</v>
      </c>
      <c r="B340" s="145">
        <f>+F259</f>
        <v>616.55560315331684</v>
      </c>
      <c r="C340" s="145">
        <f>+C338+B340</f>
        <v>5602.4124121438772</v>
      </c>
      <c r="D340" s="146">
        <f>D336-(1/12)</f>
        <v>0.49999999999999983</v>
      </c>
      <c r="E340" s="170">
        <f t="shared" si="44"/>
        <v>308.27780157665831</v>
      </c>
      <c r="F340" s="242">
        <f>+F338+E340</f>
        <v>3187.2011815617161</v>
      </c>
    </row>
    <row r="341" spans="1:7">
      <c r="A341" s="141" t="s">
        <v>123</v>
      </c>
      <c r="B341" s="145">
        <f>+F260</f>
        <v>674.05869453304433</v>
      </c>
      <c r="C341" s="145">
        <f t="shared" si="43"/>
        <v>6276.4711066769214</v>
      </c>
      <c r="D341" s="146">
        <f t="shared" si="46"/>
        <v>0.41666666666666652</v>
      </c>
      <c r="E341" s="170">
        <f t="shared" si="44"/>
        <v>280.85778938876837</v>
      </c>
      <c r="F341" s="242">
        <f t="shared" si="45"/>
        <v>3468.0589709504843</v>
      </c>
    </row>
    <row r="342" spans="1:7">
      <c r="A342" s="141" t="s">
        <v>124</v>
      </c>
      <c r="B342" s="145">
        <f>+F261</f>
        <v>730.86183985904438</v>
      </c>
      <c r="C342" s="145">
        <f t="shared" si="43"/>
        <v>7007.3329465359657</v>
      </c>
      <c r="D342" s="146">
        <f t="shared" si="46"/>
        <v>0.3333333333333332</v>
      </c>
      <c r="E342" s="170">
        <f t="shared" si="44"/>
        <v>243.62061328634803</v>
      </c>
      <c r="F342" s="242">
        <f t="shared" si="45"/>
        <v>3711.6795842368324</v>
      </c>
    </row>
    <row r="343" spans="1:7">
      <c r="A343" s="141" t="s">
        <v>125</v>
      </c>
      <c r="B343" s="145">
        <f>+F262</f>
        <v>751.56710375638352</v>
      </c>
      <c r="C343" s="145">
        <f>+C342+B343</f>
        <v>7758.9000502923491</v>
      </c>
      <c r="D343" s="146">
        <f t="shared" si="46"/>
        <v>0.24999999999999989</v>
      </c>
      <c r="E343" s="170">
        <f t="shared" si="44"/>
        <v>187.89177593909579</v>
      </c>
      <c r="F343" s="242">
        <f t="shared" si="45"/>
        <v>3899.571360175928</v>
      </c>
    </row>
    <row r="344" spans="1:7">
      <c r="A344" s="141"/>
      <c r="B344" s="145"/>
      <c r="C344" s="145"/>
      <c r="D344" s="146"/>
      <c r="E344" s="170"/>
      <c r="F344" s="242"/>
    </row>
    <row r="345" spans="1:7">
      <c r="A345" s="141" t="s">
        <v>126</v>
      </c>
      <c r="B345" s="145">
        <f>+F264</f>
        <v>800.30504218815565</v>
      </c>
      <c r="C345" s="145">
        <f>+C343+B345</f>
        <v>8559.2050924805044</v>
      </c>
      <c r="D345" s="146">
        <f>D343-(1/12)</f>
        <v>0.16666666666666657</v>
      </c>
      <c r="E345" s="170">
        <f t="shared" si="44"/>
        <v>133.38417369802588</v>
      </c>
      <c r="F345" s="242">
        <f>+F343+E345</f>
        <v>4032.9555338739538</v>
      </c>
    </row>
    <row r="346" spans="1:7">
      <c r="A346" s="141" t="s">
        <v>221</v>
      </c>
      <c r="B346" s="280">
        <f>'Tehachapi Transfer'!F7</f>
        <v>-2818.5892370986749</v>
      </c>
      <c r="C346" s="280">
        <f>B346</f>
        <v>-2818.5892370986749</v>
      </c>
      <c r="D346" s="146">
        <f>D345</f>
        <v>0.16666666666666657</v>
      </c>
      <c r="E346" s="282">
        <f>D346*B346</f>
        <v>-469.7648728497789</v>
      </c>
      <c r="F346" s="282">
        <f>E346</f>
        <v>-469.7648728497789</v>
      </c>
      <c r="G346" s="167"/>
    </row>
    <row r="347" spans="1:7">
      <c r="A347" s="141" t="s">
        <v>222</v>
      </c>
      <c r="B347" s="289">
        <f>SUM(B345:B346)</f>
        <v>-2018.2841949105191</v>
      </c>
      <c r="C347" s="289">
        <f>SUM(C345:C346)</f>
        <v>5740.6158553818295</v>
      </c>
      <c r="D347" s="146">
        <f>D346</f>
        <v>0.16666666666666657</v>
      </c>
      <c r="E347" s="289">
        <f>SUM(E345:E346)</f>
        <v>-336.38069915175299</v>
      </c>
      <c r="F347" s="289">
        <f>SUM(F345:F346)</f>
        <v>3563.1906610241749</v>
      </c>
    </row>
    <row r="348" spans="1:7">
      <c r="A348" s="141"/>
      <c r="B348" s="145"/>
      <c r="C348" s="145"/>
      <c r="D348" s="146"/>
      <c r="E348" s="170"/>
      <c r="F348" s="242"/>
    </row>
    <row r="349" spans="1:7">
      <c r="A349" s="141" t="s">
        <v>127</v>
      </c>
      <c r="B349" s="145">
        <f>+F268</f>
        <v>537.62671895439985</v>
      </c>
      <c r="C349" s="170">
        <f>+C347+B349</f>
        <v>6278.2425743362292</v>
      </c>
      <c r="D349" s="146">
        <f>D345-(1/12)</f>
        <v>8.3333333333333245E-2</v>
      </c>
      <c r="E349" s="170">
        <f t="shared" si="44"/>
        <v>44.802226579533276</v>
      </c>
      <c r="F349" s="242">
        <f>+F347+E349</f>
        <v>3607.9928876037084</v>
      </c>
    </row>
    <row r="350" spans="1:7">
      <c r="A350" s="141" t="s">
        <v>223</v>
      </c>
      <c r="B350" s="280">
        <f>'Tehachapi Transfer'!F8</f>
        <v>-2031.4580982802941</v>
      </c>
      <c r="C350" s="280">
        <f>B350</f>
        <v>-2031.4580982802941</v>
      </c>
      <c r="D350" s="146">
        <f>D349</f>
        <v>8.3333333333333245E-2</v>
      </c>
      <c r="E350" s="282">
        <f>D350*B350</f>
        <v>-169.288174856691</v>
      </c>
      <c r="F350" s="282">
        <f>E350</f>
        <v>-169.288174856691</v>
      </c>
    </row>
    <row r="351" spans="1:7">
      <c r="A351" s="141" t="s">
        <v>224</v>
      </c>
      <c r="B351" s="289">
        <f>SUM(B349:B350)</f>
        <v>-1493.8313793258942</v>
      </c>
      <c r="C351" s="289">
        <f>SUM(C349:C350)</f>
        <v>4246.7844760559346</v>
      </c>
      <c r="D351" s="146">
        <f>D350</f>
        <v>8.3333333333333245E-2</v>
      </c>
      <c r="E351" s="289">
        <f>SUM(E349:E350)</f>
        <v>-124.48594827715772</v>
      </c>
      <c r="F351" s="289">
        <f>SUM(F349:F350)</f>
        <v>3438.7047127470173</v>
      </c>
    </row>
    <row r="352" spans="1:7">
      <c r="A352" s="141"/>
      <c r="B352" s="145"/>
      <c r="C352" s="145"/>
      <c r="D352" s="146"/>
      <c r="E352" s="170"/>
      <c r="F352" s="242"/>
    </row>
    <row r="353" spans="1:7">
      <c r="A353" s="141" t="s">
        <v>189</v>
      </c>
      <c r="B353" s="145">
        <f>+F272</f>
        <v>363.67672147104884</v>
      </c>
      <c r="C353" s="242">
        <f>+C351+B353</f>
        <v>4610.4611975269836</v>
      </c>
      <c r="D353" s="146">
        <f>D349-(1/12)</f>
        <v>0</v>
      </c>
      <c r="E353" s="170">
        <f>+B353*D353</f>
        <v>0</v>
      </c>
      <c r="F353" s="242">
        <f>+F351+E353</f>
        <v>3438.7047127470173</v>
      </c>
    </row>
    <row r="354" spans="1:7">
      <c r="A354" s="141" t="s">
        <v>229</v>
      </c>
      <c r="B354" s="281">
        <f>'Tehachapi Transfer'!F9</f>
        <v>-1606.2866393591303</v>
      </c>
      <c r="C354" s="280">
        <f>B354</f>
        <v>-1606.2866393591303</v>
      </c>
      <c r="D354" s="146">
        <f>D350-(1/12)</f>
        <v>0</v>
      </c>
      <c r="E354" s="282">
        <f>D354*B354</f>
        <v>0</v>
      </c>
      <c r="F354" s="282">
        <f>E354</f>
        <v>0</v>
      </c>
    </row>
    <row r="355" spans="1:7">
      <c r="A355" s="141" t="s">
        <v>230</v>
      </c>
      <c r="B355" s="289">
        <f>SUM(B353:B354)</f>
        <v>-1242.6099178880813</v>
      </c>
      <c r="C355" s="289">
        <f>SUM(C353:C354)</f>
        <v>3004.1745581678533</v>
      </c>
      <c r="D355" s="300"/>
      <c r="E355" s="289">
        <f>SUM(E353:E354)</f>
        <v>0</v>
      </c>
      <c r="F355" s="289">
        <f>SUM(F353:F354)</f>
        <v>3438.7047127470173</v>
      </c>
    </row>
    <row r="356" spans="1:7">
      <c r="A356" s="141"/>
      <c r="B356" s="145"/>
      <c r="C356" s="242"/>
      <c r="D356" s="146"/>
      <c r="E356" s="170"/>
      <c r="F356" s="242"/>
    </row>
    <row r="357" spans="1:7" ht="15" thickBot="1">
      <c r="A357" s="346" t="s">
        <v>284</v>
      </c>
      <c r="B357" s="150">
        <f>SUM(B331:B334)+B338+SUM(B340:B343)+B347+B351+B355</f>
        <v>422.512496372545</v>
      </c>
      <c r="D357" s="695" t="s">
        <v>285</v>
      </c>
      <c r="E357" s="696"/>
      <c r="F357" s="142">
        <f>(SUM(F331:F334)+F338+SUM(F340:F343)+F347+F351+F355)/12</f>
        <v>2981.6873653040607</v>
      </c>
    </row>
    <row r="358" spans="1:7" ht="15" thickTop="1">
      <c r="A358" s="149"/>
    </row>
    <row r="359" spans="1:7" s="167" customFormat="1">
      <c r="A359" s="253" t="s">
        <v>225</v>
      </c>
      <c r="B359" s="170">
        <f t="shared" ref="B359:B370" si="47">+F278</f>
        <v>239.93484674708662</v>
      </c>
      <c r="C359" s="170">
        <f>+C355+B359</f>
        <v>3244.1094049149401</v>
      </c>
      <c r="D359" s="262">
        <f>D317</f>
        <v>0.91666666666666663</v>
      </c>
      <c r="E359" s="170">
        <f>+B359*D359</f>
        <v>219.9402761848294</v>
      </c>
      <c r="F359" s="170">
        <f>+F355+E359</f>
        <v>3658.6449889318469</v>
      </c>
    </row>
    <row r="360" spans="1:7">
      <c r="A360" s="141" t="s">
        <v>119</v>
      </c>
      <c r="B360" s="170">
        <f t="shared" si="47"/>
        <v>266.99917604589433</v>
      </c>
      <c r="C360" s="170">
        <f t="shared" ref="C360:C370" si="48">+C359+B360</f>
        <v>3511.1085809608344</v>
      </c>
      <c r="D360" s="262">
        <f t="shared" ref="D360:D370" si="49">D359-(1/12)</f>
        <v>0.83333333333333326</v>
      </c>
      <c r="E360" s="170">
        <f t="shared" ref="E360:E370" si="50">+B360*D360</f>
        <v>222.49931337157858</v>
      </c>
      <c r="F360" s="170">
        <f>+F359+E360</f>
        <v>3881.1443023034253</v>
      </c>
    </row>
    <row r="361" spans="1:7" s="167" customFormat="1">
      <c r="A361" s="141" t="s">
        <v>120</v>
      </c>
      <c r="B361" s="170">
        <f t="shared" si="47"/>
        <v>314.40267783438333</v>
      </c>
      <c r="C361" s="170">
        <f t="shared" si="48"/>
        <v>3825.5112587952176</v>
      </c>
      <c r="D361" s="262">
        <f t="shared" si="49"/>
        <v>0.74999999999999989</v>
      </c>
      <c r="E361" s="170">
        <f t="shared" si="50"/>
        <v>235.80200837578747</v>
      </c>
      <c r="F361" s="170">
        <f t="shared" ref="F361:F370" si="51">+F360+E361</f>
        <v>4116.9463106792127</v>
      </c>
      <c r="G361" s="135"/>
    </row>
    <row r="362" spans="1:7" s="167" customFormat="1">
      <c r="A362" s="141" t="s">
        <v>121</v>
      </c>
      <c r="B362" s="170">
        <f t="shared" si="47"/>
        <v>348.18554522664579</v>
      </c>
      <c r="C362" s="170">
        <f t="shared" si="48"/>
        <v>4173.6968040218635</v>
      </c>
      <c r="D362" s="262">
        <f t="shared" si="49"/>
        <v>0.66666666666666652</v>
      </c>
      <c r="E362" s="170">
        <f t="shared" si="50"/>
        <v>232.1236968177638</v>
      </c>
      <c r="F362" s="170">
        <f t="shared" si="51"/>
        <v>4349.0700074969764</v>
      </c>
    </row>
    <row r="363" spans="1:7">
      <c r="A363" s="141" t="s">
        <v>75</v>
      </c>
      <c r="B363" s="170">
        <f t="shared" si="47"/>
        <v>408.44399786357621</v>
      </c>
      <c r="C363" s="170">
        <f t="shared" si="48"/>
        <v>4582.1408018854399</v>
      </c>
      <c r="D363" s="262">
        <f t="shared" si="49"/>
        <v>0.58333333333333315</v>
      </c>
      <c r="E363" s="170">
        <f t="shared" si="50"/>
        <v>238.25899875375271</v>
      </c>
      <c r="F363" s="170">
        <f t="shared" si="51"/>
        <v>4587.3290062507294</v>
      </c>
    </row>
    <row r="364" spans="1:7">
      <c r="A364" s="141" t="s">
        <v>122</v>
      </c>
      <c r="B364" s="170">
        <f t="shared" si="47"/>
        <v>479.27886120107399</v>
      </c>
      <c r="C364" s="170">
        <f>+C363+B364</f>
        <v>5061.4196630865135</v>
      </c>
      <c r="D364" s="262">
        <f t="shared" si="49"/>
        <v>0.49999999999999983</v>
      </c>
      <c r="E364" s="170">
        <f t="shared" si="50"/>
        <v>239.63943060053691</v>
      </c>
      <c r="F364" s="170">
        <f t="shared" si="51"/>
        <v>4826.9684368512662</v>
      </c>
    </row>
    <row r="365" spans="1:7">
      <c r="A365" s="141" t="s">
        <v>123</v>
      </c>
      <c r="B365" s="170">
        <f t="shared" si="47"/>
        <v>533.98525048566285</v>
      </c>
      <c r="C365" s="170">
        <f t="shared" si="48"/>
        <v>5595.4049135721762</v>
      </c>
      <c r="D365" s="262">
        <f t="shared" si="49"/>
        <v>0.41666666666666652</v>
      </c>
      <c r="E365" s="170">
        <f t="shared" si="50"/>
        <v>222.49385436902611</v>
      </c>
      <c r="F365" s="170">
        <f t="shared" si="51"/>
        <v>5049.4622912202922</v>
      </c>
    </row>
    <row r="366" spans="1:7">
      <c r="A366" s="141" t="s">
        <v>124</v>
      </c>
      <c r="B366" s="170">
        <f t="shared" si="47"/>
        <v>655.65667158719236</v>
      </c>
      <c r="C366" s="170">
        <f t="shared" si="48"/>
        <v>6251.0615851593684</v>
      </c>
      <c r="D366" s="262">
        <f t="shared" si="49"/>
        <v>0.3333333333333332</v>
      </c>
      <c r="E366" s="170">
        <f t="shared" si="50"/>
        <v>218.55222386239737</v>
      </c>
      <c r="F366" s="170">
        <f t="shared" si="51"/>
        <v>5268.0145150826893</v>
      </c>
    </row>
    <row r="367" spans="1:7">
      <c r="A367" s="253" t="s">
        <v>125</v>
      </c>
      <c r="B367" s="170">
        <f t="shared" si="47"/>
        <v>734.39283351420909</v>
      </c>
      <c r="C367" s="170">
        <f t="shared" si="48"/>
        <v>6985.4544186735775</v>
      </c>
      <c r="D367" s="262">
        <f t="shared" si="49"/>
        <v>0.24999999999999989</v>
      </c>
      <c r="E367" s="170">
        <f t="shared" si="50"/>
        <v>183.59820837855219</v>
      </c>
      <c r="F367" s="170">
        <f t="shared" si="51"/>
        <v>5451.6127234612413</v>
      </c>
    </row>
    <row r="368" spans="1:7" collapsed="1">
      <c r="A368" s="141" t="s">
        <v>126</v>
      </c>
      <c r="B368" s="170">
        <f t="shared" si="47"/>
        <v>808.72325802451223</v>
      </c>
      <c r="C368" s="170">
        <f t="shared" si="48"/>
        <v>7794.1776766980893</v>
      </c>
      <c r="D368" s="262">
        <f t="shared" si="49"/>
        <v>0.16666666666666657</v>
      </c>
      <c r="E368" s="170">
        <f t="shared" si="50"/>
        <v>134.78720967075196</v>
      </c>
      <c r="F368" s="170">
        <f t="shared" si="51"/>
        <v>5586.3999331319937</v>
      </c>
      <c r="G368" s="167"/>
    </row>
    <row r="369" spans="1:6">
      <c r="A369" s="141" t="s">
        <v>127</v>
      </c>
      <c r="B369" s="170">
        <f t="shared" si="47"/>
        <v>893.7679324877231</v>
      </c>
      <c r="C369" s="170">
        <f t="shared" si="48"/>
        <v>8687.9456091858119</v>
      </c>
      <c r="D369" s="262">
        <f t="shared" si="49"/>
        <v>8.3333333333333245E-2</v>
      </c>
      <c r="E369" s="170">
        <f t="shared" si="50"/>
        <v>74.480661040643511</v>
      </c>
      <c r="F369" s="170">
        <f t="shared" si="51"/>
        <v>5660.8805941726368</v>
      </c>
    </row>
    <row r="370" spans="1:6">
      <c r="A370" s="141" t="s">
        <v>226</v>
      </c>
      <c r="B370" s="170">
        <f t="shared" si="47"/>
        <v>1016.683902968555</v>
      </c>
      <c r="C370" s="170">
        <f t="shared" si="48"/>
        <v>9704.6295121543662</v>
      </c>
      <c r="D370" s="262">
        <f t="shared" si="49"/>
        <v>0</v>
      </c>
      <c r="E370" s="170">
        <f t="shared" si="50"/>
        <v>0</v>
      </c>
      <c r="F370" s="263">
        <f t="shared" si="51"/>
        <v>5660.8805941726368</v>
      </c>
    </row>
    <row r="371" spans="1:6" ht="15" thickBot="1">
      <c r="A371" s="346" t="s">
        <v>284</v>
      </c>
      <c r="B371" s="150">
        <f>SUM(B359:B370)</f>
        <v>6700.4549539865138</v>
      </c>
      <c r="D371" s="695" t="s">
        <v>285</v>
      </c>
      <c r="E371" s="696"/>
      <c r="F371" s="142">
        <f>SUM(F359:F370)/12</f>
        <v>4841.4461419795789</v>
      </c>
    </row>
    <row r="372" spans="1:6" ht="15" thickTop="1">
      <c r="A372" s="149"/>
    </row>
    <row r="373" spans="1:6" s="167" customFormat="1">
      <c r="A373" s="347" t="s">
        <v>261</v>
      </c>
      <c r="B373" s="170">
        <f t="shared" ref="B373:B382" si="52">+F292</f>
        <v>1225.8468322041074</v>
      </c>
      <c r="C373" s="170">
        <f>+C370+B373</f>
        <v>10930.476344358474</v>
      </c>
      <c r="D373" s="262">
        <f>D359</f>
        <v>0.91666666666666663</v>
      </c>
      <c r="E373" s="170">
        <f>+B373*D373</f>
        <v>1123.6929295204318</v>
      </c>
      <c r="F373" s="170">
        <f>+F370+E373</f>
        <v>6784.5735236930686</v>
      </c>
    </row>
    <row r="374" spans="1:6" s="167" customFormat="1">
      <c r="A374" s="253" t="s">
        <v>119</v>
      </c>
      <c r="B374" s="170">
        <f t="shared" si="52"/>
        <v>1287.7383550255558</v>
      </c>
      <c r="C374" s="170">
        <f>+C373+B374</f>
        <v>12218.214699384031</v>
      </c>
      <c r="D374" s="262">
        <f t="shared" ref="D374:D382" si="53">D373-(1/12)</f>
        <v>0.83333333333333326</v>
      </c>
      <c r="E374" s="170">
        <f t="shared" ref="E374:E388" si="54">+B374*D374</f>
        <v>1073.1152958546297</v>
      </c>
      <c r="F374" s="170">
        <f t="shared" ref="F374:F382" si="55">+F373+E374</f>
        <v>7857.6888195476986</v>
      </c>
    </row>
    <row r="375" spans="1:6" s="167" customFormat="1">
      <c r="A375" s="253" t="s">
        <v>120</v>
      </c>
      <c r="B375" s="170">
        <f t="shared" si="52"/>
        <v>1385.8232120660534</v>
      </c>
      <c r="C375" s="170">
        <f>+C374+B375</f>
        <v>13604.037911450085</v>
      </c>
      <c r="D375" s="262">
        <f t="shared" si="53"/>
        <v>0.74999999999999989</v>
      </c>
      <c r="E375" s="170">
        <f t="shared" si="54"/>
        <v>1039.3674090495399</v>
      </c>
      <c r="F375" s="170">
        <f t="shared" si="55"/>
        <v>8897.0562285972392</v>
      </c>
    </row>
    <row r="376" spans="1:6" s="167" customFormat="1">
      <c r="A376" s="253" t="s">
        <v>121</v>
      </c>
      <c r="B376" s="170">
        <f t="shared" si="52"/>
        <v>1501.8094674828767</v>
      </c>
      <c r="C376" s="170">
        <f>+C375+B376</f>
        <v>15105.847378932962</v>
      </c>
      <c r="D376" s="262">
        <f t="shared" si="53"/>
        <v>0.66666666666666652</v>
      </c>
      <c r="E376" s="170">
        <f t="shared" si="54"/>
        <v>1001.2063116552509</v>
      </c>
      <c r="F376" s="170">
        <f t="shared" si="55"/>
        <v>9898.26254025249</v>
      </c>
    </row>
    <row r="377" spans="1:6" s="167" customFormat="1">
      <c r="A377" s="253" t="s">
        <v>75</v>
      </c>
      <c r="B377" s="170">
        <f t="shared" si="52"/>
        <v>1603.4783357583708</v>
      </c>
      <c r="C377" s="170">
        <f t="shared" ref="C377" si="56">+C376+B377</f>
        <v>16709.325714691331</v>
      </c>
      <c r="D377" s="262">
        <f t="shared" si="53"/>
        <v>0.58333333333333315</v>
      </c>
      <c r="E377" s="170">
        <f t="shared" si="54"/>
        <v>935.36236252571598</v>
      </c>
      <c r="F377" s="170">
        <f t="shared" si="55"/>
        <v>10833.624902778207</v>
      </c>
    </row>
    <row r="378" spans="1:6" s="167" customFormat="1">
      <c r="A378" s="253" t="s">
        <v>122</v>
      </c>
      <c r="B378" s="170">
        <f t="shared" si="52"/>
        <v>1716.9260999134663</v>
      </c>
      <c r="C378" s="170">
        <f>+C377+B378</f>
        <v>18426.251814604799</v>
      </c>
      <c r="D378" s="262">
        <f t="shared" si="53"/>
        <v>0.49999999999999983</v>
      </c>
      <c r="E378" s="170">
        <f t="shared" si="54"/>
        <v>858.46304995673279</v>
      </c>
      <c r="F378" s="170">
        <f t="shared" si="55"/>
        <v>11692.087952734939</v>
      </c>
    </row>
    <row r="379" spans="1:6" s="167" customFormat="1">
      <c r="A379" s="253" t="s">
        <v>123</v>
      </c>
      <c r="B379" s="170">
        <f t="shared" si="52"/>
        <v>1758.4364851418593</v>
      </c>
      <c r="C379" s="170">
        <f t="shared" ref="C379:C382" si="57">+C378+B379</f>
        <v>20184.688299746656</v>
      </c>
      <c r="D379" s="262">
        <f t="shared" si="53"/>
        <v>0.41666666666666652</v>
      </c>
      <c r="E379" s="170">
        <f t="shared" si="54"/>
        <v>732.68186880910775</v>
      </c>
      <c r="F379" s="170">
        <f t="shared" si="55"/>
        <v>12424.769821544047</v>
      </c>
    </row>
    <row r="380" spans="1:6" s="167" customFormat="1">
      <c r="A380" s="253" t="s">
        <v>124</v>
      </c>
      <c r="B380" s="170">
        <f t="shared" si="52"/>
        <v>1845.1203901122233</v>
      </c>
      <c r="C380" s="170">
        <f t="shared" si="57"/>
        <v>22029.808689858881</v>
      </c>
      <c r="D380" s="262">
        <f t="shared" si="53"/>
        <v>0.3333333333333332</v>
      </c>
      <c r="E380" s="170">
        <f t="shared" si="54"/>
        <v>615.04013003740749</v>
      </c>
      <c r="F380" s="170">
        <f t="shared" si="55"/>
        <v>13039.809951581454</v>
      </c>
    </row>
    <row r="381" spans="1:6" s="167" customFormat="1">
      <c r="A381" s="253" t="s">
        <v>125</v>
      </c>
      <c r="B381" s="170">
        <f t="shared" si="52"/>
        <v>1926.9080532288704</v>
      </c>
      <c r="C381" s="170">
        <f t="shared" si="57"/>
        <v>23956.716743087753</v>
      </c>
      <c r="D381" s="262">
        <f t="shared" si="53"/>
        <v>0.24999999999999989</v>
      </c>
      <c r="E381" s="170">
        <f t="shared" si="54"/>
        <v>481.72701330721736</v>
      </c>
      <c r="F381" s="170">
        <f t="shared" si="55"/>
        <v>13521.536964888672</v>
      </c>
    </row>
    <row r="382" spans="1:6" s="167" customFormat="1">
      <c r="A382" s="253" t="s">
        <v>126</v>
      </c>
      <c r="B382" s="170">
        <f t="shared" si="52"/>
        <v>2044.6117687746146</v>
      </c>
      <c r="C382" s="170">
        <f t="shared" si="57"/>
        <v>26001.328511862368</v>
      </c>
      <c r="D382" s="262">
        <f t="shared" si="53"/>
        <v>0.16666666666666657</v>
      </c>
      <c r="E382" s="170">
        <f t="shared" si="54"/>
        <v>340.76862812910224</v>
      </c>
      <c r="F382" s="170">
        <f t="shared" si="55"/>
        <v>13862.305593017774</v>
      </c>
    </row>
    <row r="383" spans="1:6" s="167" customFormat="1">
      <c r="A383" s="253"/>
      <c r="B383" s="170"/>
      <c r="C383" s="170"/>
      <c r="D383" s="262"/>
      <c r="E383" s="170"/>
      <c r="F383" s="170"/>
    </row>
    <row r="384" spans="1:6" s="167" customFormat="1">
      <c r="A384" s="253" t="s">
        <v>127</v>
      </c>
      <c r="B384" s="170">
        <f>+F305</f>
        <v>2138.5006918774302</v>
      </c>
      <c r="C384" s="170">
        <f>+C382+B384</f>
        <v>28139.829203739799</v>
      </c>
      <c r="D384" s="262">
        <f>D382-(1/12)</f>
        <v>8.3333333333333245E-2</v>
      </c>
      <c r="E384" s="170">
        <f t="shared" si="54"/>
        <v>178.20839098978567</v>
      </c>
      <c r="F384" s="170">
        <f>+F382+E384</f>
        <v>14040.513984007561</v>
      </c>
    </row>
    <row r="385" spans="1:7">
      <c r="A385" s="141" t="s">
        <v>223</v>
      </c>
      <c r="B385" s="281">
        <f>'Tehachapi Transfer'!F10</f>
        <v>-514.99336959882021</v>
      </c>
      <c r="C385" s="280">
        <f>B385</f>
        <v>-514.99336959882021</v>
      </c>
      <c r="D385" s="146">
        <f>D384</f>
        <v>8.3333333333333245E-2</v>
      </c>
      <c r="E385" s="282">
        <f>D385*B385</f>
        <v>-42.91611413323497</v>
      </c>
      <c r="F385" s="282">
        <f>E385</f>
        <v>-42.91611413323497</v>
      </c>
    </row>
    <row r="386" spans="1:7">
      <c r="A386" s="141" t="s">
        <v>224</v>
      </c>
      <c r="B386" s="289">
        <f>SUM(B384:B385)</f>
        <v>1623.50732227861</v>
      </c>
      <c r="C386" s="289">
        <f>SUM(C384:C385)</f>
        <v>27624.835834140977</v>
      </c>
      <c r="D386" s="146">
        <f>D385</f>
        <v>8.3333333333333245E-2</v>
      </c>
      <c r="E386" s="289">
        <f>SUM(E384:E385)</f>
        <v>135.2922768565507</v>
      </c>
      <c r="F386" s="289">
        <f>SUM(F384:F385)</f>
        <v>13997.597869874326</v>
      </c>
    </row>
    <row r="387" spans="1:7" s="167" customFormat="1">
      <c r="A387" s="253"/>
      <c r="B387" s="170"/>
      <c r="C387" s="170"/>
      <c r="D387" s="262"/>
      <c r="E387" s="170"/>
      <c r="F387" s="170"/>
    </row>
    <row r="388" spans="1:7" s="167" customFormat="1">
      <c r="A388" s="347" t="s">
        <v>262</v>
      </c>
      <c r="B388" s="170">
        <f t="shared" ref="B388" si="58">+F307</f>
        <v>2257.8191605006173</v>
      </c>
      <c r="C388" s="556">
        <f>+C386+B388</f>
        <v>29882.654994641594</v>
      </c>
      <c r="D388" s="262">
        <f>D386-(1/12)</f>
        <v>0</v>
      </c>
      <c r="E388" s="170">
        <f t="shared" si="54"/>
        <v>0</v>
      </c>
      <c r="F388" s="557">
        <f>+F386+E388</f>
        <v>13997.597869874326</v>
      </c>
    </row>
    <row r="389" spans="1:7" ht="15" thickBot="1">
      <c r="A389" s="346" t="s">
        <v>284</v>
      </c>
      <c r="B389" s="150">
        <f>SUM(B373:B382)+B386+B388</f>
        <v>20178.025482487225</v>
      </c>
      <c r="D389" s="695" t="s">
        <v>285</v>
      </c>
      <c r="E389" s="696"/>
      <c r="F389" s="142">
        <f>(SUM(F373:F382)+F386+F388)/12</f>
        <v>11400.576003198687</v>
      </c>
    </row>
    <row r="390" spans="1:7" ht="15" thickTop="1">
      <c r="A390" s="346"/>
      <c r="B390" s="242"/>
      <c r="D390" s="612"/>
      <c r="E390" s="613"/>
      <c r="F390" s="140"/>
    </row>
    <row r="391" spans="1:7">
      <c r="A391" s="346"/>
      <c r="B391" s="242"/>
      <c r="D391" s="612"/>
      <c r="E391" s="613"/>
      <c r="F391" s="140"/>
    </row>
    <row r="392" spans="1:7">
      <c r="A392" s="149"/>
    </row>
    <row r="393" spans="1:7" ht="18.75" thickBot="1">
      <c r="A393" s="690" t="s">
        <v>5</v>
      </c>
      <c r="B393" s="690"/>
      <c r="C393" s="690"/>
      <c r="D393" s="690"/>
      <c r="E393" s="690"/>
      <c r="F393" s="690"/>
    </row>
    <row r="394" spans="1:7">
      <c r="A394" s="194" t="s">
        <v>190</v>
      </c>
      <c r="B394" s="136">
        <f t="shared" ref="B394:B413" si="59">+B8</f>
        <v>6.2199999999999998E-2</v>
      </c>
      <c r="C394" s="157"/>
    </row>
    <row r="395" spans="1:7" s="167" customFormat="1">
      <c r="A395" s="194" t="s">
        <v>167</v>
      </c>
      <c r="B395" s="136">
        <f t="shared" si="59"/>
        <v>5.5E-2</v>
      </c>
      <c r="C395" s="135"/>
      <c r="D395" s="135"/>
      <c r="F395" s="135"/>
      <c r="G395" s="135"/>
    </row>
    <row r="396" spans="1:7">
      <c r="A396" s="194" t="s">
        <v>168</v>
      </c>
      <c r="B396" s="136">
        <f t="shared" si="59"/>
        <v>5.5E-2</v>
      </c>
    </row>
    <row r="397" spans="1:7">
      <c r="A397" s="194" t="s">
        <v>169</v>
      </c>
      <c r="B397" s="136">
        <f t="shared" si="59"/>
        <v>5.5E-2</v>
      </c>
    </row>
    <row r="398" spans="1:7" s="167" customFormat="1">
      <c r="A398" s="137" t="s">
        <v>134</v>
      </c>
      <c r="B398" s="156">
        <f t="shared" si="59"/>
        <v>0.40588299999999994</v>
      </c>
      <c r="C398" s="135"/>
      <c r="D398" s="135"/>
      <c r="F398" s="135"/>
      <c r="G398" s="135"/>
    </row>
    <row r="399" spans="1:7" s="167" customFormat="1">
      <c r="A399" s="194" t="s">
        <v>191</v>
      </c>
      <c r="B399" s="136">
        <f t="shared" si="59"/>
        <v>6.1600000000000002E-2</v>
      </c>
      <c r="C399" s="135"/>
      <c r="D399" s="135"/>
      <c r="F399" s="135"/>
      <c r="G399" s="135"/>
    </row>
    <row r="400" spans="1:7">
      <c r="A400" s="194" t="s">
        <v>167</v>
      </c>
      <c r="B400" s="136">
        <f t="shared" si="59"/>
        <v>6.1600000000000002E-2</v>
      </c>
    </row>
    <row r="401" spans="1:2">
      <c r="A401" s="194" t="s">
        <v>168</v>
      </c>
      <c r="B401" s="136">
        <f t="shared" si="59"/>
        <v>6.1600000000000002E-2</v>
      </c>
    </row>
    <row r="402" spans="1:2">
      <c r="A402" s="194" t="s">
        <v>169</v>
      </c>
      <c r="B402" s="136">
        <f t="shared" si="59"/>
        <v>6.1600000000000002E-2</v>
      </c>
    </row>
    <row r="403" spans="1:2">
      <c r="A403" s="137" t="s">
        <v>236</v>
      </c>
      <c r="B403" s="156">
        <f t="shared" si="59"/>
        <v>0.40669976930000001</v>
      </c>
    </row>
    <row r="404" spans="1:2">
      <c r="A404" s="194" t="s">
        <v>227</v>
      </c>
      <c r="B404" s="136">
        <f t="shared" si="59"/>
        <v>6.25E-2</v>
      </c>
    </row>
    <row r="405" spans="1:2">
      <c r="A405" s="194" t="s">
        <v>167</v>
      </c>
      <c r="B405" s="136">
        <f t="shared" si="59"/>
        <v>6.25E-2</v>
      </c>
    </row>
    <row r="406" spans="1:2">
      <c r="A406" s="194" t="s">
        <v>168</v>
      </c>
      <c r="B406" s="136">
        <f t="shared" si="59"/>
        <v>6.25E-2</v>
      </c>
    </row>
    <row r="407" spans="1:2">
      <c r="A407" s="194" t="s">
        <v>169</v>
      </c>
      <c r="B407" s="136">
        <f t="shared" si="59"/>
        <v>6.25E-2</v>
      </c>
    </row>
    <row r="408" spans="1:2">
      <c r="A408" s="394" t="s">
        <v>270</v>
      </c>
      <c r="B408" s="156">
        <f t="shared" si="59"/>
        <v>0.40720000000000001</v>
      </c>
    </row>
    <row r="409" spans="1:2" s="167" customFormat="1">
      <c r="A409" s="492" t="s">
        <v>267</v>
      </c>
      <c r="B409" s="493">
        <f t="shared" si="59"/>
        <v>6.25E-2</v>
      </c>
    </row>
    <row r="410" spans="1:2" s="167" customFormat="1">
      <c r="A410" s="319" t="s">
        <v>167</v>
      </c>
      <c r="B410" s="493">
        <f t="shared" si="59"/>
        <v>6.25E-2</v>
      </c>
    </row>
    <row r="411" spans="1:2" s="167" customFormat="1">
      <c r="A411" s="319" t="s">
        <v>168</v>
      </c>
      <c r="B411" s="493">
        <f t="shared" si="59"/>
        <v>6.25E-2</v>
      </c>
    </row>
    <row r="412" spans="1:2" s="167" customFormat="1">
      <c r="A412" s="319" t="s">
        <v>169</v>
      </c>
      <c r="B412" s="493">
        <f t="shared" si="59"/>
        <v>6.25E-2</v>
      </c>
    </row>
    <row r="413" spans="1:2" s="167" customFormat="1">
      <c r="A413" s="496" t="s">
        <v>134</v>
      </c>
      <c r="B413" s="497">
        <f t="shared" si="59"/>
        <v>0.40739999999999998</v>
      </c>
    </row>
    <row r="414" spans="1:2">
      <c r="A414" s="137"/>
      <c r="B414" s="156"/>
    </row>
    <row r="417" spans="1:7" ht="15">
      <c r="A417" s="139" t="s">
        <v>135</v>
      </c>
    </row>
    <row r="418" spans="1:7" s="167" customFormat="1" ht="60.75" customHeight="1">
      <c r="A418" s="687" t="str">
        <f>A393</f>
        <v>Rancho Vista</v>
      </c>
      <c r="B418" s="698" t="s">
        <v>179</v>
      </c>
      <c r="C418" s="698" t="s">
        <v>180</v>
      </c>
      <c r="D418" s="698" t="s">
        <v>181</v>
      </c>
      <c r="E418" s="684" t="s">
        <v>144</v>
      </c>
      <c r="F418" s="508" t="s">
        <v>136</v>
      </c>
      <c r="G418" s="611" t="s">
        <v>196</v>
      </c>
    </row>
    <row r="419" spans="1:7">
      <c r="A419" s="688"/>
      <c r="B419" s="701"/>
      <c r="C419" s="701"/>
      <c r="D419" s="702"/>
      <c r="E419" s="685"/>
      <c r="F419" s="258">
        <f>B398</f>
        <v>0.40588299999999994</v>
      </c>
      <c r="G419" s="259">
        <v>39448</v>
      </c>
    </row>
    <row r="420" spans="1:7" ht="15">
      <c r="A420" s="312"/>
      <c r="B420" s="311"/>
      <c r="C420" s="311"/>
      <c r="D420" s="314"/>
      <c r="E420" s="313"/>
      <c r="F420" s="154">
        <f>B403</f>
        <v>0.40669976930000001</v>
      </c>
      <c r="G420" s="259">
        <v>39814</v>
      </c>
    </row>
    <row r="421" spans="1:7" ht="15">
      <c r="A421" s="254"/>
      <c r="B421" s="255"/>
      <c r="C421" s="255"/>
      <c r="D421" s="256"/>
      <c r="E421" s="257"/>
      <c r="F421" s="258">
        <f>B408</f>
        <v>0.40720000000000001</v>
      </c>
      <c r="G421" s="259">
        <v>40179</v>
      </c>
    </row>
    <row r="422" spans="1:7" ht="15">
      <c r="A422" s="254"/>
      <c r="B422" s="255"/>
      <c r="C422" s="255"/>
      <c r="D422" s="256"/>
      <c r="E422" s="574"/>
      <c r="F422" s="154">
        <f>B413</f>
        <v>0.40739999999999998</v>
      </c>
      <c r="G422" s="259">
        <v>40544</v>
      </c>
    </row>
    <row r="423" spans="1:7" ht="15">
      <c r="A423" s="254"/>
      <c r="B423" s="255"/>
      <c r="C423" s="255"/>
      <c r="D423" s="256"/>
      <c r="E423" s="257"/>
      <c r="F423" s="294"/>
      <c r="G423" s="295"/>
    </row>
    <row r="424" spans="1:7">
      <c r="A424" s="141" t="s">
        <v>137</v>
      </c>
      <c r="B424" s="155"/>
    </row>
    <row r="425" spans="1:7">
      <c r="A425" s="141" t="s">
        <v>117</v>
      </c>
    </row>
    <row r="426" spans="1:7" ht="15" thickBot="1">
      <c r="A426" s="141"/>
      <c r="E426" s="168"/>
      <c r="F426" s="142"/>
    </row>
    <row r="427" spans="1:7" ht="15" thickTop="1">
      <c r="A427" s="141"/>
    </row>
    <row r="428" spans="1:7">
      <c r="A428" s="141" t="s">
        <v>117</v>
      </c>
    </row>
    <row r="429" spans="1:7">
      <c r="A429" s="141" t="s">
        <v>118</v>
      </c>
    </row>
    <row r="430" spans="1:7">
      <c r="A430" s="141" t="s">
        <v>119</v>
      </c>
      <c r="B430" s="135">
        <f>'Rancho Vista CWIP Balance'!E17-'Beg int cap'!B7</f>
        <v>30787.288249999998</v>
      </c>
      <c r="C430" s="145">
        <f>'Beg int cap'!E7</f>
        <v>1082.982</v>
      </c>
      <c r="D430" s="135">
        <f>SUM(B430:C430)</f>
        <v>31870.270249999998</v>
      </c>
      <c r="F430" s="135">
        <f>(C430*F$419)-('Beg int cap'!D20*'Def Tax'!F$419)</f>
        <v>250.62195495690415</v>
      </c>
    </row>
    <row r="431" spans="1:7">
      <c r="A431" s="141" t="s">
        <v>120</v>
      </c>
      <c r="B431" s="135">
        <f>B430+'Rancho Vista CWIP Balance'!D18</f>
        <v>65084.467430000004</v>
      </c>
      <c r="C431" s="135">
        <f>C430+E431</f>
        <v>1248.1762341291667</v>
      </c>
      <c r="D431" s="135">
        <f>SUM(B431:C431)</f>
        <v>66332.643664129166</v>
      </c>
      <c r="E431" s="167">
        <f>D430*($B$394/12)</f>
        <v>165.19423412916666</v>
      </c>
      <c r="F431" s="135">
        <f t="shared" ref="F431:F444" si="60">+E431*$F$419</f>
        <v>67.049531331048541</v>
      </c>
    </row>
    <row r="432" spans="1:7">
      <c r="A432" s="141" t="s">
        <v>121</v>
      </c>
      <c r="B432" s="135">
        <f>B431+'Rancho Vista CWIP Balance'!D19</f>
        <v>70895.070510000005</v>
      </c>
      <c r="C432" s="135">
        <f>C431+E432</f>
        <v>1552.200850923092</v>
      </c>
      <c r="D432" s="135">
        <f>SUM(B432:C432)</f>
        <v>72447.2713609231</v>
      </c>
      <c r="E432" s="167">
        <f>D431*($B$395/12)</f>
        <v>304.02461679392536</v>
      </c>
      <c r="F432" s="135">
        <f t="shared" si="60"/>
        <v>123.39842353816879</v>
      </c>
    </row>
    <row r="433" spans="1:7">
      <c r="A433" s="141" t="s">
        <v>75</v>
      </c>
      <c r="B433" s="135">
        <f>B432+'Rancho Vista CWIP Balance'!D20</f>
        <v>74464.957729999995</v>
      </c>
      <c r="C433" s="135">
        <f t="shared" ref="C433:C462" si="61">C432+E433</f>
        <v>1884.2508446606562</v>
      </c>
      <c r="D433" s="135">
        <f t="shared" ref="D433:D462" si="62">SUM(B433:C433)</f>
        <v>76349.208574660646</v>
      </c>
      <c r="E433" s="167">
        <f>D432*($B$395/12)</f>
        <v>332.04999373756419</v>
      </c>
      <c r="F433" s="135">
        <f t="shared" si="60"/>
        <v>134.77344760818374</v>
      </c>
      <c r="G433" s="167"/>
    </row>
    <row r="434" spans="1:7">
      <c r="A434" s="141" t="s">
        <v>122</v>
      </c>
      <c r="B434" s="135">
        <f>B433+'Rancho Vista CWIP Balance'!D21</f>
        <v>99857.414749999996</v>
      </c>
      <c r="C434" s="135">
        <f t="shared" si="61"/>
        <v>2234.1847172945177</v>
      </c>
      <c r="D434" s="135">
        <f t="shared" si="62"/>
        <v>102091.59946729451</v>
      </c>
      <c r="E434" s="167">
        <f>D433*($B$395/12)</f>
        <v>349.93387263386131</v>
      </c>
      <c r="F434" s="135">
        <f t="shared" si="60"/>
        <v>142.03221002624952</v>
      </c>
    </row>
    <row r="435" spans="1:7">
      <c r="A435" s="141" t="s">
        <v>123</v>
      </c>
      <c r="B435" s="135">
        <f>B434+'Rancho Vista CWIP Balance'!D22</f>
        <v>141836.58285000001</v>
      </c>
      <c r="C435" s="135">
        <f t="shared" si="61"/>
        <v>2702.1045481862843</v>
      </c>
      <c r="D435" s="135">
        <f t="shared" si="62"/>
        <v>144538.6873981863</v>
      </c>
      <c r="E435" s="167">
        <f>D434*($B$396/12)</f>
        <v>467.91983089176648</v>
      </c>
      <c r="F435" s="135">
        <f t="shared" si="60"/>
        <v>189.92070472184284</v>
      </c>
    </row>
    <row r="436" spans="1:7">
      <c r="A436" s="141"/>
    </row>
    <row r="437" spans="1:7" s="167" customFormat="1">
      <c r="A437" s="253" t="s">
        <v>124</v>
      </c>
      <c r="B437" s="167">
        <f>B435</f>
        <v>141836.58285000001</v>
      </c>
      <c r="C437" s="167">
        <f>C435+E437</f>
        <v>3364.5735320946383</v>
      </c>
      <c r="D437" s="167">
        <f>SUM(B437:C437)</f>
        <v>145201.15638209463</v>
      </c>
      <c r="E437" s="167">
        <f>D435*($B$396/12)</f>
        <v>662.46898390835383</v>
      </c>
      <c r="F437" s="167">
        <f>+E437*$F$419</f>
        <v>268.88489859567431</v>
      </c>
    </row>
    <row r="438" spans="1:7">
      <c r="A438" s="141" t="s">
        <v>216</v>
      </c>
      <c r="B438" s="280">
        <f>-'Rancho Vista Transfer'!C6</f>
        <v>-24625.118059999993</v>
      </c>
      <c r="C438" s="280">
        <f>'Rancho Vista Transfer'!J6</f>
        <v>-578.53818162283505</v>
      </c>
      <c r="D438" s="280">
        <f t="shared" si="62"/>
        <v>-25203.65624162283</v>
      </c>
      <c r="E438" s="281"/>
      <c r="F438" s="280"/>
    </row>
    <row r="439" spans="1:7">
      <c r="A439" s="141" t="s">
        <v>217</v>
      </c>
      <c r="B439" s="135">
        <f>SUM(B437:B438)</f>
        <v>117211.46479000001</v>
      </c>
      <c r="C439" s="135">
        <f>SUM(C437:C438)</f>
        <v>2786.0353504718032</v>
      </c>
      <c r="D439" s="135">
        <f>SUM(D437:D438)</f>
        <v>119997.50014047181</v>
      </c>
      <c r="E439" s="135">
        <f>SUM(E437:E438)</f>
        <v>662.46898390835383</v>
      </c>
      <c r="F439" s="135">
        <f>SUM(F437:F438)</f>
        <v>268.88489859567431</v>
      </c>
    </row>
    <row r="440" spans="1:7">
      <c r="A440" s="141"/>
    </row>
    <row r="441" spans="1:7">
      <c r="A441" s="141" t="s">
        <v>125</v>
      </c>
      <c r="B441" s="135">
        <f>B439+'Rancho Vista CWIP Balance'!D24</f>
        <v>119350.24752000002</v>
      </c>
      <c r="C441" s="135">
        <f>C439+E441</f>
        <v>3336.0238927822988</v>
      </c>
      <c r="D441" s="135">
        <f t="shared" si="62"/>
        <v>122686.27141278231</v>
      </c>
      <c r="E441" s="167">
        <f>D439*($B$396/12)</f>
        <v>549.98854231049575</v>
      </c>
      <c r="F441" s="135">
        <f t="shared" si="60"/>
        <v>223.2309995186109</v>
      </c>
    </row>
    <row r="442" spans="1:7">
      <c r="A442" s="141" t="s">
        <v>126</v>
      </c>
      <c r="B442" s="135">
        <f>B441+'Rancho Vista CWIP Balance'!D25</f>
        <v>123439.00889000001</v>
      </c>
      <c r="C442" s="135">
        <f t="shared" si="61"/>
        <v>3898.3359700908845</v>
      </c>
      <c r="D442" s="135">
        <f t="shared" si="62"/>
        <v>127337.3448600909</v>
      </c>
      <c r="E442" s="167">
        <f>D441*($B$397/12)</f>
        <v>562.31207730858557</v>
      </c>
      <c r="F442" s="135">
        <f t="shared" si="60"/>
        <v>228.23291287424061</v>
      </c>
    </row>
    <row r="443" spans="1:7">
      <c r="A443" s="141" t="s">
        <v>127</v>
      </c>
      <c r="B443" s="135">
        <f>B442+'Rancho Vista CWIP Balance'!D26</f>
        <v>137515.44292</v>
      </c>
      <c r="C443" s="135">
        <f t="shared" si="61"/>
        <v>4481.9654673663008</v>
      </c>
      <c r="D443" s="135">
        <f t="shared" si="62"/>
        <v>141997.4083873663</v>
      </c>
      <c r="E443" s="167">
        <f>D442*($B$397/12)</f>
        <v>583.62949727541661</v>
      </c>
      <c r="F443" s="135">
        <f t="shared" si="60"/>
        <v>236.88529124263789</v>
      </c>
    </row>
    <row r="444" spans="1:7">
      <c r="A444" s="141" t="s">
        <v>128</v>
      </c>
      <c r="B444" s="135">
        <f>B443+'Rancho Vista CWIP Balance'!D27</f>
        <v>151045.19999000002</v>
      </c>
      <c r="C444" s="135">
        <f t="shared" si="61"/>
        <v>5132.786922475063</v>
      </c>
      <c r="D444" s="135">
        <f t="shared" si="62"/>
        <v>156177.98691247508</v>
      </c>
      <c r="E444" s="167">
        <f>D443*($B$397/12)</f>
        <v>650.82145510876228</v>
      </c>
      <c r="F444" s="135">
        <f t="shared" si="60"/>
        <v>264.15736466390973</v>
      </c>
    </row>
    <row r="445" spans="1:7" ht="15" thickBot="1">
      <c r="A445" s="141"/>
      <c r="E445" s="168"/>
      <c r="F445" s="142"/>
    </row>
    <row r="446" spans="1:7" ht="15" thickTop="1">
      <c r="A446" s="141"/>
    </row>
    <row r="447" spans="1:7" collapsed="1">
      <c r="A447" s="253" t="s">
        <v>188</v>
      </c>
      <c r="B447" s="167">
        <f>B444+'Rancho Vista CWIP Balance'!D28</f>
        <v>153583.77720000001</v>
      </c>
      <c r="C447" s="167">
        <f>C444+E447</f>
        <v>5934.5005886257686</v>
      </c>
      <c r="D447" s="167">
        <f t="shared" si="62"/>
        <v>159518.27778862577</v>
      </c>
      <c r="E447" s="167">
        <f>D444*($B$399/12)</f>
        <v>801.71366615070542</v>
      </c>
      <c r="F447" s="167">
        <f>+E447*$F$420</f>
        <v>326.05676306814911</v>
      </c>
    </row>
    <row r="448" spans="1:7">
      <c r="A448" s="141" t="s">
        <v>119</v>
      </c>
      <c r="B448" s="135">
        <f>B447+'Rancho Vista CWIP Balance'!D29</f>
        <v>159259.24065000002</v>
      </c>
      <c r="C448" s="135">
        <f t="shared" si="61"/>
        <v>6753.361081274048</v>
      </c>
      <c r="D448" s="135">
        <f t="shared" si="62"/>
        <v>166012.60173127407</v>
      </c>
      <c r="E448" s="167">
        <f>D447*($B$399/12)</f>
        <v>818.86049264827898</v>
      </c>
      <c r="F448" s="167">
        <f t="shared" ref="F448:F462" si="63">+E448*$F$420</f>
        <v>333.03037344893943</v>
      </c>
    </row>
    <row r="449" spans="1:6">
      <c r="A449" s="141" t="s">
        <v>120</v>
      </c>
      <c r="B449" s="135">
        <f>B448+'Rancho Vista CWIP Balance'!D30</f>
        <v>159579.75723000002</v>
      </c>
      <c r="C449" s="135">
        <f t="shared" si="61"/>
        <v>7605.5591034945883</v>
      </c>
      <c r="D449" s="135">
        <f t="shared" si="62"/>
        <v>167185.31633349461</v>
      </c>
      <c r="E449" s="167">
        <f>D448*($B$399/12)</f>
        <v>852.19802222054022</v>
      </c>
      <c r="F449" s="167">
        <f t="shared" si="63"/>
        <v>346.58873903501001</v>
      </c>
    </row>
    <row r="450" spans="1:6">
      <c r="A450" s="141" t="s">
        <v>121</v>
      </c>
      <c r="B450" s="135">
        <f>B449+'Rancho Vista CWIP Balance'!D31</f>
        <v>171537.93426000001</v>
      </c>
      <c r="C450" s="135">
        <f t="shared" si="61"/>
        <v>8463.7770606731938</v>
      </c>
      <c r="D450" s="135">
        <f t="shared" si="62"/>
        <v>180001.7113206732</v>
      </c>
      <c r="E450" s="167">
        <f>D449*($B$400/12)</f>
        <v>858.21795717860573</v>
      </c>
      <c r="F450" s="167">
        <f t="shared" si="63"/>
        <v>349.03704519365624</v>
      </c>
    </row>
    <row r="451" spans="1:6">
      <c r="A451" s="141"/>
      <c r="F451" s="167"/>
    </row>
    <row r="452" spans="1:6">
      <c r="A452" s="141" t="s">
        <v>75</v>
      </c>
      <c r="B452" s="135">
        <f>B450</f>
        <v>171537.93426000001</v>
      </c>
      <c r="C452" s="135">
        <f>C450+E452</f>
        <v>9387.7858454526504</v>
      </c>
      <c r="D452" s="135">
        <f>SUM(B452:C452)</f>
        <v>180925.72010545267</v>
      </c>
      <c r="E452" s="167">
        <f>D450*($B$400/12)</f>
        <v>924.00878477945582</v>
      </c>
      <c r="F452" s="167">
        <f>+E452*$F$420</f>
        <v>375.79415960097805</v>
      </c>
    </row>
    <row r="453" spans="1:6">
      <c r="A453" s="141" t="s">
        <v>211</v>
      </c>
      <c r="B453" s="280">
        <f>-B452</f>
        <v>-171537.93426000001</v>
      </c>
      <c r="C453" s="280">
        <f>-C452</f>
        <v>-9387.7858454526504</v>
      </c>
      <c r="D453" s="280">
        <f t="shared" si="62"/>
        <v>-180925.72010545267</v>
      </c>
      <c r="E453" s="281"/>
      <c r="F453" s="281"/>
    </row>
    <row r="454" spans="1:6">
      <c r="A454" s="141" t="s">
        <v>212</v>
      </c>
      <c r="B454" s="289">
        <f>SUM(B452:B453)</f>
        <v>0</v>
      </c>
      <c r="C454" s="289">
        <f>SUM(C452:C453)</f>
        <v>0</v>
      </c>
      <c r="D454" s="289">
        <f>SUM(D452:D453)</f>
        <v>0</v>
      </c>
      <c r="E454" s="289">
        <f>SUM(E452:E453)</f>
        <v>924.00878477945582</v>
      </c>
      <c r="F454" s="289">
        <f>SUM(F452:F453)</f>
        <v>375.79415960097805</v>
      </c>
    </row>
    <row r="455" spans="1:6">
      <c r="A455" s="141"/>
      <c r="F455" s="167"/>
    </row>
    <row r="456" spans="1:6">
      <c r="A456" s="141" t="s">
        <v>122</v>
      </c>
      <c r="B456" s="135">
        <f>B454+'Rancho Vista CWIP Balance'!D33</f>
        <v>0</v>
      </c>
      <c r="C456" s="135">
        <f>C454+E456</f>
        <v>0</v>
      </c>
      <c r="D456" s="135">
        <f t="shared" si="62"/>
        <v>0</v>
      </c>
      <c r="E456" s="167">
        <f>D454*($B$400/12)</f>
        <v>0</v>
      </c>
      <c r="F456" s="167">
        <f t="shared" si="63"/>
        <v>0</v>
      </c>
    </row>
    <row r="457" spans="1:6">
      <c r="A457" s="141" t="s">
        <v>123</v>
      </c>
      <c r="B457" s="135">
        <f>B456+'Rancho Vista CWIP Balance'!D34</f>
        <v>0</v>
      </c>
      <c r="C457" s="135">
        <f t="shared" si="61"/>
        <v>0</v>
      </c>
      <c r="D457" s="135">
        <f t="shared" si="62"/>
        <v>0</v>
      </c>
      <c r="E457" s="167">
        <f>D456*($B$401/12)</f>
        <v>0</v>
      </c>
      <c r="F457" s="167">
        <f t="shared" si="63"/>
        <v>0</v>
      </c>
    </row>
    <row r="458" spans="1:6">
      <c r="A458" s="141" t="s">
        <v>124</v>
      </c>
      <c r="B458" s="135">
        <f>B457+'Rancho Vista CWIP Balance'!D35</f>
        <v>0</v>
      </c>
      <c r="C458" s="135">
        <f t="shared" si="61"/>
        <v>0</v>
      </c>
      <c r="D458" s="135">
        <f t="shared" si="62"/>
        <v>0</v>
      </c>
      <c r="E458" s="167">
        <f>D457*($B$401/12)</f>
        <v>0</v>
      </c>
      <c r="F458" s="167">
        <f t="shared" si="63"/>
        <v>0</v>
      </c>
    </row>
    <row r="459" spans="1:6">
      <c r="A459" s="141" t="s">
        <v>125</v>
      </c>
      <c r="B459" s="135">
        <f>B458+'Rancho Vista CWIP Balance'!D36</f>
        <v>0</v>
      </c>
      <c r="C459" s="135">
        <f t="shared" si="61"/>
        <v>0</v>
      </c>
      <c r="D459" s="135">
        <f t="shared" si="62"/>
        <v>0</v>
      </c>
      <c r="E459" s="167">
        <f>D458*($B$401/12)</f>
        <v>0</v>
      </c>
      <c r="F459" s="167">
        <f t="shared" si="63"/>
        <v>0</v>
      </c>
    </row>
    <row r="460" spans="1:6">
      <c r="A460" s="141" t="s">
        <v>126</v>
      </c>
      <c r="B460" s="135">
        <f>B459+'Rancho Vista CWIP Balance'!D37</f>
        <v>0</v>
      </c>
      <c r="C460" s="135">
        <f t="shared" si="61"/>
        <v>0</v>
      </c>
      <c r="D460" s="135">
        <f t="shared" si="62"/>
        <v>0</v>
      </c>
      <c r="E460" s="167">
        <f>D459*($B$402/12)</f>
        <v>0</v>
      </c>
      <c r="F460" s="167">
        <f t="shared" si="63"/>
        <v>0</v>
      </c>
    </row>
    <row r="461" spans="1:6">
      <c r="A461" s="141" t="s">
        <v>127</v>
      </c>
      <c r="B461" s="135">
        <f>B460+'Rancho Vista CWIP Balance'!D38</f>
        <v>0</v>
      </c>
      <c r="C461" s="135">
        <f t="shared" si="61"/>
        <v>0</v>
      </c>
      <c r="D461" s="135">
        <f t="shared" si="62"/>
        <v>0</v>
      </c>
      <c r="E461" s="167">
        <f>D460*($B$402/12)</f>
        <v>0</v>
      </c>
      <c r="F461" s="167">
        <f t="shared" si="63"/>
        <v>0</v>
      </c>
    </row>
    <row r="462" spans="1:6">
      <c r="A462" s="141" t="s">
        <v>189</v>
      </c>
      <c r="B462" s="135">
        <f>B461+'Rancho Vista CWIP Balance'!D39</f>
        <v>0</v>
      </c>
      <c r="C462" s="135">
        <f t="shared" si="61"/>
        <v>0</v>
      </c>
      <c r="D462" s="135">
        <f t="shared" si="62"/>
        <v>0</v>
      </c>
      <c r="E462" s="167">
        <f>D461*($B$402/12)</f>
        <v>0</v>
      </c>
      <c r="F462" s="167">
        <f t="shared" si="63"/>
        <v>0</v>
      </c>
    </row>
    <row r="463" spans="1:6" ht="15" thickBot="1">
      <c r="E463" s="168"/>
      <c r="F463" s="142"/>
    </row>
    <row r="464" spans="1:6" ht="15" thickTop="1">
      <c r="E464" s="296"/>
      <c r="F464" s="140"/>
    </row>
    <row r="465" spans="1:6">
      <c r="E465" s="296"/>
      <c r="F465" s="140"/>
    </row>
    <row r="466" spans="1:6">
      <c r="A466" s="253" t="s">
        <v>225</v>
      </c>
      <c r="B466" s="167">
        <f>B462+'Rancho Vista CWIP Balance'!D40</f>
        <v>0</v>
      </c>
      <c r="C466" s="167">
        <f>C462+E466</f>
        <v>0</v>
      </c>
      <c r="D466" s="167">
        <f t="shared" ref="D466:D477" si="64">SUM(B466:C466)</f>
        <v>0</v>
      </c>
      <c r="E466" s="167">
        <f>D462*($B$404/12)</f>
        <v>0</v>
      </c>
      <c r="F466" s="167">
        <f t="shared" ref="F466:F477" si="65">+E466*$F$421</f>
        <v>0</v>
      </c>
    </row>
    <row r="467" spans="1:6">
      <c r="A467" s="141" t="s">
        <v>119</v>
      </c>
      <c r="B467" s="167">
        <f>B466+'Rancho Vista CWIP Balance'!D41</f>
        <v>0</v>
      </c>
      <c r="C467" s="167">
        <f t="shared" ref="C467:C476" si="66">C466+E467</f>
        <v>0</v>
      </c>
      <c r="D467" s="167">
        <f t="shared" si="64"/>
        <v>0</v>
      </c>
      <c r="E467" s="167">
        <f>D466*($B$404/12)</f>
        <v>0</v>
      </c>
      <c r="F467" s="167">
        <f t="shared" si="65"/>
        <v>0</v>
      </c>
    </row>
    <row r="468" spans="1:6">
      <c r="A468" s="141" t="s">
        <v>120</v>
      </c>
      <c r="B468" s="167">
        <f>B467+'Rancho Vista CWIP Balance'!D42</f>
        <v>0</v>
      </c>
      <c r="C468" s="167">
        <f t="shared" si="66"/>
        <v>0</v>
      </c>
      <c r="D468" s="167">
        <f t="shared" si="64"/>
        <v>0</v>
      </c>
      <c r="E468" s="167">
        <f>D467*($B$404/12)</f>
        <v>0</v>
      </c>
      <c r="F468" s="167">
        <f t="shared" si="65"/>
        <v>0</v>
      </c>
    </row>
    <row r="469" spans="1:6">
      <c r="A469" s="141" t="s">
        <v>121</v>
      </c>
      <c r="B469" s="167">
        <f>B468+'Rancho Vista CWIP Balance'!D43</f>
        <v>0</v>
      </c>
      <c r="C469" s="167">
        <f t="shared" si="66"/>
        <v>0</v>
      </c>
      <c r="D469" s="167">
        <f t="shared" si="64"/>
        <v>0</v>
      </c>
      <c r="E469" s="167">
        <f>D468*($B$405/12)</f>
        <v>0</v>
      </c>
      <c r="F469" s="167">
        <f t="shared" si="65"/>
        <v>0</v>
      </c>
    </row>
    <row r="470" spans="1:6">
      <c r="A470" s="141" t="s">
        <v>75</v>
      </c>
      <c r="B470" s="167">
        <f>B469+'Rancho Vista CWIP Balance'!D44</f>
        <v>0</v>
      </c>
      <c r="C470" s="167">
        <f t="shared" si="66"/>
        <v>0</v>
      </c>
      <c r="D470" s="167">
        <f t="shared" si="64"/>
        <v>0</v>
      </c>
      <c r="E470" s="167">
        <f>D469*($B$405/12)</f>
        <v>0</v>
      </c>
      <c r="F470" s="167">
        <f t="shared" si="65"/>
        <v>0</v>
      </c>
    </row>
    <row r="471" spans="1:6">
      <c r="A471" s="141" t="s">
        <v>122</v>
      </c>
      <c r="B471" s="167">
        <f>B470+'Rancho Vista CWIP Balance'!D45</f>
        <v>0</v>
      </c>
      <c r="C471" s="167">
        <f t="shared" si="66"/>
        <v>0</v>
      </c>
      <c r="D471" s="167">
        <f t="shared" si="64"/>
        <v>0</v>
      </c>
      <c r="E471" s="167">
        <f>D470*($B$405/12)</f>
        <v>0</v>
      </c>
      <c r="F471" s="167">
        <f t="shared" si="65"/>
        <v>0</v>
      </c>
    </row>
    <row r="472" spans="1:6">
      <c r="A472" s="141" t="s">
        <v>123</v>
      </c>
      <c r="B472" s="167">
        <f>B471+'Rancho Vista CWIP Balance'!D46</f>
        <v>0</v>
      </c>
      <c r="C472" s="167">
        <f t="shared" si="66"/>
        <v>0</v>
      </c>
      <c r="D472" s="167">
        <f t="shared" si="64"/>
        <v>0</v>
      </c>
      <c r="E472" s="167">
        <f>D471*($B$406/12)</f>
        <v>0</v>
      </c>
      <c r="F472" s="167">
        <f t="shared" si="65"/>
        <v>0</v>
      </c>
    </row>
    <row r="473" spans="1:6">
      <c r="A473" s="141" t="s">
        <v>124</v>
      </c>
      <c r="B473" s="167">
        <f>B472+'Rancho Vista CWIP Balance'!D47</f>
        <v>0</v>
      </c>
      <c r="C473" s="167">
        <f t="shared" si="66"/>
        <v>0</v>
      </c>
      <c r="D473" s="167">
        <f t="shared" si="64"/>
        <v>0</v>
      </c>
      <c r="E473" s="167">
        <f>D472*($B$406/12)</f>
        <v>0</v>
      </c>
      <c r="F473" s="167">
        <f t="shared" si="65"/>
        <v>0</v>
      </c>
    </row>
    <row r="474" spans="1:6">
      <c r="A474" s="141" t="s">
        <v>125</v>
      </c>
      <c r="B474" s="167">
        <f>B473+'Rancho Vista CWIP Balance'!D48</f>
        <v>0</v>
      </c>
      <c r="C474" s="167">
        <f t="shared" si="66"/>
        <v>0</v>
      </c>
      <c r="D474" s="167">
        <f t="shared" si="64"/>
        <v>0</v>
      </c>
      <c r="E474" s="167">
        <f>D473*($B$406/12)</f>
        <v>0</v>
      </c>
      <c r="F474" s="167">
        <f t="shared" si="65"/>
        <v>0</v>
      </c>
    </row>
    <row r="475" spans="1:6" collapsed="1">
      <c r="A475" s="141" t="s">
        <v>126</v>
      </c>
      <c r="B475" s="167">
        <f>B474+'Rancho Vista CWIP Balance'!D49</f>
        <v>0</v>
      </c>
      <c r="C475" s="167">
        <f t="shared" si="66"/>
        <v>0</v>
      </c>
      <c r="D475" s="167">
        <f t="shared" si="64"/>
        <v>0</v>
      </c>
      <c r="E475" s="167">
        <f>D474*($B$407/12)</f>
        <v>0</v>
      </c>
      <c r="F475" s="167">
        <f t="shared" si="65"/>
        <v>0</v>
      </c>
    </row>
    <row r="476" spans="1:6">
      <c r="A476" s="141" t="s">
        <v>127</v>
      </c>
      <c r="B476" s="167">
        <f>B475+'Rancho Vista CWIP Balance'!D50</f>
        <v>0</v>
      </c>
      <c r="C476" s="167">
        <f t="shared" si="66"/>
        <v>0</v>
      </c>
      <c r="D476" s="167">
        <f t="shared" si="64"/>
        <v>0</v>
      </c>
      <c r="E476" s="167">
        <f>D475*($B$407/12)</f>
        <v>0</v>
      </c>
      <c r="F476" s="167">
        <f t="shared" si="65"/>
        <v>0</v>
      </c>
    </row>
    <row r="477" spans="1:6">
      <c r="A477" s="141" t="s">
        <v>226</v>
      </c>
      <c r="B477" s="167">
        <f>B476+'Rancho Vista CWIP Balance'!D51</f>
        <v>0</v>
      </c>
      <c r="C477" s="167">
        <f>C476+E477</f>
        <v>0</v>
      </c>
      <c r="D477" s="167">
        <f t="shared" si="64"/>
        <v>0</v>
      </c>
      <c r="E477" s="167">
        <f>D476*($B$407/12)</f>
        <v>0</v>
      </c>
      <c r="F477" s="167">
        <f t="shared" si="65"/>
        <v>0</v>
      </c>
    </row>
    <row r="478" spans="1:6" ht="15" thickBot="1">
      <c r="E478" s="168"/>
      <c r="F478" s="142"/>
    </row>
    <row r="479" spans="1:6" ht="15" thickTop="1">
      <c r="E479" s="296"/>
      <c r="F479" s="140"/>
    </row>
    <row r="480" spans="1:6" s="167" customFormat="1">
      <c r="A480" s="347" t="s">
        <v>261</v>
      </c>
      <c r="B480" s="167">
        <f>B477+'Rancho Vista CWIP Balance'!D52</f>
        <v>0</v>
      </c>
      <c r="C480" s="167">
        <f>C477+E480</f>
        <v>0</v>
      </c>
      <c r="D480" s="167">
        <f t="shared" ref="D480:D491" si="67">SUM(B480:C480)</f>
        <v>0</v>
      </c>
      <c r="E480" s="167">
        <f>D477*($B$409/12)</f>
        <v>0</v>
      </c>
      <c r="F480" s="167">
        <f>+E480*$F$422</f>
        <v>0</v>
      </c>
    </row>
    <row r="481" spans="1:6" s="167" customFormat="1">
      <c r="A481" s="253" t="s">
        <v>119</v>
      </c>
      <c r="B481" s="167">
        <f>B480+'Rancho Vista CWIP Balance'!D53</f>
        <v>0</v>
      </c>
      <c r="C481" s="167">
        <f>C480+E481</f>
        <v>0</v>
      </c>
      <c r="D481" s="167">
        <f t="shared" si="67"/>
        <v>0</v>
      </c>
      <c r="E481" s="167">
        <f>D480*($B$409/12)</f>
        <v>0</v>
      </c>
      <c r="F481" s="167">
        <f t="shared" ref="F481:F491" si="68">+E481*$F$422</f>
        <v>0</v>
      </c>
    </row>
    <row r="482" spans="1:6" s="167" customFormat="1">
      <c r="A482" s="253" t="s">
        <v>120</v>
      </c>
      <c r="B482" s="167">
        <f>B481+'Rancho Vista CWIP Balance'!D54</f>
        <v>0</v>
      </c>
      <c r="C482" s="167">
        <f t="shared" ref="C482:C491" si="69">C481+E482</f>
        <v>0</v>
      </c>
      <c r="D482" s="167">
        <f t="shared" si="67"/>
        <v>0</v>
      </c>
      <c r="E482" s="167">
        <f>D481*($B$409/12)</f>
        <v>0</v>
      </c>
      <c r="F482" s="167">
        <f t="shared" si="68"/>
        <v>0</v>
      </c>
    </row>
    <row r="483" spans="1:6" s="167" customFormat="1">
      <c r="A483" s="253" t="s">
        <v>121</v>
      </c>
      <c r="B483" s="167">
        <f>B482+'Rancho Vista CWIP Balance'!D55</f>
        <v>0</v>
      </c>
      <c r="C483" s="167">
        <f t="shared" si="69"/>
        <v>0</v>
      </c>
      <c r="D483" s="167">
        <f t="shared" si="67"/>
        <v>0</v>
      </c>
      <c r="E483" s="167">
        <f>D482*($B$410/12)</f>
        <v>0</v>
      </c>
      <c r="F483" s="167">
        <f t="shared" si="68"/>
        <v>0</v>
      </c>
    </row>
    <row r="484" spans="1:6" s="167" customFormat="1">
      <c r="A484" s="253" t="s">
        <v>75</v>
      </c>
      <c r="B484" s="167">
        <f>B483+'Rancho Vista CWIP Balance'!D56</f>
        <v>0</v>
      </c>
      <c r="C484" s="167">
        <f t="shared" si="69"/>
        <v>0</v>
      </c>
      <c r="D484" s="167">
        <f t="shared" si="67"/>
        <v>0</v>
      </c>
      <c r="E484" s="167">
        <f>D483*($B$410/12)</f>
        <v>0</v>
      </c>
      <c r="F484" s="167">
        <f t="shared" si="68"/>
        <v>0</v>
      </c>
    </row>
    <row r="485" spans="1:6" s="167" customFormat="1">
      <c r="A485" s="253" t="s">
        <v>122</v>
      </c>
      <c r="B485" s="167">
        <f>B484+'Rancho Vista CWIP Balance'!D57</f>
        <v>0</v>
      </c>
      <c r="C485" s="167">
        <f t="shared" si="69"/>
        <v>0</v>
      </c>
      <c r="D485" s="167">
        <f t="shared" si="67"/>
        <v>0</v>
      </c>
      <c r="E485" s="167">
        <f>D484*($B$410/12)</f>
        <v>0</v>
      </c>
      <c r="F485" s="167">
        <f t="shared" si="68"/>
        <v>0</v>
      </c>
    </row>
    <row r="486" spans="1:6" s="167" customFormat="1">
      <c r="A486" s="253" t="s">
        <v>123</v>
      </c>
      <c r="B486" s="167">
        <f>B485+'Rancho Vista CWIP Balance'!D58</f>
        <v>0</v>
      </c>
      <c r="C486" s="167">
        <f t="shared" si="69"/>
        <v>0</v>
      </c>
      <c r="D486" s="167">
        <f t="shared" si="67"/>
        <v>0</v>
      </c>
      <c r="E486" s="167">
        <f>D485*($B$411/12)</f>
        <v>0</v>
      </c>
      <c r="F486" s="167">
        <f t="shared" si="68"/>
        <v>0</v>
      </c>
    </row>
    <row r="487" spans="1:6" s="167" customFormat="1">
      <c r="A487" s="253" t="s">
        <v>124</v>
      </c>
      <c r="B487" s="167">
        <f>B486+'Rancho Vista CWIP Balance'!D59</f>
        <v>0</v>
      </c>
      <c r="C487" s="167">
        <f t="shared" si="69"/>
        <v>0</v>
      </c>
      <c r="D487" s="167">
        <f t="shared" si="67"/>
        <v>0</v>
      </c>
      <c r="E487" s="167">
        <f>D486*($B$411/12)</f>
        <v>0</v>
      </c>
      <c r="F487" s="167">
        <f t="shared" si="68"/>
        <v>0</v>
      </c>
    </row>
    <row r="488" spans="1:6" s="167" customFormat="1">
      <c r="A488" s="253" t="s">
        <v>125</v>
      </c>
      <c r="B488" s="167">
        <f>B487+'Rancho Vista CWIP Balance'!D60</f>
        <v>0</v>
      </c>
      <c r="C488" s="167">
        <f t="shared" si="69"/>
        <v>0</v>
      </c>
      <c r="D488" s="167">
        <f t="shared" si="67"/>
        <v>0</v>
      </c>
      <c r="E488" s="167">
        <f>D487*($B$411/12)</f>
        <v>0</v>
      </c>
      <c r="F488" s="167">
        <f t="shared" si="68"/>
        <v>0</v>
      </c>
    </row>
    <row r="489" spans="1:6" s="167" customFormat="1">
      <c r="A489" s="253" t="s">
        <v>126</v>
      </c>
      <c r="B489" s="167">
        <f>B488+'Rancho Vista CWIP Balance'!D61</f>
        <v>0</v>
      </c>
      <c r="C489" s="167">
        <f t="shared" si="69"/>
        <v>0</v>
      </c>
      <c r="D489" s="167">
        <f t="shared" si="67"/>
        <v>0</v>
      </c>
      <c r="E489" s="167">
        <f>D488*($B$412/12)</f>
        <v>0</v>
      </c>
      <c r="F489" s="167">
        <f t="shared" si="68"/>
        <v>0</v>
      </c>
    </row>
    <row r="490" spans="1:6" s="167" customFormat="1">
      <c r="A490" s="253" t="s">
        <v>127</v>
      </c>
      <c r="B490" s="167">
        <f>B489+'Rancho Vista CWIP Balance'!D62</f>
        <v>0</v>
      </c>
      <c r="C490" s="167">
        <f t="shared" si="69"/>
        <v>0</v>
      </c>
      <c r="D490" s="167">
        <f t="shared" si="67"/>
        <v>0</v>
      </c>
      <c r="E490" s="167">
        <f>D489*($B$412/12)</f>
        <v>0</v>
      </c>
      <c r="F490" s="167">
        <f t="shared" si="68"/>
        <v>0</v>
      </c>
    </row>
    <row r="491" spans="1:6" s="167" customFormat="1">
      <c r="A491" s="347" t="s">
        <v>262</v>
      </c>
      <c r="B491" s="167">
        <f>B490+'Rancho Vista CWIP Balance'!D63</f>
        <v>0</v>
      </c>
      <c r="C491" s="167">
        <f t="shared" si="69"/>
        <v>0</v>
      </c>
      <c r="D491" s="167">
        <f t="shared" si="67"/>
        <v>0</v>
      </c>
      <c r="E491" s="167">
        <f>D490*($B$412/12)</f>
        <v>0</v>
      </c>
      <c r="F491" s="167">
        <f t="shared" si="68"/>
        <v>0</v>
      </c>
    </row>
    <row r="492" spans="1:6" s="167" customFormat="1" ht="15" thickBot="1">
      <c r="E492" s="168"/>
      <c r="F492" s="168"/>
    </row>
    <row r="493" spans="1:6" s="167" customFormat="1" ht="15" thickTop="1">
      <c r="E493" s="296"/>
      <c r="F493" s="296"/>
    </row>
    <row r="494" spans="1:6">
      <c r="A494" s="686"/>
      <c r="B494" s="686"/>
      <c r="C494" s="686"/>
      <c r="D494" s="686"/>
      <c r="E494" s="686"/>
      <c r="F494" s="686"/>
    </row>
    <row r="495" spans="1:6" ht="15.75">
      <c r="A495" s="686" t="s">
        <v>145</v>
      </c>
      <c r="B495" s="686"/>
      <c r="C495" s="686"/>
      <c r="D495" s="686"/>
      <c r="E495" s="686"/>
      <c r="F495" s="686"/>
    </row>
    <row r="496" spans="1:6">
      <c r="A496" s="686"/>
      <c r="B496" s="686"/>
      <c r="C496" s="686"/>
      <c r="D496" s="686"/>
      <c r="E496" s="686"/>
      <c r="F496" s="686"/>
    </row>
    <row r="498" spans="1:6" ht="15">
      <c r="A498" s="139" t="s">
        <v>138</v>
      </c>
    </row>
    <row r="499" spans="1:6" ht="28.5">
      <c r="A499" s="143" t="str">
        <f>A393</f>
        <v>Rancho Vista</v>
      </c>
      <c r="B499" s="144" t="s">
        <v>139</v>
      </c>
      <c r="C499" s="144" t="s">
        <v>140</v>
      </c>
      <c r="D499" s="144" t="s">
        <v>141</v>
      </c>
      <c r="E499" s="169" t="s">
        <v>142</v>
      </c>
      <c r="F499" s="144" t="s">
        <v>143</v>
      </c>
    </row>
    <row r="500" spans="1:6">
      <c r="A500" s="141" t="s">
        <v>117</v>
      </c>
      <c r="B500" s="135">
        <f>F430</f>
        <v>250.62195495690415</v>
      </c>
      <c r="C500" s="145">
        <f>B500</f>
        <v>250.62195495690415</v>
      </c>
      <c r="D500" s="146">
        <v>1</v>
      </c>
      <c r="E500" s="170"/>
      <c r="F500" s="145">
        <f>+C500*D500</f>
        <v>250.62195495690415</v>
      </c>
    </row>
    <row r="501" spans="1:6">
      <c r="A501" s="141" t="s">
        <v>118</v>
      </c>
      <c r="B501" s="145">
        <v>0</v>
      </c>
      <c r="C501" s="145">
        <f>+C500+B501</f>
        <v>250.62195495690415</v>
      </c>
      <c r="D501" s="146">
        <f t="shared" ref="D501:D516" si="70">D500-(1/12)</f>
        <v>0.91666666666666663</v>
      </c>
      <c r="E501" s="170">
        <f>+B501*D501</f>
        <v>0</v>
      </c>
      <c r="F501" s="145">
        <f>+F500+E501</f>
        <v>250.62195495690415</v>
      </c>
    </row>
    <row r="502" spans="1:6">
      <c r="A502" s="141" t="s">
        <v>119</v>
      </c>
      <c r="B502" s="145">
        <v>0</v>
      </c>
      <c r="C502" s="145">
        <f>+C501+B502</f>
        <v>250.62195495690415</v>
      </c>
      <c r="D502" s="146">
        <f t="shared" si="70"/>
        <v>0.83333333333333326</v>
      </c>
      <c r="E502" s="170">
        <f>+B502*D502</f>
        <v>0</v>
      </c>
      <c r="F502" s="145">
        <f>+F501+E502</f>
        <v>250.62195495690415</v>
      </c>
    </row>
    <row r="503" spans="1:6">
      <c r="A503" s="141" t="s">
        <v>120</v>
      </c>
      <c r="B503" s="145">
        <f>+F431</f>
        <v>67.049531331048541</v>
      </c>
      <c r="C503" s="145">
        <f>+C502+B503</f>
        <v>317.67148628795269</v>
      </c>
      <c r="D503" s="146">
        <f t="shared" si="70"/>
        <v>0.74999999999999989</v>
      </c>
      <c r="E503" s="170">
        <f>+B503*D503</f>
        <v>50.287148498286399</v>
      </c>
      <c r="F503" s="145">
        <f>+F502+E503</f>
        <v>300.90910345519058</v>
      </c>
    </row>
    <row r="504" spans="1:6">
      <c r="A504" s="141" t="s">
        <v>121</v>
      </c>
      <c r="B504" s="145">
        <f>+F432</f>
        <v>123.39842353816879</v>
      </c>
      <c r="C504" s="145">
        <f>+C503+B504</f>
        <v>441.06990982612149</v>
      </c>
      <c r="D504" s="146">
        <f t="shared" si="70"/>
        <v>0.66666666666666652</v>
      </c>
      <c r="E504" s="170">
        <f>+B504*D504</f>
        <v>82.265615692112505</v>
      </c>
      <c r="F504" s="145">
        <f>+F503+E504</f>
        <v>383.17471914730311</v>
      </c>
    </row>
    <row r="505" spans="1:6">
      <c r="A505" s="141" t="s">
        <v>75</v>
      </c>
      <c r="B505" s="145">
        <f>+F433</f>
        <v>134.77344760818374</v>
      </c>
      <c r="C505" s="145">
        <f t="shared" ref="C505:C534" si="71">+C504+B505</f>
        <v>575.84335743430529</v>
      </c>
      <c r="D505" s="146">
        <f t="shared" si="70"/>
        <v>0.58333333333333315</v>
      </c>
      <c r="E505" s="170">
        <f t="shared" ref="E505:E534" si="72">+B505*D505</f>
        <v>78.617844438107156</v>
      </c>
      <c r="F505" s="145">
        <f t="shared" ref="F505:F534" si="73">+F504+E505</f>
        <v>461.79256358541028</v>
      </c>
    </row>
    <row r="506" spans="1:6">
      <c r="A506" s="141" t="s">
        <v>122</v>
      </c>
      <c r="B506" s="145">
        <f>+F434</f>
        <v>142.03221002624952</v>
      </c>
      <c r="C506" s="145">
        <f t="shared" si="71"/>
        <v>717.87556746055475</v>
      </c>
      <c r="D506" s="146">
        <f t="shared" si="70"/>
        <v>0.49999999999999983</v>
      </c>
      <c r="E506" s="170">
        <f t="shared" si="72"/>
        <v>71.016105013124729</v>
      </c>
      <c r="F506" s="145">
        <f t="shared" si="73"/>
        <v>532.80866859853495</v>
      </c>
    </row>
    <row r="507" spans="1:6">
      <c r="A507" s="141" t="s">
        <v>123</v>
      </c>
      <c r="B507" s="145">
        <f>+F435</f>
        <v>189.92070472184284</v>
      </c>
      <c r="C507" s="145">
        <f t="shared" si="71"/>
        <v>907.79627218239762</v>
      </c>
      <c r="D507" s="146">
        <f t="shared" si="70"/>
        <v>0.41666666666666652</v>
      </c>
      <c r="E507" s="170">
        <f t="shared" si="72"/>
        <v>79.133626967434495</v>
      </c>
      <c r="F507" s="145">
        <f t="shared" si="73"/>
        <v>611.9422955659694</v>
      </c>
    </row>
    <row r="508" spans="1:6">
      <c r="A508" s="141"/>
      <c r="B508" s="145"/>
      <c r="C508" s="145"/>
      <c r="D508" s="146"/>
      <c r="E508" s="170"/>
      <c r="F508" s="145"/>
    </row>
    <row r="509" spans="1:6">
      <c r="A509" s="141" t="s">
        <v>124</v>
      </c>
      <c r="B509" s="145">
        <f>+F437</f>
        <v>268.88489859567431</v>
      </c>
      <c r="C509" s="145">
        <f>+C507+B509</f>
        <v>1176.6811707780719</v>
      </c>
      <c r="D509" s="146">
        <f>D507-(1/12)</f>
        <v>0.3333333333333332</v>
      </c>
      <c r="E509" s="170">
        <f t="shared" si="72"/>
        <v>89.6282995318914</v>
      </c>
      <c r="F509" s="145">
        <f>+F507+E509</f>
        <v>701.57059509786086</v>
      </c>
    </row>
    <row r="510" spans="1:6">
      <c r="A510" s="141" t="s">
        <v>216</v>
      </c>
      <c r="B510" s="280">
        <f>'Rancho Vista Transfer'!F6</f>
        <v>-202.33024435283053</v>
      </c>
      <c r="C510" s="280">
        <f>B510</f>
        <v>-202.33024435283053</v>
      </c>
      <c r="D510" s="146">
        <f>D509</f>
        <v>0.3333333333333332</v>
      </c>
      <c r="E510" s="281">
        <f t="shared" si="72"/>
        <v>-67.443414784276811</v>
      </c>
      <c r="F510" s="281">
        <f>E510</f>
        <v>-67.443414784276811</v>
      </c>
    </row>
    <row r="511" spans="1:6">
      <c r="A511" s="141" t="s">
        <v>217</v>
      </c>
      <c r="B511" s="135">
        <f>SUM(B509:B510)</f>
        <v>66.554654242843782</v>
      </c>
      <c r="C511" s="135">
        <f>SUM(C509:C510)</f>
        <v>974.35092642524137</v>
      </c>
      <c r="D511" s="146">
        <f>D510</f>
        <v>0.3333333333333332</v>
      </c>
      <c r="E511" s="135">
        <f>SUM(E509:E510)</f>
        <v>22.184884747614589</v>
      </c>
      <c r="F511" s="135">
        <f>SUM(F509:F510)</f>
        <v>634.12718031358406</v>
      </c>
    </row>
    <row r="512" spans="1:6">
      <c r="A512" s="141"/>
      <c r="B512" s="145"/>
      <c r="C512" s="145"/>
      <c r="D512" s="146"/>
      <c r="E512" s="170"/>
      <c r="F512" s="145"/>
    </row>
    <row r="513" spans="1:6">
      <c r="A513" s="253" t="s">
        <v>125</v>
      </c>
      <c r="B513" s="170">
        <f>+F441</f>
        <v>223.2309995186109</v>
      </c>
      <c r="C513" s="170">
        <f>+C511+B513</f>
        <v>1197.5819259438522</v>
      </c>
      <c r="D513" s="262">
        <f>D509-(1/12)</f>
        <v>0.24999999999999989</v>
      </c>
      <c r="E513" s="170">
        <f t="shared" si="72"/>
        <v>55.807749879652704</v>
      </c>
      <c r="F513" s="170">
        <f>+F511+E513</f>
        <v>689.93493019323682</v>
      </c>
    </row>
    <row r="514" spans="1:6">
      <c r="A514" s="141" t="s">
        <v>126</v>
      </c>
      <c r="B514" s="145">
        <f>+F442</f>
        <v>228.23291287424061</v>
      </c>
      <c r="C514" s="145">
        <f t="shared" si="71"/>
        <v>1425.8148388180928</v>
      </c>
      <c r="D514" s="146">
        <f t="shared" si="70"/>
        <v>0.16666666666666657</v>
      </c>
      <c r="E514" s="170">
        <f t="shared" si="72"/>
        <v>38.038818812373414</v>
      </c>
      <c r="F514" s="145">
        <f t="shared" si="73"/>
        <v>727.97374900561022</v>
      </c>
    </row>
    <row r="515" spans="1:6">
      <c r="A515" s="141" t="s">
        <v>127</v>
      </c>
      <c r="B515" s="145">
        <f>+F443</f>
        <v>236.88529124263789</v>
      </c>
      <c r="C515" s="145">
        <f t="shared" si="71"/>
        <v>1662.7001300607308</v>
      </c>
      <c r="D515" s="146">
        <f t="shared" si="70"/>
        <v>8.3333333333333245E-2</v>
      </c>
      <c r="E515" s="170">
        <f t="shared" si="72"/>
        <v>19.740440936886468</v>
      </c>
      <c r="F515" s="145">
        <f t="shared" si="73"/>
        <v>747.71418994249666</v>
      </c>
    </row>
    <row r="516" spans="1:6">
      <c r="A516" s="141" t="s">
        <v>128</v>
      </c>
      <c r="B516" s="145">
        <f>+F444</f>
        <v>264.15736466390973</v>
      </c>
      <c r="C516" s="145">
        <f t="shared" si="71"/>
        <v>1926.8574947246404</v>
      </c>
      <c r="D516" s="146">
        <f t="shared" si="70"/>
        <v>0</v>
      </c>
      <c r="E516" s="170">
        <f t="shared" si="72"/>
        <v>0</v>
      </c>
      <c r="F516" s="242">
        <f t="shared" si="73"/>
        <v>747.71418994249666</v>
      </c>
    </row>
    <row r="517" spans="1:6" ht="15.75" customHeight="1" thickBot="1">
      <c r="A517" s="141" t="s">
        <v>199</v>
      </c>
      <c r="B517" s="150">
        <f>SUM(B500:B507)+B511+SUM(B513:B516)</f>
        <v>1926.8574947246404</v>
      </c>
      <c r="D517" s="696" t="s">
        <v>192</v>
      </c>
      <c r="E517" s="696"/>
      <c r="F517" s="142">
        <f>(SUM(F500:F507)+F511+SUM(F513:F516))/13</f>
        <v>506.91980420158046</v>
      </c>
    </row>
    <row r="518" spans="1:6" ht="15.75" customHeight="1" thickTop="1">
      <c r="A518" s="141"/>
      <c r="B518" s="242"/>
      <c r="D518" s="515"/>
      <c r="E518" s="515"/>
      <c r="F518" s="140"/>
    </row>
    <row r="519" spans="1:6" collapsed="1">
      <c r="A519" s="253" t="s">
        <v>188</v>
      </c>
      <c r="B519" s="170">
        <f>+F447</f>
        <v>326.05676306814911</v>
      </c>
      <c r="C519" s="170">
        <f>+C516+B519</f>
        <v>2252.9142577927896</v>
      </c>
      <c r="D519" s="262">
        <f>D501</f>
        <v>0.91666666666666663</v>
      </c>
      <c r="E519" s="170">
        <f t="shared" si="72"/>
        <v>298.88536614580335</v>
      </c>
      <c r="F519" s="263">
        <f>+F516+E519</f>
        <v>1046.5995560883</v>
      </c>
    </row>
    <row r="520" spans="1:6">
      <c r="A520" s="141" t="s">
        <v>119</v>
      </c>
      <c r="B520" s="145">
        <f>+F448</f>
        <v>333.03037344893943</v>
      </c>
      <c r="C520" s="145">
        <f t="shared" si="71"/>
        <v>2585.944631241729</v>
      </c>
      <c r="D520" s="146">
        <f>D519-(1/12)</f>
        <v>0.83333333333333326</v>
      </c>
      <c r="E520" s="170">
        <f t="shared" si="72"/>
        <v>277.52531120744948</v>
      </c>
      <c r="F520" s="242">
        <f t="shared" si="73"/>
        <v>1324.1248672957495</v>
      </c>
    </row>
    <row r="521" spans="1:6">
      <c r="A521" s="141" t="s">
        <v>120</v>
      </c>
      <c r="B521" s="145">
        <f>+F449</f>
        <v>346.58873903501001</v>
      </c>
      <c r="C521" s="145">
        <f t="shared" si="71"/>
        <v>2932.5333702767389</v>
      </c>
      <c r="D521" s="146">
        <f>D520-(1/12)</f>
        <v>0.74999999999999989</v>
      </c>
      <c r="E521" s="170">
        <f t="shared" si="72"/>
        <v>259.94155427625748</v>
      </c>
      <c r="F521" s="242">
        <f t="shared" si="73"/>
        <v>1584.0664215720069</v>
      </c>
    </row>
    <row r="522" spans="1:6">
      <c r="A522" s="141" t="s">
        <v>121</v>
      </c>
      <c r="B522" s="145">
        <f>+F450</f>
        <v>349.03704519365624</v>
      </c>
      <c r="C522" s="145">
        <f t="shared" si="71"/>
        <v>3281.5704154703953</v>
      </c>
      <c r="D522" s="146">
        <f>D521-(1/12)</f>
        <v>0.66666666666666652</v>
      </c>
      <c r="E522" s="170">
        <f t="shared" si="72"/>
        <v>232.69136346243744</v>
      </c>
      <c r="F522" s="242">
        <f t="shared" si="73"/>
        <v>1816.7577850344444</v>
      </c>
    </row>
    <row r="523" spans="1:6">
      <c r="A523" s="141"/>
      <c r="B523" s="145"/>
      <c r="C523" s="145"/>
      <c r="D523" s="146"/>
      <c r="E523" s="170"/>
      <c r="F523" s="242"/>
    </row>
    <row r="524" spans="1:6">
      <c r="A524" s="141" t="s">
        <v>75</v>
      </c>
      <c r="B524" s="145">
        <f>+F452</f>
        <v>375.79415960097805</v>
      </c>
      <c r="C524" s="145">
        <f>+C522+B524</f>
        <v>3657.3645750713736</v>
      </c>
      <c r="D524" s="146">
        <f>D522-(1/12)</f>
        <v>0.58333333333333315</v>
      </c>
      <c r="E524" s="170">
        <f t="shared" si="72"/>
        <v>219.21325976723713</v>
      </c>
      <c r="F524" s="242">
        <f>+F522+E524</f>
        <v>2035.9710448016815</v>
      </c>
    </row>
    <row r="525" spans="1:6">
      <c r="A525" s="141" t="s">
        <v>211</v>
      </c>
      <c r="B525" s="280">
        <f>'Rancho Vista Transfer'!F7</f>
        <v>-3657.3645750713736</v>
      </c>
      <c r="C525" s="280">
        <f>B525</f>
        <v>-3657.3645750713736</v>
      </c>
      <c r="D525" s="146"/>
      <c r="E525" s="281">
        <f>-F524</f>
        <v>-2035.9710448016815</v>
      </c>
      <c r="F525" s="281">
        <f>E525</f>
        <v>-2035.9710448016815</v>
      </c>
    </row>
    <row r="526" spans="1:6">
      <c r="A526" s="141" t="s">
        <v>212</v>
      </c>
      <c r="B526" s="289">
        <f>SUM(B524:B525)</f>
        <v>-3281.5704154703953</v>
      </c>
      <c r="C526" s="145">
        <f>SUM(C524:C525)</f>
        <v>0</v>
      </c>
      <c r="D526" s="146"/>
      <c r="E526" s="289">
        <f>SUM(E524:E525)</f>
        <v>-1816.7577850344444</v>
      </c>
      <c r="F526" s="516">
        <f>SUM(F524:F525)</f>
        <v>0</v>
      </c>
    </row>
    <row r="527" spans="1:6">
      <c r="A527" s="141"/>
      <c r="B527" s="145"/>
      <c r="C527" s="145"/>
      <c r="D527" s="146"/>
      <c r="E527" s="170"/>
      <c r="F527" s="242"/>
    </row>
    <row r="528" spans="1:6">
      <c r="A528" s="141" t="s">
        <v>122</v>
      </c>
      <c r="B528" s="145">
        <f t="shared" ref="B528:B534" si="74">+F456</f>
        <v>0</v>
      </c>
      <c r="C528" s="145">
        <f>+C526+B528</f>
        <v>0</v>
      </c>
      <c r="D528" s="146">
        <f>D524-(1/12)</f>
        <v>0.49999999999999983</v>
      </c>
      <c r="E528" s="170">
        <f t="shared" si="72"/>
        <v>0</v>
      </c>
      <c r="F528" s="242">
        <f>+F526+E528</f>
        <v>0</v>
      </c>
    </row>
    <row r="529" spans="1:6">
      <c r="A529" s="141" t="s">
        <v>123</v>
      </c>
      <c r="B529" s="145">
        <f t="shared" si="74"/>
        <v>0</v>
      </c>
      <c r="C529" s="145">
        <f t="shared" si="71"/>
        <v>0</v>
      </c>
      <c r="D529" s="146">
        <f t="shared" ref="D529:D534" si="75">D528-(1/12)</f>
        <v>0.41666666666666652</v>
      </c>
      <c r="E529" s="170">
        <f t="shared" si="72"/>
        <v>0</v>
      </c>
      <c r="F529" s="242">
        <f t="shared" si="73"/>
        <v>0</v>
      </c>
    </row>
    <row r="530" spans="1:6">
      <c r="A530" s="141" t="s">
        <v>124</v>
      </c>
      <c r="B530" s="145">
        <f t="shared" si="74"/>
        <v>0</v>
      </c>
      <c r="C530" s="145">
        <f t="shared" si="71"/>
        <v>0</v>
      </c>
      <c r="D530" s="146">
        <f t="shared" si="75"/>
        <v>0.3333333333333332</v>
      </c>
      <c r="E530" s="170">
        <f t="shared" si="72"/>
        <v>0</v>
      </c>
      <c r="F530" s="242">
        <f t="shared" si="73"/>
        <v>0</v>
      </c>
    </row>
    <row r="531" spans="1:6">
      <c r="A531" s="141" t="s">
        <v>125</v>
      </c>
      <c r="B531" s="145">
        <f t="shared" si="74"/>
        <v>0</v>
      </c>
      <c r="C531" s="145">
        <f t="shared" si="71"/>
        <v>0</v>
      </c>
      <c r="D531" s="146">
        <f t="shared" si="75"/>
        <v>0.24999999999999989</v>
      </c>
      <c r="E531" s="170">
        <f t="shared" si="72"/>
        <v>0</v>
      </c>
      <c r="F531" s="145">
        <f t="shared" si="73"/>
        <v>0</v>
      </c>
    </row>
    <row r="532" spans="1:6">
      <c r="A532" s="141" t="s">
        <v>126</v>
      </c>
      <c r="B532" s="145">
        <f t="shared" si="74"/>
        <v>0</v>
      </c>
      <c r="C532" s="145">
        <f t="shared" si="71"/>
        <v>0</v>
      </c>
      <c r="D532" s="146">
        <f t="shared" si="75"/>
        <v>0.16666666666666657</v>
      </c>
      <c r="E532" s="170">
        <f t="shared" si="72"/>
        <v>0</v>
      </c>
      <c r="F532" s="145">
        <f t="shared" si="73"/>
        <v>0</v>
      </c>
    </row>
    <row r="533" spans="1:6">
      <c r="A533" s="141" t="s">
        <v>127</v>
      </c>
      <c r="B533" s="145">
        <f t="shared" si="74"/>
        <v>0</v>
      </c>
      <c r="C533" s="145">
        <f t="shared" si="71"/>
        <v>0</v>
      </c>
      <c r="D533" s="146">
        <f t="shared" si="75"/>
        <v>8.3333333333333245E-2</v>
      </c>
      <c r="E533" s="170">
        <f t="shared" si="72"/>
        <v>0</v>
      </c>
      <c r="F533" s="145">
        <f t="shared" si="73"/>
        <v>0</v>
      </c>
    </row>
    <row r="534" spans="1:6">
      <c r="A534" s="141" t="s">
        <v>189</v>
      </c>
      <c r="B534" s="145">
        <f t="shared" si="74"/>
        <v>0</v>
      </c>
      <c r="C534" s="145">
        <f t="shared" si="71"/>
        <v>0</v>
      </c>
      <c r="D534" s="146">
        <f t="shared" si="75"/>
        <v>0</v>
      </c>
      <c r="E534" s="170">
        <f t="shared" si="72"/>
        <v>0</v>
      </c>
      <c r="F534" s="147">
        <f t="shared" si="73"/>
        <v>0</v>
      </c>
    </row>
    <row r="535" spans="1:6" ht="15.75" customHeight="1" thickBot="1">
      <c r="A535" s="346" t="s">
        <v>284</v>
      </c>
      <c r="B535" s="517">
        <f>SUM(B519:B522)+B526+SUM(B528:B534)</f>
        <v>-1926.8574947246407</v>
      </c>
      <c r="D535" s="695" t="s">
        <v>285</v>
      </c>
      <c r="E535" s="696"/>
      <c r="F535" s="142">
        <f>(SUM(F519:F522)+F526+SUM(F528:F534))/12</f>
        <v>480.96238583254171</v>
      </c>
    </row>
    <row r="536" spans="1:6" ht="15" thickTop="1">
      <c r="A536" s="149"/>
    </row>
    <row r="537" spans="1:6">
      <c r="A537" s="253" t="s">
        <v>225</v>
      </c>
      <c r="B537" s="170">
        <f t="shared" ref="B537:B548" si="76">+F466</f>
        <v>0</v>
      </c>
      <c r="C537" s="170">
        <f>+C534+B537</f>
        <v>0</v>
      </c>
      <c r="D537" s="262">
        <f>D501</f>
        <v>0.91666666666666663</v>
      </c>
      <c r="E537" s="170">
        <f>+B537*D537</f>
        <v>0</v>
      </c>
      <c r="F537" s="263">
        <f>+F534+E537</f>
        <v>0</v>
      </c>
    </row>
    <row r="538" spans="1:6">
      <c r="A538" s="141" t="s">
        <v>119</v>
      </c>
      <c r="B538" s="170">
        <f t="shared" si="76"/>
        <v>0</v>
      </c>
      <c r="C538" s="170">
        <f t="shared" ref="C538:C548" si="77">+C537+B538</f>
        <v>0</v>
      </c>
      <c r="D538" s="262">
        <f>D537-(1/12)</f>
        <v>0.83333333333333326</v>
      </c>
      <c r="E538" s="170">
        <f t="shared" ref="E538:E548" si="78">+B538*D538</f>
        <v>0</v>
      </c>
      <c r="F538" s="263">
        <f t="shared" ref="F538:F548" si="79">+F537+E538</f>
        <v>0</v>
      </c>
    </row>
    <row r="539" spans="1:6">
      <c r="A539" s="141" t="s">
        <v>120</v>
      </c>
      <c r="B539" s="170">
        <f t="shared" si="76"/>
        <v>0</v>
      </c>
      <c r="C539" s="170">
        <f t="shared" si="77"/>
        <v>0</v>
      </c>
      <c r="D539" s="262">
        <f>D538-(1/12)</f>
        <v>0.74999999999999989</v>
      </c>
      <c r="E539" s="170">
        <f t="shared" si="78"/>
        <v>0</v>
      </c>
      <c r="F539" s="263">
        <f t="shared" si="79"/>
        <v>0</v>
      </c>
    </row>
    <row r="540" spans="1:6">
      <c r="A540" s="141" t="s">
        <v>121</v>
      </c>
      <c r="B540" s="170">
        <f t="shared" si="76"/>
        <v>0</v>
      </c>
      <c r="C540" s="170">
        <f t="shared" si="77"/>
        <v>0</v>
      </c>
      <c r="D540" s="262">
        <f>D539-(1/12)</f>
        <v>0.66666666666666652</v>
      </c>
      <c r="E540" s="170">
        <f t="shared" si="78"/>
        <v>0</v>
      </c>
      <c r="F540" s="263">
        <f t="shared" si="79"/>
        <v>0</v>
      </c>
    </row>
    <row r="541" spans="1:6">
      <c r="A541" s="141" t="s">
        <v>75</v>
      </c>
      <c r="B541" s="170">
        <f t="shared" si="76"/>
        <v>0</v>
      </c>
      <c r="C541" s="170">
        <f t="shared" si="77"/>
        <v>0</v>
      </c>
      <c r="D541" s="262">
        <f>D540-(1/12)</f>
        <v>0.58333333333333315</v>
      </c>
      <c r="E541" s="170">
        <f t="shared" si="78"/>
        <v>0</v>
      </c>
      <c r="F541" s="263">
        <f t="shared" si="79"/>
        <v>0</v>
      </c>
    </row>
    <row r="542" spans="1:6">
      <c r="A542" s="141" t="s">
        <v>122</v>
      </c>
      <c r="B542" s="170">
        <f t="shared" si="76"/>
        <v>0</v>
      </c>
      <c r="C542" s="170">
        <f t="shared" si="77"/>
        <v>0</v>
      </c>
      <c r="D542" s="262">
        <f>D541-(1/12)</f>
        <v>0.49999999999999983</v>
      </c>
      <c r="E542" s="170">
        <f t="shared" si="78"/>
        <v>0</v>
      </c>
      <c r="F542" s="263">
        <f t="shared" si="79"/>
        <v>0</v>
      </c>
    </row>
    <row r="543" spans="1:6">
      <c r="A543" s="141" t="s">
        <v>123</v>
      </c>
      <c r="B543" s="170">
        <f t="shared" si="76"/>
        <v>0</v>
      </c>
      <c r="C543" s="170">
        <f t="shared" si="77"/>
        <v>0</v>
      </c>
      <c r="D543" s="262">
        <f t="shared" ref="D543:D548" si="80">D542-(1/12)</f>
        <v>0.41666666666666652</v>
      </c>
      <c r="E543" s="170">
        <f t="shared" si="78"/>
        <v>0</v>
      </c>
      <c r="F543" s="263">
        <f t="shared" si="79"/>
        <v>0</v>
      </c>
    </row>
    <row r="544" spans="1:6">
      <c r="A544" s="141" t="s">
        <v>124</v>
      </c>
      <c r="B544" s="170">
        <f t="shared" si="76"/>
        <v>0</v>
      </c>
      <c r="C544" s="170">
        <f t="shared" si="77"/>
        <v>0</v>
      </c>
      <c r="D544" s="262">
        <f t="shared" si="80"/>
        <v>0.3333333333333332</v>
      </c>
      <c r="E544" s="170">
        <f t="shared" si="78"/>
        <v>0</v>
      </c>
      <c r="F544" s="263">
        <f t="shared" si="79"/>
        <v>0</v>
      </c>
    </row>
    <row r="545" spans="1:6">
      <c r="A545" s="141" t="s">
        <v>125</v>
      </c>
      <c r="B545" s="170">
        <f t="shared" si="76"/>
        <v>0</v>
      </c>
      <c r="C545" s="170">
        <f t="shared" si="77"/>
        <v>0</v>
      </c>
      <c r="D545" s="262">
        <f t="shared" si="80"/>
        <v>0.24999999999999989</v>
      </c>
      <c r="E545" s="170">
        <f t="shared" si="78"/>
        <v>0</v>
      </c>
      <c r="F545" s="263">
        <f t="shared" si="79"/>
        <v>0</v>
      </c>
    </row>
    <row r="546" spans="1:6" collapsed="1">
      <c r="A546" s="141" t="s">
        <v>126</v>
      </c>
      <c r="B546" s="170">
        <f t="shared" si="76"/>
        <v>0</v>
      </c>
      <c r="C546" s="170">
        <f t="shared" si="77"/>
        <v>0</v>
      </c>
      <c r="D546" s="262">
        <f t="shared" si="80"/>
        <v>0.16666666666666657</v>
      </c>
      <c r="E546" s="170">
        <f t="shared" si="78"/>
        <v>0</v>
      </c>
      <c r="F546" s="263">
        <f t="shared" si="79"/>
        <v>0</v>
      </c>
    </row>
    <row r="547" spans="1:6">
      <c r="A547" s="141" t="s">
        <v>127</v>
      </c>
      <c r="B547" s="170">
        <f t="shared" si="76"/>
        <v>0</v>
      </c>
      <c r="C547" s="170">
        <f t="shared" si="77"/>
        <v>0</v>
      </c>
      <c r="D547" s="262">
        <f t="shared" si="80"/>
        <v>8.3333333333333245E-2</v>
      </c>
      <c r="E547" s="170">
        <f t="shared" si="78"/>
        <v>0</v>
      </c>
      <c r="F547" s="263">
        <f t="shared" si="79"/>
        <v>0</v>
      </c>
    </row>
    <row r="548" spans="1:6">
      <c r="A548" s="141" t="s">
        <v>226</v>
      </c>
      <c r="B548" s="170">
        <f t="shared" si="76"/>
        <v>0</v>
      </c>
      <c r="C548" s="170">
        <f t="shared" si="77"/>
        <v>0</v>
      </c>
      <c r="D548" s="262">
        <f t="shared" si="80"/>
        <v>0</v>
      </c>
      <c r="E548" s="170">
        <f t="shared" si="78"/>
        <v>0</v>
      </c>
      <c r="F548" s="391">
        <f t="shared" si="79"/>
        <v>0</v>
      </c>
    </row>
    <row r="549" spans="1:6" ht="15" thickBot="1">
      <c r="A549" s="346" t="s">
        <v>284</v>
      </c>
      <c r="B549" s="150">
        <f>SUM(B537:B548)</f>
        <v>0</v>
      </c>
      <c r="D549" s="695" t="s">
        <v>285</v>
      </c>
      <c r="E549" s="696"/>
      <c r="F549" s="151">
        <f>SUM(F537:F548)/12</f>
        <v>0</v>
      </c>
    </row>
    <row r="550" spans="1:6" ht="15" thickTop="1"/>
    <row r="551" spans="1:6" s="167" customFormat="1">
      <c r="A551" s="347" t="s">
        <v>261</v>
      </c>
      <c r="B551" s="170">
        <f t="shared" ref="B551:B562" si="81">+F480</f>
        <v>0</v>
      </c>
      <c r="C551" s="170">
        <f>+C548+B551</f>
        <v>0</v>
      </c>
      <c r="D551" s="262">
        <f>D537</f>
        <v>0.91666666666666663</v>
      </c>
      <c r="E551" s="170">
        <f>+B551*D551</f>
        <v>0</v>
      </c>
      <c r="F551" s="263">
        <f>+F548+E551</f>
        <v>0</v>
      </c>
    </row>
    <row r="552" spans="1:6" s="167" customFormat="1">
      <c r="A552" s="253" t="s">
        <v>119</v>
      </c>
      <c r="B552" s="170">
        <f t="shared" si="81"/>
        <v>0</v>
      </c>
      <c r="C552" s="170">
        <f t="shared" ref="C552:C562" si="82">+C551+B552</f>
        <v>0</v>
      </c>
      <c r="D552" s="262">
        <f>D551-(1/12)</f>
        <v>0.83333333333333326</v>
      </c>
      <c r="E552" s="170">
        <f t="shared" ref="E552:E562" si="83">+B552*D552</f>
        <v>0</v>
      </c>
      <c r="F552" s="263">
        <f>+F551+E552</f>
        <v>0</v>
      </c>
    </row>
    <row r="553" spans="1:6" s="167" customFormat="1">
      <c r="A553" s="253" t="s">
        <v>120</v>
      </c>
      <c r="B553" s="170">
        <f t="shared" si="81"/>
        <v>0</v>
      </c>
      <c r="C553" s="170">
        <f t="shared" si="82"/>
        <v>0</v>
      </c>
      <c r="D553" s="262">
        <f>D552-(1/12)</f>
        <v>0.74999999999999989</v>
      </c>
      <c r="E553" s="170">
        <f t="shared" si="83"/>
        <v>0</v>
      </c>
      <c r="F553" s="263">
        <f>+F552+E553</f>
        <v>0</v>
      </c>
    </row>
    <row r="554" spans="1:6" s="167" customFormat="1">
      <c r="A554" s="253" t="s">
        <v>121</v>
      </c>
      <c r="B554" s="170">
        <f t="shared" si="81"/>
        <v>0</v>
      </c>
      <c r="C554" s="170">
        <f t="shared" si="82"/>
        <v>0</v>
      </c>
      <c r="D554" s="262">
        <f>D553-(1/12)</f>
        <v>0.66666666666666652</v>
      </c>
      <c r="E554" s="170">
        <f t="shared" si="83"/>
        <v>0</v>
      </c>
      <c r="F554" s="263">
        <f t="shared" ref="F554:F562" si="84">+F553+E554</f>
        <v>0</v>
      </c>
    </row>
    <row r="555" spans="1:6" s="167" customFormat="1">
      <c r="A555" s="253" t="s">
        <v>75</v>
      </c>
      <c r="B555" s="170">
        <f t="shared" si="81"/>
        <v>0</v>
      </c>
      <c r="C555" s="170">
        <f t="shared" si="82"/>
        <v>0</v>
      </c>
      <c r="D555" s="262">
        <f>D554-(1/12)</f>
        <v>0.58333333333333315</v>
      </c>
      <c r="E555" s="170">
        <f t="shared" si="83"/>
        <v>0</v>
      </c>
      <c r="F555" s="263">
        <f t="shared" si="84"/>
        <v>0</v>
      </c>
    </row>
    <row r="556" spans="1:6" s="167" customFormat="1">
      <c r="A556" s="253" t="s">
        <v>122</v>
      </c>
      <c r="B556" s="170">
        <f t="shared" si="81"/>
        <v>0</v>
      </c>
      <c r="C556" s="170">
        <f t="shared" si="82"/>
        <v>0</v>
      </c>
      <c r="D556" s="262">
        <f>D555-(1/12)</f>
        <v>0.49999999999999983</v>
      </c>
      <c r="E556" s="170">
        <f t="shared" si="83"/>
        <v>0</v>
      </c>
      <c r="F556" s="263">
        <f t="shared" si="84"/>
        <v>0</v>
      </c>
    </row>
    <row r="557" spans="1:6" s="167" customFormat="1">
      <c r="A557" s="253" t="s">
        <v>123</v>
      </c>
      <c r="B557" s="170">
        <f t="shared" si="81"/>
        <v>0</v>
      </c>
      <c r="C557" s="170">
        <f t="shared" si="82"/>
        <v>0</v>
      </c>
      <c r="D557" s="262">
        <f t="shared" ref="D557:D562" si="85">D556-(1/12)</f>
        <v>0.41666666666666652</v>
      </c>
      <c r="E557" s="170">
        <f t="shared" si="83"/>
        <v>0</v>
      </c>
      <c r="F557" s="263">
        <f t="shared" si="84"/>
        <v>0</v>
      </c>
    </row>
    <row r="558" spans="1:6" s="167" customFormat="1">
      <c r="A558" s="253" t="s">
        <v>124</v>
      </c>
      <c r="B558" s="170">
        <f t="shared" si="81"/>
        <v>0</v>
      </c>
      <c r="C558" s="170">
        <f t="shared" si="82"/>
        <v>0</v>
      </c>
      <c r="D558" s="262">
        <f t="shared" si="85"/>
        <v>0.3333333333333332</v>
      </c>
      <c r="E558" s="170">
        <f t="shared" si="83"/>
        <v>0</v>
      </c>
      <c r="F558" s="263">
        <f t="shared" si="84"/>
        <v>0</v>
      </c>
    </row>
    <row r="559" spans="1:6" s="167" customFormat="1">
      <c r="A559" s="253" t="s">
        <v>125</v>
      </c>
      <c r="B559" s="170">
        <f t="shared" si="81"/>
        <v>0</v>
      </c>
      <c r="C559" s="170">
        <f t="shared" si="82"/>
        <v>0</v>
      </c>
      <c r="D559" s="262">
        <f t="shared" si="85"/>
        <v>0.24999999999999989</v>
      </c>
      <c r="E559" s="170">
        <f t="shared" si="83"/>
        <v>0</v>
      </c>
      <c r="F559" s="263">
        <f t="shared" si="84"/>
        <v>0</v>
      </c>
    </row>
    <row r="560" spans="1:6" s="167" customFormat="1">
      <c r="A560" s="253" t="s">
        <v>126</v>
      </c>
      <c r="B560" s="170">
        <f t="shared" si="81"/>
        <v>0</v>
      </c>
      <c r="C560" s="170">
        <f t="shared" si="82"/>
        <v>0</v>
      </c>
      <c r="D560" s="262">
        <f t="shared" si="85"/>
        <v>0.16666666666666657</v>
      </c>
      <c r="E560" s="170">
        <f t="shared" si="83"/>
        <v>0</v>
      </c>
      <c r="F560" s="263">
        <f t="shared" si="84"/>
        <v>0</v>
      </c>
    </row>
    <row r="561" spans="1:8" s="167" customFormat="1">
      <c r="A561" s="253" t="s">
        <v>127</v>
      </c>
      <c r="B561" s="170">
        <f t="shared" si="81"/>
        <v>0</v>
      </c>
      <c r="C561" s="170">
        <f t="shared" si="82"/>
        <v>0</v>
      </c>
      <c r="D561" s="262">
        <f t="shared" si="85"/>
        <v>8.3333333333333245E-2</v>
      </c>
      <c r="E561" s="170">
        <f t="shared" si="83"/>
        <v>0</v>
      </c>
      <c r="F561" s="263">
        <f t="shared" si="84"/>
        <v>0</v>
      </c>
    </row>
    <row r="562" spans="1:8" s="167" customFormat="1">
      <c r="A562" s="347" t="s">
        <v>262</v>
      </c>
      <c r="B562" s="170">
        <f t="shared" si="81"/>
        <v>0</v>
      </c>
      <c r="C562" s="170">
        <f t="shared" si="82"/>
        <v>0</v>
      </c>
      <c r="D562" s="262">
        <f t="shared" si="85"/>
        <v>0</v>
      </c>
      <c r="E562" s="170">
        <f t="shared" si="83"/>
        <v>0</v>
      </c>
      <c r="F562" s="391">
        <f t="shared" si="84"/>
        <v>0</v>
      </c>
    </row>
    <row r="563" spans="1:8" s="167" customFormat="1" ht="15" thickBot="1">
      <c r="A563" s="346" t="s">
        <v>284</v>
      </c>
      <c r="B563" s="491">
        <f>SUM(B551:B562)</f>
        <v>0</v>
      </c>
      <c r="D563" s="695" t="s">
        <v>285</v>
      </c>
      <c r="E563" s="696"/>
      <c r="F563" s="498">
        <f>SUM(F551:F562)/12</f>
        <v>0</v>
      </c>
    </row>
    <row r="564" spans="1:8" s="167" customFormat="1" ht="15" thickTop="1">
      <c r="A564" s="346"/>
      <c r="B564" s="263"/>
      <c r="D564" s="612"/>
      <c r="E564" s="613"/>
      <c r="F564" s="296"/>
    </row>
    <row r="565" spans="1:8" s="167" customFormat="1">
      <c r="A565" s="346"/>
      <c r="B565" s="263"/>
      <c r="D565" s="612"/>
      <c r="E565" s="613"/>
      <c r="F565" s="296"/>
    </row>
    <row r="567" spans="1:8" s="167" customFormat="1" ht="18.75" thickBot="1">
      <c r="A567" s="677" t="s">
        <v>265</v>
      </c>
      <c r="B567" s="678"/>
      <c r="C567" s="678"/>
      <c r="D567" s="678"/>
      <c r="E567" s="678"/>
      <c r="F567" s="678"/>
      <c r="H567" s="499"/>
    </row>
    <row r="568" spans="1:8" s="167" customFormat="1">
      <c r="A568" s="492" t="s">
        <v>273</v>
      </c>
      <c r="B568" s="493">
        <f t="shared" ref="B568:B574" si="86">+B21</f>
        <v>6.25E-2</v>
      </c>
    </row>
    <row r="569" spans="1:8" s="167" customFormat="1">
      <c r="A569" s="492" t="s">
        <v>270</v>
      </c>
      <c r="B569" s="497">
        <f t="shared" si="86"/>
        <v>0.40720000000000001</v>
      </c>
    </row>
    <row r="570" spans="1:8" s="167" customFormat="1">
      <c r="A570" s="492" t="s">
        <v>271</v>
      </c>
      <c r="B570" s="493">
        <f t="shared" si="86"/>
        <v>6.25E-2</v>
      </c>
    </row>
    <row r="571" spans="1:8" s="167" customFormat="1">
      <c r="A571" s="319" t="s">
        <v>167</v>
      </c>
      <c r="B571" s="493">
        <f t="shared" si="86"/>
        <v>6.25E-2</v>
      </c>
    </row>
    <row r="572" spans="1:8" s="167" customFormat="1">
      <c r="A572" s="319" t="s">
        <v>168</v>
      </c>
      <c r="B572" s="493">
        <f t="shared" si="86"/>
        <v>6.25E-2</v>
      </c>
    </row>
    <row r="573" spans="1:8" s="167" customFormat="1">
      <c r="A573" s="319" t="s">
        <v>169</v>
      </c>
      <c r="B573" s="493">
        <f t="shared" si="86"/>
        <v>6.25E-2</v>
      </c>
    </row>
    <row r="574" spans="1:8" s="167" customFormat="1">
      <c r="A574" s="492" t="s">
        <v>269</v>
      </c>
      <c r="B574" s="497">
        <f t="shared" si="86"/>
        <v>0.40739999999999998</v>
      </c>
    </row>
    <row r="575" spans="1:8">
      <c r="A575" s="137"/>
      <c r="B575" s="156"/>
    </row>
    <row r="578" spans="1:7" ht="15">
      <c r="A578" s="139" t="s">
        <v>135</v>
      </c>
    </row>
    <row r="579" spans="1:7" ht="59.25" customHeight="1">
      <c r="A579" s="687" t="str">
        <f>A567</f>
        <v>Eldorado Ivanpah</v>
      </c>
      <c r="B579" s="698" t="s">
        <v>179</v>
      </c>
      <c r="C579" s="698" t="s">
        <v>180</v>
      </c>
      <c r="D579" s="698" t="s">
        <v>181</v>
      </c>
      <c r="E579" s="684" t="s">
        <v>144</v>
      </c>
      <c r="F579" s="315" t="s">
        <v>136</v>
      </c>
      <c r="G579" s="349" t="s">
        <v>196</v>
      </c>
    </row>
    <row r="580" spans="1:7" s="167" customFormat="1">
      <c r="A580" s="697"/>
      <c r="B580" s="699"/>
      <c r="C580" s="699"/>
      <c r="D580" s="700"/>
      <c r="E580" s="694"/>
      <c r="F580" s="500">
        <f>B569</f>
        <v>0.40720000000000001</v>
      </c>
      <c r="G580" s="501">
        <v>40179</v>
      </c>
    </row>
    <row r="581" spans="1:7" s="167" customFormat="1" ht="15">
      <c r="A581" s="510"/>
      <c r="B581" s="511"/>
      <c r="C581" s="511"/>
      <c r="D581" s="512"/>
      <c r="E581" s="575"/>
      <c r="F581" s="500">
        <f>B574</f>
        <v>0.40739999999999998</v>
      </c>
      <c r="G581" s="501">
        <v>40544</v>
      </c>
    </row>
    <row r="582" spans="1:7" ht="15">
      <c r="A582" s="254"/>
      <c r="B582" s="255"/>
      <c r="C582" s="255"/>
      <c r="D582" s="256"/>
      <c r="E582" s="257"/>
      <c r="F582" s="294"/>
      <c r="G582" s="295"/>
    </row>
    <row r="583" spans="1:7" s="167" customFormat="1">
      <c r="A583" s="347" t="s">
        <v>275</v>
      </c>
      <c r="B583" s="167">
        <f>'Eldorado Ivanpah CWIP Balance'!E15-'Beg int cap'!B26</f>
        <v>8819.8372099999997</v>
      </c>
      <c r="C583" s="170">
        <f>'Beg int cap'!E26</f>
        <v>0</v>
      </c>
      <c r="D583" s="167">
        <f>SUM(B583:C583)</f>
        <v>8819.8372099999997</v>
      </c>
      <c r="F583" s="167">
        <f>(C583*F580)-('Beg int cap'!D39*'Def Tax'!F580)</f>
        <v>0</v>
      </c>
      <c r="G583" s="506"/>
    </row>
    <row r="584" spans="1:7" s="167" customFormat="1">
      <c r="A584" s="347" t="s">
        <v>226</v>
      </c>
      <c r="B584" s="167">
        <f>B583+'Eldorado Ivanpah CWIP Balance'!D16</f>
        <v>9531.5685699999995</v>
      </c>
      <c r="C584" s="167">
        <f>C583+E584</f>
        <v>45.936652135416665</v>
      </c>
      <c r="D584" s="167">
        <f>SUM(B584:C584)</f>
        <v>9577.5052221354163</v>
      </c>
      <c r="E584" s="167">
        <f>D583*(B568/12)</f>
        <v>45.936652135416665</v>
      </c>
      <c r="F584" s="167">
        <f>+E584*$F$580</f>
        <v>18.705404749541668</v>
      </c>
    </row>
    <row r="585" spans="1:7" s="167" customFormat="1" ht="15" thickBot="1">
      <c r="A585" s="347"/>
      <c r="E585" s="168"/>
      <c r="F585" s="168"/>
    </row>
    <row r="586" spans="1:7" s="167" customFormat="1" ht="15" thickTop="1">
      <c r="A586" s="347"/>
    </row>
    <row r="587" spans="1:7" s="167" customFormat="1">
      <c r="A587" s="347" t="s">
        <v>261</v>
      </c>
      <c r="B587" s="167">
        <f>B584+'Eldorado Ivanpah CWIP Balance'!D17</f>
        <v>9765.9229799999994</v>
      </c>
      <c r="C587" s="167">
        <f>C584+E587</f>
        <v>95.819491834038615</v>
      </c>
      <c r="D587" s="167">
        <f>SUM(B587:C587)</f>
        <v>9861.7424718340371</v>
      </c>
      <c r="E587" s="167">
        <f>D584*($B$570/12)</f>
        <v>49.882839698621957</v>
      </c>
      <c r="F587" s="167">
        <f t="shared" ref="F587:F598" si="87">+E587*$F$581</f>
        <v>20.322268893218585</v>
      </c>
    </row>
    <row r="588" spans="1:7" s="167" customFormat="1">
      <c r="A588" s="253" t="s">
        <v>119</v>
      </c>
      <c r="B588" s="167">
        <f>B587+'Eldorado Ivanpah CWIP Balance'!D18</f>
        <v>10409.070449999999</v>
      </c>
      <c r="C588" s="167">
        <f t="shared" ref="C588:C598" si="88">C587+E588</f>
        <v>147.18273387484089</v>
      </c>
      <c r="D588" s="167">
        <f>SUM(B588:C588)</f>
        <v>10556.25318387484</v>
      </c>
      <c r="E588" s="167">
        <f>D587*($B$570/12)</f>
        <v>51.363242040802277</v>
      </c>
      <c r="F588" s="167">
        <f t="shared" si="87"/>
        <v>20.925384807422848</v>
      </c>
    </row>
    <row r="589" spans="1:7" s="167" customFormat="1">
      <c r="A589" s="253" t="s">
        <v>120</v>
      </c>
      <c r="B589" s="167">
        <f>B588+'Eldorado Ivanpah CWIP Balance'!D19</f>
        <v>11168.67949</v>
      </c>
      <c r="C589" s="167">
        <f t="shared" si="88"/>
        <v>202.16321920752233</v>
      </c>
      <c r="D589" s="167">
        <f>SUM(B589:C589)</f>
        <v>11370.842709207524</v>
      </c>
      <c r="E589" s="167">
        <f>D588*($B$570/12)</f>
        <v>54.980485332681454</v>
      </c>
      <c r="F589" s="167">
        <f t="shared" si="87"/>
        <v>22.399049724534425</v>
      </c>
    </row>
    <row r="590" spans="1:7" s="167" customFormat="1">
      <c r="A590" s="253" t="s">
        <v>121</v>
      </c>
      <c r="B590" s="167">
        <f>B589+'Eldorado Ivanpah CWIP Balance'!D20</f>
        <v>12913.082700000001</v>
      </c>
      <c r="C590" s="167">
        <f t="shared" si="88"/>
        <v>261.38635831797819</v>
      </c>
      <c r="D590" s="167">
        <f>SUM(B590:C590)</f>
        <v>13174.46905831798</v>
      </c>
      <c r="E590" s="167">
        <f>D589*($B$571/12)</f>
        <v>59.223139110455847</v>
      </c>
      <c r="F590" s="167">
        <f t="shared" si="87"/>
        <v>24.12750687359971</v>
      </c>
    </row>
    <row r="591" spans="1:7" s="167" customFormat="1">
      <c r="A591" s="253" t="s">
        <v>75</v>
      </c>
      <c r="B591" s="167">
        <f>B590+'Eldorado Ivanpah CWIP Balance'!D21</f>
        <v>13627.4367</v>
      </c>
      <c r="C591" s="167">
        <f t="shared" si="88"/>
        <v>330.00338466338434</v>
      </c>
      <c r="D591" s="167">
        <f t="shared" ref="D591:D593" si="89">SUM(B591:C591)</f>
        <v>13957.440084663385</v>
      </c>
      <c r="E591" s="167">
        <f>D590*($B$571/12)</f>
        <v>68.617026345406146</v>
      </c>
      <c r="F591" s="167">
        <f t="shared" si="87"/>
        <v>27.954576533118463</v>
      </c>
    </row>
    <row r="592" spans="1:7" s="167" customFormat="1">
      <c r="A592" s="253" t="s">
        <v>122</v>
      </c>
      <c r="B592" s="167">
        <f>B591+'Eldorado Ivanpah CWIP Balance'!D22</f>
        <v>14876.791149999999</v>
      </c>
      <c r="C592" s="167">
        <f t="shared" si="88"/>
        <v>402.69838510433948</v>
      </c>
      <c r="D592" s="167">
        <f t="shared" si="89"/>
        <v>15279.489535104338</v>
      </c>
      <c r="E592" s="167">
        <f>D591*($B$571/12)</f>
        <v>72.695000440955127</v>
      </c>
      <c r="F592" s="167">
        <f t="shared" si="87"/>
        <v>29.615943179645118</v>
      </c>
    </row>
    <row r="593" spans="1:6" s="167" customFormat="1">
      <c r="A593" s="253" t="s">
        <v>123</v>
      </c>
      <c r="B593" s="167">
        <f>B592+'Eldorado Ivanpah CWIP Balance'!D23</f>
        <v>15895.416670000001</v>
      </c>
      <c r="C593" s="167">
        <f t="shared" si="88"/>
        <v>482.27905976634122</v>
      </c>
      <c r="D593" s="167">
        <f t="shared" si="89"/>
        <v>16377.695729766341</v>
      </c>
      <c r="E593" s="167">
        <f>D592*($B$572/12)</f>
        <v>79.580674662001755</v>
      </c>
      <c r="F593" s="167">
        <f t="shared" si="87"/>
        <v>32.421166857299511</v>
      </c>
    </row>
    <row r="594" spans="1:6" s="167" customFormat="1">
      <c r="A594" s="253" t="s">
        <v>124</v>
      </c>
      <c r="B594" s="167">
        <f>B593+'Eldorado Ivanpah CWIP Balance'!D24</f>
        <v>17439.350269999999</v>
      </c>
      <c r="C594" s="167">
        <f t="shared" si="88"/>
        <v>567.57955835887424</v>
      </c>
      <c r="D594" s="167">
        <f>SUM(B594:C594)</f>
        <v>18006.929828358872</v>
      </c>
      <c r="E594" s="167">
        <f>D593*($B$572/12)</f>
        <v>85.300498592533017</v>
      </c>
      <c r="F594" s="167">
        <f t="shared" si="87"/>
        <v>34.751423126597949</v>
      </c>
    </row>
    <row r="595" spans="1:6" s="167" customFormat="1">
      <c r="A595" s="253" t="s">
        <v>125</v>
      </c>
      <c r="B595" s="167">
        <f>B594+'Eldorado Ivanpah CWIP Balance'!D25</f>
        <v>18683.715939999998</v>
      </c>
      <c r="C595" s="167">
        <f t="shared" si="88"/>
        <v>661.36565121491003</v>
      </c>
      <c r="D595" s="167">
        <f>SUM(B595:C595)</f>
        <v>19345.081591214908</v>
      </c>
      <c r="E595" s="167">
        <f>D594*($B$572/12)</f>
        <v>93.786092856035793</v>
      </c>
      <c r="F595" s="167">
        <f t="shared" si="87"/>
        <v>38.208454229548984</v>
      </c>
    </row>
    <row r="596" spans="1:6" s="167" customFormat="1">
      <c r="A596" s="253" t="s">
        <v>126</v>
      </c>
      <c r="B596" s="167">
        <f>B595+'Eldorado Ivanpah CWIP Balance'!D26</f>
        <v>24050.690340000001</v>
      </c>
      <c r="C596" s="167">
        <f t="shared" si="88"/>
        <v>762.1212845024877</v>
      </c>
      <c r="D596" s="167">
        <f t="shared" ref="D596:D598" si="90">SUM(B596:C596)</f>
        <v>24812.81162450249</v>
      </c>
      <c r="E596" s="167">
        <f>D595*($B$573/12)</f>
        <v>100.75563328757764</v>
      </c>
      <c r="F596" s="167">
        <f t="shared" si="87"/>
        <v>41.047845001359129</v>
      </c>
    </row>
    <row r="597" spans="1:6" s="167" customFormat="1">
      <c r="A597" s="253" t="s">
        <v>127</v>
      </c>
      <c r="B597" s="167">
        <f>B596+'Eldorado Ivanpah CWIP Balance'!D27</f>
        <v>21192.732230000001</v>
      </c>
      <c r="C597" s="167">
        <f t="shared" si="88"/>
        <v>891.35467838010482</v>
      </c>
      <c r="D597" s="167">
        <f t="shared" si="90"/>
        <v>22084.086908380108</v>
      </c>
      <c r="E597" s="167">
        <f>D596*($B$573/12)</f>
        <v>129.23339387761712</v>
      </c>
      <c r="F597" s="167">
        <f t="shared" si="87"/>
        <v>52.649684665741212</v>
      </c>
    </row>
    <row r="598" spans="1:6" s="167" customFormat="1">
      <c r="A598" s="347" t="s">
        <v>262</v>
      </c>
      <c r="B598" s="167">
        <f>B597+'Eldorado Ivanpah CWIP Balance'!D28</f>
        <v>30840.968270000001</v>
      </c>
      <c r="C598" s="167">
        <f t="shared" si="88"/>
        <v>1006.3759643612512</v>
      </c>
      <c r="D598" s="167">
        <f t="shared" si="90"/>
        <v>31847.344234361251</v>
      </c>
      <c r="E598" s="167">
        <f>D597*($B$573/12)</f>
        <v>115.02128598114639</v>
      </c>
      <c r="F598" s="167">
        <f t="shared" si="87"/>
        <v>46.859671908719037</v>
      </c>
    </row>
    <row r="599" spans="1:6" ht="15" thickBot="1">
      <c r="A599" s="346"/>
      <c r="E599" s="168"/>
      <c r="F599" s="142"/>
    </row>
    <row r="600" spans="1:6" ht="15" thickTop="1">
      <c r="E600" s="296"/>
      <c r="F600" s="140"/>
    </row>
    <row r="601" spans="1:6">
      <c r="A601" s="686"/>
      <c r="B601" s="686"/>
      <c r="C601" s="686"/>
      <c r="D601" s="686"/>
      <c r="E601" s="686"/>
      <c r="F601" s="686"/>
    </row>
    <row r="602" spans="1:6" ht="15.75">
      <c r="A602" s="686" t="s">
        <v>145</v>
      </c>
      <c r="B602" s="686"/>
      <c r="C602" s="686"/>
      <c r="D602" s="686"/>
      <c r="E602" s="686"/>
      <c r="F602" s="686"/>
    </row>
    <row r="603" spans="1:6">
      <c r="A603" s="686"/>
      <c r="B603" s="686"/>
      <c r="C603" s="686"/>
      <c r="D603" s="686"/>
      <c r="E603" s="686"/>
      <c r="F603" s="686"/>
    </row>
    <row r="605" spans="1:6" ht="15">
      <c r="A605" s="139" t="s">
        <v>138</v>
      </c>
    </row>
    <row r="606" spans="1:6" ht="28.5">
      <c r="A606" s="143" t="str">
        <f>A567</f>
        <v>Eldorado Ivanpah</v>
      </c>
      <c r="B606" s="144" t="s">
        <v>139</v>
      </c>
      <c r="C606" s="144" t="s">
        <v>140</v>
      </c>
      <c r="D606" s="144" t="s">
        <v>141</v>
      </c>
      <c r="E606" s="169" t="s">
        <v>142</v>
      </c>
      <c r="F606" s="144" t="s">
        <v>143</v>
      </c>
    </row>
    <row r="607" spans="1:6" s="167" customFormat="1">
      <c r="A607" s="347" t="s">
        <v>275</v>
      </c>
      <c r="B607" s="167">
        <f>+F583</f>
        <v>0</v>
      </c>
      <c r="C607" s="170">
        <f>B607</f>
        <v>0</v>
      </c>
      <c r="D607" s="262">
        <v>8.3299999999999999E-2</v>
      </c>
      <c r="E607" s="170">
        <f t="shared" ref="E607:E612" si="91">+B607*D607</f>
        <v>0</v>
      </c>
      <c r="F607" s="263">
        <f>+C607*D607</f>
        <v>0</v>
      </c>
    </row>
    <row r="608" spans="1:6" s="167" customFormat="1">
      <c r="A608" s="347" t="s">
        <v>226</v>
      </c>
      <c r="B608" s="167">
        <f>+F584</f>
        <v>18.705404749541668</v>
      </c>
      <c r="C608" s="170">
        <f>C607+B608</f>
        <v>18.705404749541668</v>
      </c>
      <c r="D608" s="262">
        <v>1</v>
      </c>
      <c r="E608" s="170">
        <f t="shared" si="91"/>
        <v>18.705404749541668</v>
      </c>
      <c r="F608" s="170">
        <f>+F607+E608</f>
        <v>18.705404749541668</v>
      </c>
    </row>
    <row r="609" spans="1:7" s="167" customFormat="1">
      <c r="A609" s="347" t="s">
        <v>261</v>
      </c>
      <c r="B609" s="170">
        <f t="shared" ref="B609:B620" si="92">+F587</f>
        <v>20.322268893218585</v>
      </c>
      <c r="C609" s="170">
        <f>+C608+B609</f>
        <v>39.027673642760249</v>
      </c>
      <c r="D609" s="262">
        <f t="shared" ref="D609:D620" si="93">D608-(1/12)</f>
        <v>0.91666666666666663</v>
      </c>
      <c r="E609" s="170">
        <f t="shared" si="91"/>
        <v>18.628746485450367</v>
      </c>
      <c r="F609" s="170">
        <f>+F608+E609</f>
        <v>37.334151234992035</v>
      </c>
    </row>
    <row r="610" spans="1:7" s="167" customFormat="1">
      <c r="A610" s="253" t="s">
        <v>119</v>
      </c>
      <c r="B610" s="170">
        <f t="shared" si="92"/>
        <v>20.925384807422848</v>
      </c>
      <c r="C610" s="170">
        <f>+C609+B610</f>
        <v>59.953058450183093</v>
      </c>
      <c r="D610" s="262">
        <f t="shared" si="93"/>
        <v>0.83333333333333326</v>
      </c>
      <c r="E610" s="170">
        <f t="shared" si="91"/>
        <v>17.437820672852371</v>
      </c>
      <c r="F610" s="170">
        <f t="shared" ref="F610:F620" si="94">+F609+E610</f>
        <v>54.771971907844403</v>
      </c>
    </row>
    <row r="611" spans="1:7" s="167" customFormat="1">
      <c r="A611" s="253" t="s">
        <v>120</v>
      </c>
      <c r="B611" s="170">
        <f t="shared" si="92"/>
        <v>22.399049724534425</v>
      </c>
      <c r="C611" s="170">
        <f>+C610+B611</f>
        <v>82.352108174717515</v>
      </c>
      <c r="D611" s="262">
        <f t="shared" si="93"/>
        <v>0.74999999999999989</v>
      </c>
      <c r="E611" s="170">
        <f t="shared" si="91"/>
        <v>16.799287293400816</v>
      </c>
      <c r="F611" s="170">
        <f t="shared" si="94"/>
        <v>71.571259201245226</v>
      </c>
    </row>
    <row r="612" spans="1:7" s="167" customFormat="1">
      <c r="A612" s="253" t="s">
        <v>121</v>
      </c>
      <c r="B612" s="170">
        <f t="shared" si="92"/>
        <v>24.12750687359971</v>
      </c>
      <c r="C612" s="170">
        <f>+C611+B612</f>
        <v>106.47961504831723</v>
      </c>
      <c r="D612" s="262">
        <f t="shared" si="93"/>
        <v>0.66666666666666652</v>
      </c>
      <c r="E612" s="170">
        <f t="shared" si="91"/>
        <v>16.085004582399804</v>
      </c>
      <c r="F612" s="170">
        <f t="shared" si="94"/>
        <v>87.656263783645031</v>
      </c>
    </row>
    <row r="613" spans="1:7" s="167" customFormat="1">
      <c r="A613" s="253" t="s">
        <v>75</v>
      </c>
      <c r="B613" s="170">
        <f t="shared" si="92"/>
        <v>27.954576533118463</v>
      </c>
      <c r="C613" s="170">
        <f>+C612+B613</f>
        <v>134.4341915814357</v>
      </c>
      <c r="D613" s="262">
        <f t="shared" si="93"/>
        <v>0.58333333333333315</v>
      </c>
      <c r="E613" s="170">
        <f t="shared" ref="E613:E615" si="95">+B613*D613</f>
        <v>16.306836310985766</v>
      </c>
      <c r="F613" s="170">
        <f t="shared" si="94"/>
        <v>103.96310009463079</v>
      </c>
    </row>
    <row r="614" spans="1:7" s="167" customFormat="1">
      <c r="A614" s="253" t="s">
        <v>122</v>
      </c>
      <c r="B614" s="170">
        <f t="shared" si="92"/>
        <v>29.615943179645118</v>
      </c>
      <c r="C614" s="170">
        <f t="shared" ref="C614" si="96">+C613+B614</f>
        <v>164.05013476108081</v>
      </c>
      <c r="D614" s="262">
        <f t="shared" si="93"/>
        <v>0.49999999999999983</v>
      </c>
      <c r="E614" s="170">
        <f t="shared" si="95"/>
        <v>14.807971589822554</v>
      </c>
      <c r="F614" s="170">
        <f t="shared" si="94"/>
        <v>118.77107168445335</v>
      </c>
    </row>
    <row r="615" spans="1:7" s="167" customFormat="1">
      <c r="A615" s="253" t="s">
        <v>123</v>
      </c>
      <c r="B615" s="170">
        <f t="shared" si="92"/>
        <v>32.421166857299511</v>
      </c>
      <c r="C615" s="170">
        <f t="shared" ref="C615:C620" si="97">+C614+B615</f>
        <v>196.47130161838032</v>
      </c>
      <c r="D615" s="262">
        <f t="shared" si="93"/>
        <v>0.41666666666666652</v>
      </c>
      <c r="E615" s="170">
        <f t="shared" si="95"/>
        <v>13.508819523874791</v>
      </c>
      <c r="F615" s="170">
        <f t="shared" si="94"/>
        <v>132.27989120832814</v>
      </c>
    </row>
    <row r="616" spans="1:7" s="167" customFormat="1">
      <c r="A616" s="253" t="s">
        <v>124</v>
      </c>
      <c r="B616" s="170">
        <f t="shared" si="92"/>
        <v>34.751423126597949</v>
      </c>
      <c r="C616" s="170">
        <f t="shared" si="97"/>
        <v>231.22272474497828</v>
      </c>
      <c r="D616" s="262">
        <f>D615-(1/12)</f>
        <v>0.3333333333333332</v>
      </c>
      <c r="E616" s="170">
        <f t="shared" ref="E616" si="98">+B616*D616</f>
        <v>11.583807708865978</v>
      </c>
      <c r="F616" s="170">
        <f t="shared" si="94"/>
        <v>143.86369891719411</v>
      </c>
    </row>
    <row r="617" spans="1:7" s="167" customFormat="1">
      <c r="A617" s="253" t="s">
        <v>125</v>
      </c>
      <c r="B617" s="170">
        <f t="shared" si="92"/>
        <v>38.208454229548984</v>
      </c>
      <c r="C617" s="170">
        <f t="shared" si="97"/>
        <v>269.43117897452726</v>
      </c>
      <c r="D617" s="262">
        <f>D616-(1/12)</f>
        <v>0.24999999999999989</v>
      </c>
      <c r="E617" s="170">
        <f t="shared" ref="E617:E620" si="99">+B617*D617</f>
        <v>9.5521135573872424</v>
      </c>
      <c r="F617" s="170">
        <f t="shared" si="94"/>
        <v>153.41581247458134</v>
      </c>
    </row>
    <row r="618" spans="1:7" s="167" customFormat="1">
      <c r="A618" s="253" t="s">
        <v>126</v>
      </c>
      <c r="B618" s="170">
        <f t="shared" si="92"/>
        <v>41.047845001359129</v>
      </c>
      <c r="C618" s="170">
        <f t="shared" si="97"/>
        <v>310.47902397588638</v>
      </c>
      <c r="D618" s="262">
        <f t="shared" si="93"/>
        <v>0.16666666666666657</v>
      </c>
      <c r="E618" s="170">
        <f t="shared" si="99"/>
        <v>6.8413075002265176</v>
      </c>
      <c r="F618" s="170">
        <f t="shared" si="94"/>
        <v>160.25711997480786</v>
      </c>
    </row>
    <row r="619" spans="1:7" s="167" customFormat="1">
      <c r="A619" s="253" t="s">
        <v>127</v>
      </c>
      <c r="B619" s="170">
        <f t="shared" si="92"/>
        <v>52.649684665741212</v>
      </c>
      <c r="C619" s="170">
        <f t="shared" si="97"/>
        <v>363.12870864162761</v>
      </c>
      <c r="D619" s="262">
        <f t="shared" si="93"/>
        <v>8.3333333333333245E-2</v>
      </c>
      <c r="E619" s="170">
        <f t="shared" si="99"/>
        <v>4.3874737221450966</v>
      </c>
      <c r="F619" s="170">
        <f t="shared" si="94"/>
        <v>164.64459369695297</v>
      </c>
    </row>
    <row r="620" spans="1:7" s="167" customFormat="1">
      <c r="A620" s="347" t="s">
        <v>262</v>
      </c>
      <c r="B620" s="170">
        <f t="shared" si="92"/>
        <v>46.859671908719037</v>
      </c>
      <c r="C620" s="170">
        <f t="shared" si="97"/>
        <v>409.98838055034662</v>
      </c>
      <c r="D620" s="262">
        <f t="shared" si="93"/>
        <v>0</v>
      </c>
      <c r="E620" s="170">
        <f t="shared" si="99"/>
        <v>0</v>
      </c>
      <c r="F620" s="391">
        <f t="shared" si="94"/>
        <v>164.64459369695297</v>
      </c>
    </row>
    <row r="621" spans="1:7" s="167" customFormat="1" ht="15" thickBot="1">
      <c r="A621" s="346" t="s">
        <v>199</v>
      </c>
      <c r="B621" s="491">
        <f>SUM(B608:B620)</f>
        <v>409.98838055034662</v>
      </c>
      <c r="D621" s="676" t="s">
        <v>192</v>
      </c>
      <c r="E621" s="676"/>
      <c r="F621" s="498">
        <f>SUM(F608:F620)/13</f>
        <v>108.60607174039771</v>
      </c>
      <c r="G621" s="518"/>
    </row>
    <row r="622" spans="1:7" ht="15" thickTop="1">
      <c r="A622" s="346"/>
      <c r="B622" s="242"/>
      <c r="D622" s="392"/>
      <c r="E622" s="392"/>
      <c r="F622" s="140"/>
    </row>
    <row r="625" spans="1:7" ht="18.75" thickBot="1">
      <c r="A625" s="689" t="s">
        <v>250</v>
      </c>
      <c r="B625" s="690"/>
      <c r="C625" s="690"/>
      <c r="D625" s="690"/>
      <c r="E625" s="690"/>
      <c r="F625" s="690"/>
    </row>
    <row r="626" spans="1:7" s="167" customFormat="1">
      <c r="A626" s="492" t="s">
        <v>266</v>
      </c>
      <c r="B626" s="493">
        <f t="shared" ref="B626:B632" si="100">B21</f>
        <v>6.25E-2</v>
      </c>
      <c r="C626" s="499"/>
    </row>
    <row r="627" spans="1:7" s="167" customFormat="1">
      <c r="A627" s="492" t="s">
        <v>270</v>
      </c>
      <c r="B627" s="497">
        <f t="shared" si="100"/>
        <v>0.40720000000000001</v>
      </c>
    </row>
    <row r="628" spans="1:7" s="167" customFormat="1">
      <c r="A628" s="492" t="s">
        <v>267</v>
      </c>
      <c r="B628" s="493">
        <f t="shared" si="100"/>
        <v>6.25E-2</v>
      </c>
    </row>
    <row r="629" spans="1:7" s="167" customFormat="1">
      <c r="A629" s="319" t="s">
        <v>167</v>
      </c>
      <c r="B629" s="493">
        <f t="shared" si="100"/>
        <v>6.25E-2</v>
      </c>
    </row>
    <row r="630" spans="1:7" s="167" customFormat="1">
      <c r="A630" s="319" t="s">
        <v>168</v>
      </c>
      <c r="B630" s="493">
        <f t="shared" si="100"/>
        <v>6.25E-2</v>
      </c>
    </row>
    <row r="631" spans="1:7" s="167" customFormat="1">
      <c r="A631" s="319" t="s">
        <v>169</v>
      </c>
      <c r="B631" s="493">
        <f t="shared" si="100"/>
        <v>6.25E-2</v>
      </c>
    </row>
    <row r="632" spans="1:7" s="167" customFormat="1">
      <c r="A632" s="492" t="s">
        <v>268</v>
      </c>
      <c r="B632" s="497">
        <f t="shared" si="100"/>
        <v>0.40739999999999998</v>
      </c>
    </row>
    <row r="633" spans="1:7" s="167" customFormat="1">
      <c r="A633" s="496"/>
      <c r="B633" s="497"/>
    </row>
    <row r="634" spans="1:7" s="167" customFormat="1"/>
    <row r="635" spans="1:7" s="167" customFormat="1"/>
    <row r="636" spans="1:7" s="167" customFormat="1" ht="15">
      <c r="A636" s="507" t="s">
        <v>135</v>
      </c>
    </row>
    <row r="637" spans="1:7" s="167" customFormat="1" ht="28.5">
      <c r="A637" s="679" t="str">
        <f>A625</f>
        <v>Lugo-Pisgah</v>
      </c>
      <c r="B637" s="681" t="s">
        <v>179</v>
      </c>
      <c r="C637" s="681" t="s">
        <v>180</v>
      </c>
      <c r="D637" s="681" t="s">
        <v>181</v>
      </c>
      <c r="E637" s="684" t="s">
        <v>144</v>
      </c>
      <c r="F637" s="508" t="s">
        <v>136</v>
      </c>
      <c r="G637" s="509" t="s">
        <v>196</v>
      </c>
    </row>
    <row r="638" spans="1:7" s="167" customFormat="1">
      <c r="A638" s="680"/>
      <c r="B638" s="682"/>
      <c r="C638" s="682"/>
      <c r="D638" s="683"/>
      <c r="E638" s="685"/>
      <c r="F638" s="500">
        <f>B627</f>
        <v>0.40720000000000001</v>
      </c>
      <c r="G638" s="501">
        <v>40179</v>
      </c>
    </row>
    <row r="639" spans="1:7" s="167" customFormat="1" ht="15">
      <c r="A639" s="510"/>
      <c r="B639" s="511"/>
      <c r="C639" s="511"/>
      <c r="D639" s="512"/>
      <c r="E639" s="313"/>
      <c r="F639" s="505">
        <f>B632</f>
        <v>0.40739999999999998</v>
      </c>
      <c r="G639" s="501">
        <v>40544</v>
      </c>
    </row>
    <row r="640" spans="1:7" s="167" customFormat="1" ht="15">
      <c r="A640" s="502"/>
      <c r="B640" s="503"/>
      <c r="C640" s="503"/>
      <c r="D640" s="504"/>
      <c r="E640" s="257"/>
      <c r="F640" s="513"/>
      <c r="G640" s="506"/>
    </row>
    <row r="641" spans="1:6" s="167" customFormat="1">
      <c r="A641" s="347" t="s">
        <v>275</v>
      </c>
      <c r="B641" s="167">
        <f>'Lugo-Pisgah CWIP Balance'!E15-'Beg int cap'!B27</f>
        <v>-320.10793000000001</v>
      </c>
      <c r="C641" s="170">
        <f>'Beg int cap'!E27</f>
        <v>0</v>
      </c>
      <c r="D641" s="167">
        <f>SUM(B641:C641)</f>
        <v>-320.10793000000001</v>
      </c>
      <c r="F641" s="167">
        <f>(C641*F638)-('Beg int cap'!D40*'Def Tax'!F638)</f>
        <v>0</v>
      </c>
    </row>
    <row r="642" spans="1:6" s="167" customFormat="1">
      <c r="A642" s="347" t="s">
        <v>226</v>
      </c>
      <c r="B642" s="167">
        <f>B641+'Lugo-Pisgah CWIP Balance'!D16</f>
        <v>-143.87356</v>
      </c>
      <c r="C642" s="167">
        <f>C641+E642</f>
        <v>-1.6672288020833332</v>
      </c>
      <c r="D642" s="167">
        <f>SUM(B642:C642)</f>
        <v>-145.54078880208334</v>
      </c>
      <c r="E642" s="167">
        <f>D641*(B626/12)</f>
        <v>-1.6672288020833332</v>
      </c>
      <c r="F642" s="167">
        <f>+E642*$F$638</f>
        <v>-0.6788955682083333</v>
      </c>
    </row>
    <row r="643" spans="1:6" s="167" customFormat="1" ht="15" thickBot="1">
      <c r="A643" s="253"/>
      <c r="E643" s="168"/>
      <c r="F643" s="168"/>
    </row>
    <row r="644" spans="1:6" s="167" customFormat="1" ht="15" thickTop="1">
      <c r="A644" s="253"/>
    </row>
    <row r="645" spans="1:6" s="167" customFormat="1">
      <c r="A645" s="347" t="s">
        <v>261</v>
      </c>
      <c r="B645" s="167">
        <f>B642+'Lugo-Pisgah CWIP Balance'!D17</f>
        <v>-50.412750000000003</v>
      </c>
      <c r="C645" s="167">
        <f>C642+E645</f>
        <v>-2.4252537437608508</v>
      </c>
      <c r="D645" s="167">
        <f>SUM(B645:C645)</f>
        <v>-52.838003743760851</v>
      </c>
      <c r="E645" s="167">
        <f>D642*($B$628/12)</f>
        <v>-0.75802494167751733</v>
      </c>
      <c r="F645" s="167">
        <f>+E645*$F$639</f>
        <v>-0.30881936123942055</v>
      </c>
    </row>
    <row r="646" spans="1:6" s="167" customFormat="1">
      <c r="A646" s="253" t="s">
        <v>119</v>
      </c>
      <c r="B646" s="167">
        <f>B645+'Lugo-Pisgah CWIP Balance'!D18</f>
        <v>-4.7547500000000014</v>
      </c>
      <c r="C646" s="167">
        <f>C645+E646</f>
        <v>-2.7004516799262719</v>
      </c>
      <c r="D646" s="167">
        <f>SUM(B646:C646)</f>
        <v>-7.4552016799262733</v>
      </c>
      <c r="E646" s="167">
        <f>D645*($B$628/12)</f>
        <v>-0.2751979361654211</v>
      </c>
      <c r="F646" s="167">
        <f t="shared" ref="F646:F656" si="101">+E646*$F$639</f>
        <v>-0.11211563919379255</v>
      </c>
    </row>
    <row r="647" spans="1:6" s="167" customFormat="1">
      <c r="A647" s="253" t="s">
        <v>120</v>
      </c>
      <c r="B647" s="167">
        <f>B646+'Lugo-Pisgah CWIP Balance'!D19</f>
        <v>77.648169999999993</v>
      </c>
      <c r="C647" s="167">
        <f>C646+E647</f>
        <v>-2.7392808553425545</v>
      </c>
      <c r="D647" s="167">
        <f>SUM(B647:C647)</f>
        <v>74.908889144657437</v>
      </c>
      <c r="E647" s="167">
        <f>D646*($B$628/12)</f>
        <v>-3.8829175416282669E-2</v>
      </c>
      <c r="F647" s="167">
        <f t="shared" si="101"/>
        <v>-1.581900606459356E-2</v>
      </c>
    </row>
    <row r="648" spans="1:6" s="167" customFormat="1">
      <c r="A648" s="253" t="s">
        <v>121</v>
      </c>
      <c r="B648" s="167">
        <f>B647+'Lugo-Pisgah CWIP Balance'!D20</f>
        <v>-186.84745000000004</v>
      </c>
      <c r="C648" s="167">
        <f>C647+E648</f>
        <v>-2.3491303910474635</v>
      </c>
      <c r="D648" s="167">
        <f>SUM(B648:C648)</f>
        <v>-189.19658039104749</v>
      </c>
      <c r="E648" s="167">
        <f>D647*($B$629/12)</f>
        <v>0.39015046429509082</v>
      </c>
      <c r="F648" s="167">
        <f t="shared" si="101"/>
        <v>0.15894729915382</v>
      </c>
    </row>
    <row r="649" spans="1:6" s="167" customFormat="1">
      <c r="A649" s="253" t="s">
        <v>75</v>
      </c>
      <c r="B649" s="167">
        <f>B648+'Lugo-Pisgah CWIP Balance'!D21</f>
        <v>-166.92271000000002</v>
      </c>
      <c r="C649" s="167">
        <f t="shared" ref="C649:C651" si="102">C648+E649</f>
        <v>-3.3345292472508357</v>
      </c>
      <c r="D649" s="167">
        <f t="shared" ref="D649:D651" si="103">SUM(B649:C649)</f>
        <v>-170.25723924725085</v>
      </c>
      <c r="E649" s="167">
        <f>D648*($B$629/12)</f>
        <v>-0.98539885620337231</v>
      </c>
      <c r="F649" s="167">
        <f t="shared" si="101"/>
        <v>-0.40145149401725388</v>
      </c>
    </row>
    <row r="650" spans="1:6" s="167" customFormat="1">
      <c r="A650" s="253" t="s">
        <v>122</v>
      </c>
      <c r="B650" s="167">
        <f>B649+'Lugo-Pisgah CWIP Balance'!D22</f>
        <v>118.84936999999994</v>
      </c>
      <c r="C650" s="167">
        <f t="shared" si="102"/>
        <v>-4.2212857016636001</v>
      </c>
      <c r="D650" s="167">
        <f t="shared" si="103"/>
        <v>114.62808429833633</v>
      </c>
      <c r="E650" s="167">
        <f>D649*($B$629/12)</f>
        <v>-0.88675645441276485</v>
      </c>
      <c r="F650" s="167">
        <f t="shared" si="101"/>
        <v>-0.36126457952776037</v>
      </c>
    </row>
    <row r="651" spans="1:6" s="167" customFormat="1">
      <c r="A651" s="253" t="s">
        <v>123</v>
      </c>
      <c r="B651" s="167">
        <f>B650+'Lugo-Pisgah CWIP Balance'!D23</f>
        <v>18.44509999999994</v>
      </c>
      <c r="C651" s="167">
        <f t="shared" si="102"/>
        <v>-3.6242644292764314</v>
      </c>
      <c r="D651" s="167">
        <f t="shared" si="103"/>
        <v>14.820835570723508</v>
      </c>
      <c r="E651" s="167">
        <f>D650*($B$630/12)</f>
        <v>0.5970212723871684</v>
      </c>
      <c r="F651" s="167">
        <f t="shared" si="101"/>
        <v>0.24322646637053238</v>
      </c>
    </row>
    <row r="652" spans="1:6" s="167" customFormat="1">
      <c r="A652" s="253" t="s">
        <v>124</v>
      </c>
      <c r="B652" s="167">
        <f>B651+'Lugo-Pisgah CWIP Balance'!D24</f>
        <v>60.164149999999935</v>
      </c>
      <c r="C652" s="167">
        <f>C651+E652</f>
        <v>-3.5470725773455798</v>
      </c>
      <c r="D652" s="167">
        <f>SUM(B652:C652)</f>
        <v>56.617077422654354</v>
      </c>
      <c r="E652" s="167">
        <f>D651*($B$630/12)</f>
        <v>7.7191851930851596E-2</v>
      </c>
      <c r="F652" s="167">
        <f t="shared" si="101"/>
        <v>3.1447960476628942E-2</v>
      </c>
    </row>
    <row r="653" spans="1:6" s="167" customFormat="1">
      <c r="A653" s="253" t="s">
        <v>125</v>
      </c>
      <c r="B653" s="167">
        <f>B652+'Lugo-Pisgah CWIP Balance'!D25</f>
        <v>-199.81168000000002</v>
      </c>
      <c r="C653" s="167">
        <f>C652+E653</f>
        <v>-3.2521919657692551</v>
      </c>
      <c r="D653" s="167">
        <f>SUM(B653:C653)</f>
        <v>-203.06387196576927</v>
      </c>
      <c r="E653" s="167">
        <f>D652*($B$630/12)</f>
        <v>0.29488061157632472</v>
      </c>
      <c r="F653" s="167">
        <f t="shared" si="101"/>
        <v>0.12013436115619469</v>
      </c>
    </row>
    <row r="654" spans="1:6" s="167" customFormat="1">
      <c r="A654" s="253" t="s">
        <v>126</v>
      </c>
      <c r="B654" s="167">
        <f>B653+'Lugo-Pisgah CWIP Balance'!D26</f>
        <v>-187.00144000000003</v>
      </c>
      <c r="C654" s="167">
        <f>C653+E654</f>
        <v>-4.3098162989243036</v>
      </c>
      <c r="D654" s="167">
        <f t="shared" ref="D654:D656" si="104">SUM(B654:C654)</f>
        <v>-191.31125629892432</v>
      </c>
      <c r="E654" s="167">
        <f>D653*($B$631/12)</f>
        <v>-1.0576243331550481</v>
      </c>
      <c r="F654" s="167">
        <f t="shared" si="101"/>
        <v>-0.43087615332736656</v>
      </c>
    </row>
    <row r="655" spans="1:6" s="167" customFormat="1">
      <c r="A655" s="253" t="s">
        <v>127</v>
      </c>
      <c r="B655" s="167">
        <f>B654+'Lugo-Pisgah CWIP Balance'!D27</f>
        <v>-107.60255000000002</v>
      </c>
      <c r="C655" s="167">
        <f t="shared" ref="C655" si="105">C654+E655</f>
        <v>-5.3062290921478681</v>
      </c>
      <c r="D655" s="167">
        <f t="shared" si="104"/>
        <v>-112.9087790921479</v>
      </c>
      <c r="E655" s="167">
        <f t="shared" ref="E655:E656" si="106">D654*($B$631/12)</f>
        <v>-0.99641279322356413</v>
      </c>
      <c r="F655" s="167">
        <f t="shared" si="101"/>
        <v>-0.40593857195928001</v>
      </c>
    </row>
    <row r="656" spans="1:6" s="167" customFormat="1">
      <c r="A656" s="347" t="s">
        <v>262</v>
      </c>
      <c r="B656" s="167">
        <f>B655+'Lugo-Pisgah CWIP Balance'!D28</f>
        <v>-73.287940000000035</v>
      </c>
      <c r="C656" s="167">
        <f>C655+E656</f>
        <v>-5.8942956499194716</v>
      </c>
      <c r="D656" s="167">
        <f t="shared" si="104"/>
        <v>-79.182235649919505</v>
      </c>
      <c r="E656" s="167">
        <f t="shared" si="106"/>
        <v>-0.58806655777160355</v>
      </c>
      <c r="F656" s="167">
        <f t="shared" si="101"/>
        <v>-0.23957831563615128</v>
      </c>
    </row>
    <row r="657" spans="1:6" s="167" customFormat="1" ht="15" thickBot="1">
      <c r="A657" s="347"/>
      <c r="E657" s="168"/>
      <c r="F657" s="168"/>
    </row>
    <row r="658" spans="1:6" s="167" customFormat="1" ht="15" thickTop="1">
      <c r="E658" s="296"/>
      <c r="F658" s="296"/>
    </row>
    <row r="659" spans="1:6" s="167" customFormat="1">
      <c r="A659" s="674"/>
      <c r="B659" s="674"/>
      <c r="C659" s="674"/>
      <c r="D659" s="674"/>
      <c r="E659" s="674"/>
      <c r="F659" s="674"/>
    </row>
    <row r="660" spans="1:6" s="167" customFormat="1" ht="15.75">
      <c r="A660" s="674" t="s">
        <v>145</v>
      </c>
      <c r="B660" s="674"/>
      <c r="C660" s="674"/>
      <c r="D660" s="674"/>
      <c r="E660" s="674"/>
      <c r="F660" s="674"/>
    </row>
    <row r="661" spans="1:6" s="167" customFormat="1">
      <c r="A661" s="674"/>
      <c r="B661" s="674"/>
      <c r="C661" s="674"/>
      <c r="D661" s="674"/>
      <c r="E661" s="674"/>
      <c r="F661" s="674"/>
    </row>
    <row r="662" spans="1:6" s="167" customFormat="1"/>
    <row r="663" spans="1:6" s="167" customFormat="1" ht="15">
      <c r="A663" s="507" t="s">
        <v>138</v>
      </c>
    </row>
    <row r="664" spans="1:6" s="167" customFormat="1" ht="28.5">
      <c r="A664" s="514" t="str">
        <f>A625</f>
        <v>Lugo-Pisgah</v>
      </c>
      <c r="B664" s="169" t="s">
        <v>139</v>
      </c>
      <c r="C664" s="169" t="s">
        <v>140</v>
      </c>
      <c r="D664" s="169" t="s">
        <v>141</v>
      </c>
      <c r="E664" s="169" t="s">
        <v>142</v>
      </c>
      <c r="F664" s="169" t="s">
        <v>143</v>
      </c>
    </row>
    <row r="665" spans="1:6" s="167" customFormat="1">
      <c r="A665" s="347" t="s">
        <v>275</v>
      </c>
      <c r="B665" s="167">
        <f>+F641</f>
        <v>0</v>
      </c>
      <c r="C665" s="170">
        <f>B665</f>
        <v>0</v>
      </c>
      <c r="D665" s="262">
        <v>8.3299999999999999E-2</v>
      </c>
      <c r="E665" s="170">
        <f t="shared" ref="E665:E678" si="107">+B665*D665</f>
        <v>0</v>
      </c>
      <c r="F665" s="263">
        <f>+C665*D665</f>
        <v>0</v>
      </c>
    </row>
    <row r="666" spans="1:6" s="167" customFormat="1">
      <c r="A666" s="347" t="s">
        <v>226</v>
      </c>
      <c r="B666" s="167">
        <f>+F642</f>
        <v>-0.6788955682083333</v>
      </c>
      <c r="C666" s="170">
        <f>C665+B666</f>
        <v>-0.6788955682083333</v>
      </c>
      <c r="D666" s="262">
        <v>1</v>
      </c>
      <c r="E666" s="170">
        <f t="shared" si="107"/>
        <v>-0.6788955682083333</v>
      </c>
      <c r="F666" s="170">
        <f t="shared" ref="F666:F672" si="108">+F665+E666</f>
        <v>-0.6788955682083333</v>
      </c>
    </row>
    <row r="667" spans="1:6" s="167" customFormat="1">
      <c r="A667" s="347" t="s">
        <v>261</v>
      </c>
      <c r="B667" s="170">
        <f t="shared" ref="B667:B678" si="109">+F645</f>
        <v>-0.30881936123942055</v>
      </c>
      <c r="C667" s="170">
        <f>+C666+B667</f>
        <v>-0.98771492944775385</v>
      </c>
      <c r="D667" s="262">
        <f>D666-(1/12)</f>
        <v>0.91666666666666663</v>
      </c>
      <c r="E667" s="170">
        <f t="shared" si="107"/>
        <v>-0.2830844144694688</v>
      </c>
      <c r="F667" s="170">
        <f t="shared" si="108"/>
        <v>-0.96197998267780216</v>
      </c>
    </row>
    <row r="668" spans="1:6" s="167" customFormat="1">
      <c r="A668" s="253" t="s">
        <v>119</v>
      </c>
      <c r="B668" s="170">
        <f t="shared" si="109"/>
        <v>-0.11211563919379255</v>
      </c>
      <c r="C668" s="170">
        <f>+C667+B668</f>
        <v>-1.0998305686415464</v>
      </c>
      <c r="D668" s="262">
        <f t="shared" ref="D668:D678" si="110">D667-(1/12)</f>
        <v>0.83333333333333326</v>
      </c>
      <c r="E668" s="170">
        <f t="shared" si="107"/>
        <v>-9.3429699328160448E-2</v>
      </c>
      <c r="F668" s="170">
        <f t="shared" si="108"/>
        <v>-1.0554096820059626</v>
      </c>
    </row>
    <row r="669" spans="1:6" s="167" customFormat="1">
      <c r="A669" s="253" t="s">
        <v>120</v>
      </c>
      <c r="B669" s="170">
        <f t="shared" si="109"/>
        <v>-1.581900606459356E-2</v>
      </c>
      <c r="C669" s="170">
        <f>+C668+B669</f>
        <v>-1.1156495747061399</v>
      </c>
      <c r="D669" s="262">
        <f t="shared" si="110"/>
        <v>0.74999999999999989</v>
      </c>
      <c r="E669" s="170">
        <f t="shared" si="107"/>
        <v>-1.1864254548445167E-2</v>
      </c>
      <c r="F669" s="170">
        <f t="shared" si="108"/>
        <v>-1.0672739365544077</v>
      </c>
    </row>
    <row r="670" spans="1:6" s="167" customFormat="1">
      <c r="A670" s="253" t="s">
        <v>121</v>
      </c>
      <c r="B670" s="170">
        <f t="shared" si="109"/>
        <v>0.15894729915382</v>
      </c>
      <c r="C670" s="170">
        <f>+C669+B670</f>
        <v>-0.9567022755523199</v>
      </c>
      <c r="D670" s="262">
        <f t="shared" si="110"/>
        <v>0.66666666666666652</v>
      </c>
      <c r="E670" s="170">
        <f t="shared" si="107"/>
        <v>0.10596486610254664</v>
      </c>
      <c r="F670" s="170">
        <f t="shared" si="108"/>
        <v>-0.96130907045186109</v>
      </c>
    </row>
    <row r="671" spans="1:6" s="167" customFormat="1">
      <c r="A671" s="253" t="s">
        <v>75</v>
      </c>
      <c r="B671" s="170">
        <f t="shared" si="109"/>
        <v>-0.40145149401725388</v>
      </c>
      <c r="C671" s="170">
        <f t="shared" ref="C671:C673" si="111">+C670+B671</f>
        <v>-1.3581537695695738</v>
      </c>
      <c r="D671" s="262">
        <f t="shared" si="110"/>
        <v>0.58333333333333315</v>
      </c>
      <c r="E671" s="170">
        <f t="shared" si="107"/>
        <v>-0.23418003817673136</v>
      </c>
      <c r="F671" s="170">
        <f t="shared" si="108"/>
        <v>-1.1954891086285924</v>
      </c>
    </row>
    <row r="672" spans="1:6" s="167" customFormat="1">
      <c r="A672" s="253" t="s">
        <v>122</v>
      </c>
      <c r="B672" s="170">
        <f t="shared" si="109"/>
        <v>-0.36126457952776037</v>
      </c>
      <c r="C672" s="170">
        <f t="shared" si="111"/>
        <v>-1.7194183490973343</v>
      </c>
      <c r="D672" s="262">
        <f t="shared" si="110"/>
        <v>0.49999999999999983</v>
      </c>
      <c r="E672" s="170">
        <f t="shared" si="107"/>
        <v>-0.18063228976388013</v>
      </c>
      <c r="F672" s="170">
        <f t="shared" si="108"/>
        <v>-1.3761213983924725</v>
      </c>
    </row>
    <row r="673" spans="1:6" s="167" customFormat="1">
      <c r="A673" s="253" t="s">
        <v>123</v>
      </c>
      <c r="B673" s="170">
        <f t="shared" si="109"/>
        <v>0.24322646637053238</v>
      </c>
      <c r="C673" s="170">
        <f t="shared" si="111"/>
        <v>-1.4761918827268019</v>
      </c>
      <c r="D673" s="262">
        <f t="shared" si="110"/>
        <v>0.41666666666666652</v>
      </c>
      <c r="E673" s="170">
        <f t="shared" si="107"/>
        <v>0.10134436098772179</v>
      </c>
      <c r="F673" s="170">
        <f t="shared" ref="F673" si="112">+F672+E673</f>
        <v>-1.2747770374047507</v>
      </c>
    </row>
    <row r="674" spans="1:6" s="167" customFormat="1">
      <c r="A674" s="253" t="s">
        <v>124</v>
      </c>
      <c r="B674" s="170">
        <f t="shared" si="109"/>
        <v>3.1447960476628942E-2</v>
      </c>
      <c r="C674" s="170">
        <f>+C673+B674</f>
        <v>-1.444743922250173</v>
      </c>
      <c r="D674" s="262">
        <f>D673-(1/12)</f>
        <v>0.3333333333333332</v>
      </c>
      <c r="E674" s="170">
        <f t="shared" si="107"/>
        <v>1.0482653492209643E-2</v>
      </c>
      <c r="F674" s="170">
        <f>+F673+E674</f>
        <v>-1.2642943839125411</v>
      </c>
    </row>
    <row r="675" spans="1:6" s="167" customFormat="1">
      <c r="A675" s="253" t="s">
        <v>125</v>
      </c>
      <c r="B675" s="170">
        <f t="shared" si="109"/>
        <v>0.12013436115619469</v>
      </c>
      <c r="C675" s="170">
        <f>+C674+B675</f>
        <v>-1.3246095610939783</v>
      </c>
      <c r="D675" s="262">
        <f>D674-(1/12)</f>
        <v>0.24999999999999989</v>
      </c>
      <c r="E675" s="170">
        <f t="shared" si="107"/>
        <v>3.0033590289048659E-2</v>
      </c>
      <c r="F675" s="170">
        <f>+F674+E675</f>
        <v>-1.2342607936234924</v>
      </c>
    </row>
    <row r="676" spans="1:6" s="167" customFormat="1">
      <c r="A676" s="253" t="s">
        <v>126</v>
      </c>
      <c r="B676" s="170">
        <f t="shared" si="109"/>
        <v>-0.43087615332736656</v>
      </c>
      <c r="C676" s="170">
        <f t="shared" ref="C676:C678" si="113">+C675+B676</f>
        <v>-1.7554857144213449</v>
      </c>
      <c r="D676" s="262">
        <f t="shared" si="110"/>
        <v>0.16666666666666657</v>
      </c>
      <c r="E676" s="170">
        <f t="shared" si="107"/>
        <v>-7.1812692221227714E-2</v>
      </c>
      <c r="F676" s="170">
        <f t="shared" ref="F676:F678" si="114">+F675+E676</f>
        <v>-1.3060734858447201</v>
      </c>
    </row>
    <row r="677" spans="1:6" s="167" customFormat="1">
      <c r="A677" s="253" t="s">
        <v>127</v>
      </c>
      <c r="B677" s="170">
        <f t="shared" si="109"/>
        <v>-0.40593857195928001</v>
      </c>
      <c r="C677" s="170">
        <f t="shared" si="113"/>
        <v>-2.1614242863806248</v>
      </c>
      <c r="D677" s="262">
        <f t="shared" si="110"/>
        <v>8.3333333333333245E-2</v>
      </c>
      <c r="E677" s="170">
        <f t="shared" si="107"/>
        <v>-3.3828214329939967E-2</v>
      </c>
      <c r="F677" s="170">
        <f t="shared" si="114"/>
        <v>-1.33990170017466</v>
      </c>
    </row>
    <row r="678" spans="1:6" s="167" customFormat="1">
      <c r="A678" s="347" t="s">
        <v>262</v>
      </c>
      <c r="B678" s="170">
        <f t="shared" si="109"/>
        <v>-0.23957831563615128</v>
      </c>
      <c r="C678" s="170">
        <f t="shared" si="113"/>
        <v>-2.4010026020167761</v>
      </c>
      <c r="D678" s="262">
        <f t="shared" si="110"/>
        <v>0</v>
      </c>
      <c r="E678" s="170">
        <f t="shared" si="107"/>
        <v>0</v>
      </c>
      <c r="F678" s="391">
        <f t="shared" si="114"/>
        <v>-1.33990170017466</v>
      </c>
    </row>
    <row r="679" spans="1:6" s="167" customFormat="1" ht="15" thickBot="1">
      <c r="A679" s="346" t="s">
        <v>199</v>
      </c>
      <c r="B679" s="491">
        <f>SUM(B666:B678)</f>
        <v>-2.4010026020167761</v>
      </c>
      <c r="D679" s="676" t="s">
        <v>192</v>
      </c>
      <c r="E679" s="676"/>
      <c r="F679" s="498">
        <f>SUM(F666:F678)/13</f>
        <v>-1.1581298344657123</v>
      </c>
    </row>
    <row r="680" spans="1:6" s="167" customFormat="1" ht="15" thickTop="1">
      <c r="A680" s="347"/>
      <c r="B680" s="170"/>
      <c r="C680" s="170"/>
      <c r="D680" s="262"/>
      <c r="E680" s="170"/>
      <c r="F680" s="263"/>
    </row>
    <row r="681" spans="1:6" s="167" customFormat="1"/>
    <row r="682" spans="1:6" s="167" customFormat="1"/>
    <row r="683" spans="1:6" s="167" customFormat="1" ht="18.75" thickBot="1">
      <c r="A683" s="677" t="s">
        <v>251</v>
      </c>
      <c r="B683" s="678"/>
      <c r="C683" s="678"/>
      <c r="D683" s="678"/>
      <c r="E683" s="678"/>
      <c r="F683" s="678"/>
    </row>
    <row r="684" spans="1:6" s="167" customFormat="1">
      <c r="A684" s="492" t="s">
        <v>278</v>
      </c>
      <c r="B684" s="493">
        <f t="shared" ref="B684:B693" si="115">B18</f>
        <v>6.25E-2</v>
      </c>
      <c r="C684" s="499"/>
    </row>
    <row r="685" spans="1:6" s="167" customFormat="1">
      <c r="A685" s="319" t="s">
        <v>167</v>
      </c>
      <c r="B685" s="493">
        <f t="shared" si="115"/>
        <v>6.25E-2</v>
      </c>
    </row>
    <row r="686" spans="1:6" s="167" customFormat="1">
      <c r="A686" s="319" t="s">
        <v>168</v>
      </c>
      <c r="B686" s="493">
        <f t="shared" si="115"/>
        <v>6.25E-2</v>
      </c>
    </row>
    <row r="687" spans="1:6" s="167" customFormat="1">
      <c r="A687" s="319" t="s">
        <v>169</v>
      </c>
      <c r="B687" s="493">
        <f t="shared" si="115"/>
        <v>6.25E-2</v>
      </c>
    </row>
    <row r="688" spans="1:6" s="167" customFormat="1">
      <c r="A688" s="492" t="s">
        <v>270</v>
      </c>
      <c r="B688" s="497">
        <f t="shared" si="115"/>
        <v>0.40720000000000001</v>
      </c>
    </row>
    <row r="689" spans="1:7" s="167" customFormat="1">
      <c r="A689" s="492" t="s">
        <v>267</v>
      </c>
      <c r="B689" s="493">
        <f t="shared" si="115"/>
        <v>6.25E-2</v>
      </c>
    </row>
    <row r="690" spans="1:7" s="167" customFormat="1">
      <c r="A690" s="319" t="s">
        <v>167</v>
      </c>
      <c r="B690" s="493">
        <f t="shared" si="115"/>
        <v>6.25E-2</v>
      </c>
    </row>
    <row r="691" spans="1:7" s="167" customFormat="1">
      <c r="A691" s="319" t="s">
        <v>168</v>
      </c>
      <c r="B691" s="493">
        <f t="shared" si="115"/>
        <v>6.25E-2</v>
      </c>
    </row>
    <row r="692" spans="1:7" s="167" customFormat="1">
      <c r="A692" s="319" t="s">
        <v>169</v>
      </c>
      <c r="B692" s="493">
        <f t="shared" si="115"/>
        <v>6.25E-2</v>
      </c>
    </row>
    <row r="693" spans="1:7" s="167" customFormat="1">
      <c r="A693" s="492" t="s">
        <v>269</v>
      </c>
      <c r="B693" s="497">
        <f t="shared" si="115"/>
        <v>0.40739999999999998</v>
      </c>
    </row>
    <row r="694" spans="1:7" s="167" customFormat="1">
      <c r="A694" s="496"/>
      <c r="B694" s="497"/>
    </row>
    <row r="695" spans="1:7" s="167" customFormat="1"/>
    <row r="696" spans="1:7" s="167" customFormat="1"/>
    <row r="697" spans="1:7" s="167" customFormat="1" ht="15">
      <c r="A697" s="507" t="s">
        <v>135</v>
      </c>
    </row>
    <row r="698" spans="1:7" s="167" customFormat="1" ht="57" customHeight="1">
      <c r="A698" s="679" t="str">
        <f>A683</f>
        <v>Red Bluff</v>
      </c>
      <c r="B698" s="681" t="s">
        <v>179</v>
      </c>
      <c r="C698" s="681" t="s">
        <v>180</v>
      </c>
      <c r="D698" s="681" t="s">
        <v>181</v>
      </c>
      <c r="E698" s="684" t="s">
        <v>144</v>
      </c>
      <c r="F698" s="508" t="s">
        <v>136</v>
      </c>
      <c r="G698" s="509" t="s">
        <v>196</v>
      </c>
    </row>
    <row r="699" spans="1:7" s="167" customFormat="1">
      <c r="A699" s="691"/>
      <c r="B699" s="692"/>
      <c r="C699" s="692"/>
      <c r="D699" s="693"/>
      <c r="E699" s="694"/>
      <c r="F699" s="500">
        <f>B688</f>
        <v>0.40720000000000001</v>
      </c>
      <c r="G699" s="501">
        <v>40179</v>
      </c>
    </row>
    <row r="700" spans="1:7" s="167" customFormat="1" ht="15">
      <c r="A700" s="510"/>
      <c r="B700" s="511"/>
      <c r="C700" s="511"/>
      <c r="D700" s="512"/>
      <c r="E700" s="575"/>
      <c r="F700" s="500">
        <f>B693</f>
        <v>0.40739999999999998</v>
      </c>
      <c r="G700" s="501">
        <v>40544</v>
      </c>
    </row>
    <row r="701" spans="1:7" s="167" customFormat="1" ht="15">
      <c r="A701" s="502"/>
      <c r="B701" s="503"/>
      <c r="C701" s="503"/>
      <c r="D701" s="504"/>
      <c r="E701" s="257"/>
      <c r="F701" s="513"/>
      <c r="G701" s="506"/>
    </row>
    <row r="702" spans="1:7" s="167" customFormat="1">
      <c r="A702" s="347" t="s">
        <v>275</v>
      </c>
      <c r="B702" s="167">
        <f>'Red Bluff CWIP Balance'!E15-'Beg int cap'!B28</f>
        <v>457.80162999999999</v>
      </c>
      <c r="C702" s="170">
        <f>'Beg int cap'!E28</f>
        <v>0.41399999999999998</v>
      </c>
      <c r="D702" s="167">
        <f>SUM(B702:C702)</f>
        <v>458.21562999999998</v>
      </c>
      <c r="F702" s="167">
        <f>(C702*F699)-('Beg int cap'!D41*'Def Tax'!F699)</f>
        <v>9.9767435953599992E-2</v>
      </c>
    </row>
    <row r="703" spans="1:7" s="167" customFormat="1">
      <c r="A703" s="347" t="s">
        <v>226</v>
      </c>
      <c r="B703" s="167">
        <f>B702+'Red Bluff CWIP Balance'!D16</f>
        <v>783.91</v>
      </c>
      <c r="C703" s="167">
        <f>C702+E703</f>
        <v>2.8005397395833334</v>
      </c>
      <c r="D703" s="167">
        <f>SUM(B703:C703)</f>
        <v>786.71053973958328</v>
      </c>
      <c r="E703" s="167">
        <f>D702*(B687/12)</f>
        <v>2.3865397395833332</v>
      </c>
      <c r="F703" s="167">
        <f>+E703*$F$699</f>
        <v>0.97179898195833325</v>
      </c>
    </row>
    <row r="704" spans="1:7" s="167" customFormat="1" ht="15" thickBot="1">
      <c r="A704" s="253"/>
      <c r="E704" s="168"/>
      <c r="F704" s="168"/>
    </row>
    <row r="705" spans="1:6" s="167" customFormat="1" ht="15" thickTop="1">
      <c r="A705" s="253"/>
    </row>
    <row r="706" spans="1:6" s="167" customFormat="1">
      <c r="A706" s="347" t="s">
        <v>261</v>
      </c>
      <c r="B706" s="167">
        <f>B703+'Red Bluff CWIP Balance'!D17</f>
        <v>967.46898999999996</v>
      </c>
      <c r="C706" s="167">
        <f>C703+E706</f>
        <v>6.8979904673936634</v>
      </c>
      <c r="D706" s="167">
        <f>SUM(B706:C706)</f>
        <v>974.36698046739366</v>
      </c>
      <c r="E706" s="167">
        <f>D703*($B$689/12)</f>
        <v>4.0974507278103296</v>
      </c>
      <c r="F706" s="167">
        <f>+E706*$F$700</f>
        <v>1.6693014265099282</v>
      </c>
    </row>
    <row r="707" spans="1:6" s="167" customFormat="1">
      <c r="A707" s="253" t="s">
        <v>119</v>
      </c>
      <c r="B707" s="167">
        <f>B706+'Red Bluff CWIP Balance'!D18</f>
        <v>1139.8367699999999</v>
      </c>
      <c r="C707" s="167">
        <f>C706+E707</f>
        <v>11.972818490661339</v>
      </c>
      <c r="D707" s="167">
        <f>SUM(B707:C707)</f>
        <v>1151.8095884906613</v>
      </c>
      <c r="E707" s="167">
        <f>D706*($B$689/12)</f>
        <v>5.074828023267675</v>
      </c>
      <c r="F707" s="167">
        <f>+E707*$F$700</f>
        <v>2.0674849366792509</v>
      </c>
    </row>
    <row r="708" spans="1:6" s="167" customFormat="1">
      <c r="A708" s="253" t="s">
        <v>120</v>
      </c>
      <c r="B708" s="167">
        <f>B707+'Red Bluff CWIP Balance'!D19</f>
        <v>1537.6875499999999</v>
      </c>
      <c r="C708" s="167">
        <f>C707+E708</f>
        <v>17.971826764050199</v>
      </c>
      <c r="D708" s="167">
        <f>SUM(B708:C708)</f>
        <v>1555.65937676405</v>
      </c>
      <c r="E708" s="167">
        <f>D707*($B$689/12)</f>
        <v>5.9990082733888608</v>
      </c>
      <c r="F708" s="167">
        <f t="shared" ref="F708:F717" si="116">+E708*$F$700</f>
        <v>2.4439959705786216</v>
      </c>
    </row>
    <row r="709" spans="1:6" s="167" customFormat="1">
      <c r="A709" s="253" t="s">
        <v>121</v>
      </c>
      <c r="B709" s="167">
        <f>B708+'Red Bluff CWIP Balance'!D20</f>
        <v>1998.05081</v>
      </c>
      <c r="C709" s="167">
        <f>C708+E709</f>
        <v>26.074219351362959</v>
      </c>
      <c r="D709" s="167">
        <f>SUM(B709:C709)</f>
        <v>2024.1250293513629</v>
      </c>
      <c r="E709" s="167">
        <f>D708*($B$690/12)</f>
        <v>8.1023925873127602</v>
      </c>
      <c r="F709" s="167">
        <f t="shared" si="116"/>
        <v>3.3009147400712182</v>
      </c>
    </row>
    <row r="710" spans="1:6" s="167" customFormat="1">
      <c r="A710" s="253" t="s">
        <v>75</v>
      </c>
      <c r="B710" s="167">
        <f>B709+'Red Bluff CWIP Balance'!D21</f>
        <v>2916.6785399999999</v>
      </c>
      <c r="C710" s="167">
        <f t="shared" ref="C710:C712" si="117">C709+E710</f>
        <v>36.616537212567977</v>
      </c>
      <c r="D710" s="167">
        <f t="shared" ref="D710:D712" si="118">SUM(B710:C710)</f>
        <v>2953.2950772125678</v>
      </c>
      <c r="E710" s="167">
        <f t="shared" ref="E710:E711" si="119">D709*($B$690/12)</f>
        <v>10.542317861205014</v>
      </c>
      <c r="F710" s="167">
        <f t="shared" si="116"/>
        <v>4.2949402966549224</v>
      </c>
    </row>
    <row r="711" spans="1:6" s="167" customFormat="1">
      <c r="A711" s="253" t="s">
        <v>122</v>
      </c>
      <c r="B711" s="167">
        <f>B710+'Red Bluff CWIP Balance'!D22</f>
        <v>3528.2201699999996</v>
      </c>
      <c r="C711" s="167">
        <f t="shared" si="117"/>
        <v>51.998282406383431</v>
      </c>
      <c r="D711" s="167">
        <f t="shared" si="118"/>
        <v>3580.2184524063832</v>
      </c>
      <c r="E711" s="167">
        <f t="shared" si="119"/>
        <v>15.381745193815457</v>
      </c>
      <c r="F711" s="167">
        <f t="shared" si="116"/>
        <v>6.2665229919604171</v>
      </c>
    </row>
    <row r="712" spans="1:6" s="167" customFormat="1">
      <c r="A712" s="253" t="s">
        <v>123</v>
      </c>
      <c r="B712" s="167">
        <f>B711+'Red Bluff CWIP Balance'!D23</f>
        <v>5120.526609999999</v>
      </c>
      <c r="C712" s="167">
        <f t="shared" si="117"/>
        <v>70.64525351266667</v>
      </c>
      <c r="D712" s="167">
        <f t="shared" si="118"/>
        <v>5191.1718635126654</v>
      </c>
      <c r="E712" s="167">
        <f>D711*($B$691/12)</f>
        <v>18.646971106283246</v>
      </c>
      <c r="F712" s="167">
        <f t="shared" si="116"/>
        <v>7.5967760286997938</v>
      </c>
    </row>
    <row r="713" spans="1:6" s="167" customFormat="1">
      <c r="A713" s="253" t="s">
        <v>124</v>
      </c>
      <c r="B713" s="167">
        <f>B712+'Red Bluff CWIP Balance'!D24</f>
        <v>6143.4186699999991</v>
      </c>
      <c r="C713" s="167">
        <f>C712+E713</f>
        <v>97.682606968461798</v>
      </c>
      <c r="D713" s="167">
        <f>SUM(B713:C713)</f>
        <v>6241.1012769684612</v>
      </c>
      <c r="E713" s="167">
        <f t="shared" ref="E713:E714" si="120">D712*($B$691/12)</f>
        <v>27.037353455795131</v>
      </c>
      <c r="F713" s="167">
        <f t="shared" si="116"/>
        <v>11.015017797890936</v>
      </c>
    </row>
    <row r="714" spans="1:6" s="167" customFormat="1">
      <c r="A714" s="253" t="s">
        <v>125</v>
      </c>
      <c r="B714" s="167">
        <f>B713+'Red Bluff CWIP Balance'!D25</f>
        <v>6829.6677999999993</v>
      </c>
      <c r="C714" s="167">
        <f>C713+E714</f>
        <v>130.18834278600588</v>
      </c>
      <c r="D714" s="167">
        <f>SUM(B714:C714)</f>
        <v>6959.856142786005</v>
      </c>
      <c r="E714" s="167">
        <f t="shared" si="120"/>
        <v>32.505735817544064</v>
      </c>
      <c r="F714" s="167">
        <f t="shared" si="116"/>
        <v>13.24283677206745</v>
      </c>
    </row>
    <row r="715" spans="1:6" s="167" customFormat="1">
      <c r="A715" s="253" t="s">
        <v>126</v>
      </c>
      <c r="B715" s="167">
        <f>B714+'Red Bluff CWIP Balance'!D26</f>
        <v>8407.2353199999998</v>
      </c>
      <c r="C715" s="167">
        <f t="shared" ref="C715:C717" si="121">C714+E715</f>
        <v>166.437593529683</v>
      </c>
      <c r="D715" s="167">
        <f t="shared" ref="D715:D717" si="122">SUM(B715:C715)</f>
        <v>8573.6729135296828</v>
      </c>
      <c r="E715" s="167">
        <f>D714*($B$692/12)</f>
        <v>36.249250743677109</v>
      </c>
      <c r="F715" s="167">
        <f t="shared" si="116"/>
        <v>14.767944752974053</v>
      </c>
    </row>
    <row r="716" spans="1:6" s="167" customFormat="1">
      <c r="A716" s="253" t="s">
        <v>127</v>
      </c>
      <c r="B716" s="167">
        <f>B715+'Red Bluff CWIP Balance'!D27</f>
        <v>9750.4337599999999</v>
      </c>
      <c r="C716" s="167">
        <f t="shared" si="121"/>
        <v>211.09213995431676</v>
      </c>
      <c r="D716" s="167">
        <f t="shared" si="122"/>
        <v>9961.5258999543166</v>
      </c>
      <c r="E716" s="167">
        <f t="shared" ref="E716:E717" si="123">D715*($B$692/12)</f>
        <v>44.654546424633764</v>
      </c>
      <c r="F716" s="167">
        <f t="shared" si="116"/>
        <v>18.192262213395797</v>
      </c>
    </row>
    <row r="717" spans="1:6" s="167" customFormat="1">
      <c r="A717" s="347" t="s">
        <v>262</v>
      </c>
      <c r="B717" s="167">
        <f>B716+'Red Bluff CWIP Balance'!D28</f>
        <v>15399.97545</v>
      </c>
      <c r="C717" s="167">
        <f t="shared" si="121"/>
        <v>262.97508734991214</v>
      </c>
      <c r="D717" s="167">
        <f t="shared" si="122"/>
        <v>15662.950537349912</v>
      </c>
      <c r="E717" s="167">
        <f t="shared" si="123"/>
        <v>51.882947395595394</v>
      </c>
      <c r="F717" s="167">
        <f t="shared" si="116"/>
        <v>21.137112768965562</v>
      </c>
    </row>
    <row r="718" spans="1:6" s="167" customFormat="1" ht="15" thickBot="1">
      <c r="A718" s="347"/>
      <c r="E718" s="168"/>
      <c r="F718" s="168"/>
    </row>
    <row r="719" spans="1:6" s="167" customFormat="1" ht="15" thickTop="1">
      <c r="E719" s="296"/>
      <c r="F719" s="296"/>
    </row>
    <row r="720" spans="1:6" s="167" customFormat="1">
      <c r="A720" s="674"/>
      <c r="B720" s="674"/>
      <c r="C720" s="674"/>
      <c r="D720" s="674"/>
      <c r="E720" s="674"/>
      <c r="F720" s="674"/>
    </row>
    <row r="721" spans="1:6" s="167" customFormat="1" ht="15.75">
      <c r="A721" s="674" t="s">
        <v>145</v>
      </c>
      <c r="B721" s="674"/>
      <c r="C721" s="674"/>
      <c r="D721" s="674"/>
      <c r="E721" s="674"/>
      <c r="F721" s="674"/>
    </row>
    <row r="722" spans="1:6" s="167" customFormat="1">
      <c r="A722" s="674"/>
      <c r="B722" s="674"/>
      <c r="C722" s="674"/>
      <c r="D722" s="674"/>
      <c r="E722" s="674"/>
      <c r="F722" s="674"/>
    </row>
    <row r="723" spans="1:6" s="167" customFormat="1"/>
    <row r="724" spans="1:6" s="167" customFormat="1" ht="15">
      <c r="A724" s="507" t="s">
        <v>138</v>
      </c>
    </row>
    <row r="725" spans="1:6" s="167" customFormat="1" ht="28.5">
      <c r="A725" s="514" t="str">
        <f>A683</f>
        <v>Red Bluff</v>
      </c>
      <c r="B725" s="169" t="s">
        <v>139</v>
      </c>
      <c r="C725" s="169" t="s">
        <v>140</v>
      </c>
      <c r="D725" s="169" t="s">
        <v>141</v>
      </c>
      <c r="E725" s="169" t="s">
        <v>142</v>
      </c>
      <c r="F725" s="169" t="s">
        <v>143</v>
      </c>
    </row>
    <row r="726" spans="1:6" s="167" customFormat="1">
      <c r="A726" s="347" t="s">
        <v>275</v>
      </c>
      <c r="B726" s="167">
        <f>+F702</f>
        <v>9.9767435953599992E-2</v>
      </c>
      <c r="C726" s="170">
        <f>B726</f>
        <v>9.9767435953599992E-2</v>
      </c>
      <c r="D726" s="262">
        <v>8.3299999999999999E-2</v>
      </c>
      <c r="E726" s="170">
        <f>+B726*D726</f>
        <v>8.3106274149348791E-3</v>
      </c>
      <c r="F726" s="263">
        <f>+C726*D726</f>
        <v>8.3106274149348791E-3</v>
      </c>
    </row>
    <row r="727" spans="1:6" s="167" customFormat="1">
      <c r="A727" s="347" t="s">
        <v>226</v>
      </c>
      <c r="B727" s="167">
        <f>+F703</f>
        <v>0.97179898195833325</v>
      </c>
      <c r="C727" s="170">
        <f>C726+B727</f>
        <v>1.0715664179119333</v>
      </c>
      <c r="D727" s="262">
        <v>1</v>
      </c>
      <c r="E727" s="170">
        <f>+B727*D727</f>
        <v>0.97179898195833325</v>
      </c>
      <c r="F727" s="170">
        <f>+F726+E727</f>
        <v>0.98010960937326819</v>
      </c>
    </row>
    <row r="728" spans="1:6" s="167" customFormat="1">
      <c r="A728" s="347" t="s">
        <v>261</v>
      </c>
      <c r="B728" s="170">
        <f t="shared" ref="B728:B739" si="124">+F706</f>
        <v>1.6693014265099282</v>
      </c>
      <c r="C728" s="170">
        <f>+C727+B728</f>
        <v>2.7408678444218615</v>
      </c>
      <c r="D728" s="262">
        <f>D727-(1/12)</f>
        <v>0.91666666666666663</v>
      </c>
      <c r="E728" s="170">
        <f>+B728*D728</f>
        <v>1.5301929743007674</v>
      </c>
      <c r="F728" s="170">
        <f>+F727+E728</f>
        <v>2.5103025836740356</v>
      </c>
    </row>
    <row r="729" spans="1:6" s="167" customFormat="1">
      <c r="A729" s="253" t="s">
        <v>119</v>
      </c>
      <c r="B729" s="170">
        <f t="shared" si="124"/>
        <v>2.0674849366792509</v>
      </c>
      <c r="C729" s="170">
        <f>+C728+B729</f>
        <v>4.808352781101112</v>
      </c>
      <c r="D729" s="262">
        <f t="shared" ref="D729:D739" si="125">D728-(1/12)</f>
        <v>0.83333333333333326</v>
      </c>
      <c r="E729" s="170">
        <f t="shared" ref="E729:E739" si="126">+B729*D729</f>
        <v>1.7229041138993757</v>
      </c>
      <c r="F729" s="170">
        <f>+F728+E729</f>
        <v>4.2332066975734115</v>
      </c>
    </row>
    <row r="730" spans="1:6" s="167" customFormat="1">
      <c r="A730" s="253" t="s">
        <v>120</v>
      </c>
      <c r="B730" s="170">
        <f t="shared" si="124"/>
        <v>2.4439959705786216</v>
      </c>
      <c r="C730" s="170">
        <f>+C729+B730</f>
        <v>7.2523487516797331</v>
      </c>
      <c r="D730" s="262">
        <f t="shared" si="125"/>
        <v>0.74999999999999989</v>
      </c>
      <c r="E730" s="170">
        <f t="shared" si="126"/>
        <v>1.8329969779339659</v>
      </c>
      <c r="F730" s="170">
        <f>+F729+E730</f>
        <v>6.0662036755073778</v>
      </c>
    </row>
    <row r="731" spans="1:6" s="167" customFormat="1">
      <c r="A731" s="253" t="s">
        <v>121</v>
      </c>
      <c r="B731" s="170">
        <f t="shared" si="124"/>
        <v>3.3009147400712182</v>
      </c>
      <c r="C731" s="170">
        <f>+C730+B731</f>
        <v>10.55326349175095</v>
      </c>
      <c r="D731" s="262">
        <f t="shared" si="125"/>
        <v>0.66666666666666652</v>
      </c>
      <c r="E731" s="170">
        <f t="shared" si="126"/>
        <v>2.2006098267141452</v>
      </c>
      <c r="F731" s="170">
        <f>+F730+E731</f>
        <v>8.2668135022215239</v>
      </c>
    </row>
    <row r="732" spans="1:6" s="167" customFormat="1">
      <c r="A732" s="253" t="s">
        <v>75</v>
      </c>
      <c r="B732" s="170">
        <f t="shared" si="124"/>
        <v>4.2949402966549224</v>
      </c>
      <c r="C732" s="170">
        <f t="shared" ref="C732:C734" si="127">+C731+B732</f>
        <v>14.848203788405872</v>
      </c>
      <c r="D732" s="262">
        <f t="shared" si="125"/>
        <v>0.58333333333333315</v>
      </c>
      <c r="E732" s="170">
        <f t="shared" si="126"/>
        <v>2.5053818397153704</v>
      </c>
      <c r="F732" s="170">
        <f t="shared" ref="F732:F734" si="128">+F731+E732</f>
        <v>10.772195341936895</v>
      </c>
    </row>
    <row r="733" spans="1:6" s="167" customFormat="1">
      <c r="A733" s="253" t="s">
        <v>122</v>
      </c>
      <c r="B733" s="170">
        <f t="shared" si="124"/>
        <v>6.2665229919604171</v>
      </c>
      <c r="C733" s="170">
        <f t="shared" si="127"/>
        <v>21.11472678036629</v>
      </c>
      <c r="D733" s="262">
        <f t="shared" si="125"/>
        <v>0.49999999999999983</v>
      </c>
      <c r="E733" s="170">
        <f t="shared" si="126"/>
        <v>3.1332614959802076</v>
      </c>
      <c r="F733" s="170">
        <f t="shared" si="128"/>
        <v>13.905456837917102</v>
      </c>
    </row>
    <row r="734" spans="1:6" s="167" customFormat="1">
      <c r="A734" s="253" t="s">
        <v>123</v>
      </c>
      <c r="B734" s="170">
        <f t="shared" si="124"/>
        <v>7.5967760286997938</v>
      </c>
      <c r="C734" s="170">
        <f t="shared" si="127"/>
        <v>28.711502809066083</v>
      </c>
      <c r="D734" s="262">
        <f t="shared" si="125"/>
        <v>0.41666666666666652</v>
      </c>
      <c r="E734" s="170">
        <f t="shared" si="126"/>
        <v>3.1653233452915797</v>
      </c>
      <c r="F734" s="170">
        <f t="shared" si="128"/>
        <v>17.070780183208683</v>
      </c>
    </row>
    <row r="735" spans="1:6" s="167" customFormat="1">
      <c r="A735" s="253" t="s">
        <v>124</v>
      </c>
      <c r="B735" s="170">
        <f t="shared" si="124"/>
        <v>11.015017797890936</v>
      </c>
      <c r="C735" s="170">
        <f>+C734+B735</f>
        <v>39.726520606957017</v>
      </c>
      <c r="D735" s="262">
        <f>D734-(1/12)</f>
        <v>0.3333333333333332</v>
      </c>
      <c r="E735" s="170">
        <f t="shared" si="126"/>
        <v>3.671672599296977</v>
      </c>
      <c r="F735" s="170">
        <f>+F734+E735</f>
        <v>20.742452782505659</v>
      </c>
    </row>
    <row r="736" spans="1:6" s="167" customFormat="1">
      <c r="A736" s="253" t="s">
        <v>125</v>
      </c>
      <c r="B736" s="170">
        <f t="shared" si="124"/>
        <v>13.24283677206745</v>
      </c>
      <c r="C736" s="170">
        <f>+C735+B736</f>
        <v>52.969357379024466</v>
      </c>
      <c r="D736" s="262">
        <f>D735-(1/12)</f>
        <v>0.24999999999999989</v>
      </c>
      <c r="E736" s="170">
        <f t="shared" si="126"/>
        <v>3.3107091930168613</v>
      </c>
      <c r="F736" s="170">
        <f>+F735+E736</f>
        <v>24.053161975522521</v>
      </c>
    </row>
    <row r="737" spans="1:8" s="167" customFormat="1">
      <c r="A737" s="253" t="s">
        <v>126</v>
      </c>
      <c r="B737" s="170">
        <f t="shared" si="124"/>
        <v>14.767944752974053</v>
      </c>
      <c r="C737" s="170">
        <f t="shared" ref="C737:C738" si="129">+C736+B737</f>
        <v>67.737302131998518</v>
      </c>
      <c r="D737" s="262">
        <f t="shared" si="125"/>
        <v>0.16666666666666657</v>
      </c>
      <c r="E737" s="170">
        <f t="shared" si="126"/>
        <v>2.4613241254956741</v>
      </c>
      <c r="F737" s="170">
        <f t="shared" ref="F737:F739" si="130">+F736+E737</f>
        <v>26.514486101018196</v>
      </c>
    </row>
    <row r="738" spans="1:8" s="167" customFormat="1">
      <c r="A738" s="253" t="s">
        <v>127</v>
      </c>
      <c r="B738" s="170">
        <f t="shared" si="124"/>
        <v>18.192262213395797</v>
      </c>
      <c r="C738" s="170">
        <f t="shared" si="129"/>
        <v>85.929564345394311</v>
      </c>
      <c r="D738" s="262">
        <f t="shared" si="125"/>
        <v>8.3333333333333245E-2</v>
      </c>
      <c r="E738" s="170">
        <f t="shared" si="126"/>
        <v>1.5160218511163148</v>
      </c>
      <c r="F738" s="170">
        <f t="shared" si="130"/>
        <v>28.03050795213451</v>
      </c>
    </row>
    <row r="739" spans="1:8" s="167" customFormat="1">
      <c r="A739" s="347" t="s">
        <v>262</v>
      </c>
      <c r="B739" s="170">
        <f t="shared" si="124"/>
        <v>21.137112768965562</v>
      </c>
      <c r="C739" s="170">
        <f>+C738+B739</f>
        <v>107.06667711435988</v>
      </c>
      <c r="D739" s="262">
        <f t="shared" si="125"/>
        <v>0</v>
      </c>
      <c r="E739" s="170">
        <f t="shared" si="126"/>
        <v>0</v>
      </c>
      <c r="F739" s="391">
        <f t="shared" si="130"/>
        <v>28.03050795213451</v>
      </c>
    </row>
    <row r="740" spans="1:8" s="167" customFormat="1" ht="15" thickBot="1">
      <c r="A740" s="347" t="s">
        <v>199</v>
      </c>
      <c r="B740" s="491">
        <f>SUM(B727:B739)</f>
        <v>106.96690967840628</v>
      </c>
      <c r="D740" s="676" t="s">
        <v>192</v>
      </c>
      <c r="E740" s="676"/>
      <c r="F740" s="498">
        <f>SUM(F727:F739)/13</f>
        <v>14.705860399594439</v>
      </c>
    </row>
    <row r="741" spans="1:8" ht="15" thickTop="1"/>
    <row r="744" spans="1:8" s="167" customFormat="1" ht="18.75" thickBot="1">
      <c r="A744" s="677" t="s">
        <v>287</v>
      </c>
      <c r="B744" s="678"/>
      <c r="C744" s="678"/>
      <c r="D744" s="678"/>
      <c r="E744" s="678"/>
      <c r="F744" s="678"/>
      <c r="H744" s="499"/>
    </row>
    <row r="745" spans="1:8" s="167" customFormat="1">
      <c r="A745" s="546" t="s">
        <v>271</v>
      </c>
      <c r="B745" s="493">
        <f>+B23</f>
        <v>6.25E-2</v>
      </c>
    </row>
    <row r="746" spans="1:8" s="167" customFormat="1">
      <c r="A746" s="547" t="s">
        <v>167</v>
      </c>
      <c r="B746" s="493">
        <f>+B24</f>
        <v>6.25E-2</v>
      </c>
    </row>
    <row r="747" spans="1:8" s="167" customFormat="1">
      <c r="A747" s="547" t="s">
        <v>168</v>
      </c>
      <c r="B747" s="493">
        <f>+B25</f>
        <v>6.25E-2</v>
      </c>
    </row>
    <row r="748" spans="1:8" s="167" customFormat="1">
      <c r="A748" s="547" t="s">
        <v>169</v>
      </c>
      <c r="B748" s="493">
        <f>+B26</f>
        <v>6.25E-2</v>
      </c>
    </row>
    <row r="749" spans="1:8" s="167" customFormat="1">
      <c r="A749" s="546" t="s">
        <v>269</v>
      </c>
      <c r="B749" s="497">
        <f>+B27</f>
        <v>0.40739999999999998</v>
      </c>
    </row>
    <row r="750" spans="1:8">
      <c r="A750" s="137"/>
      <c r="B750" s="156"/>
    </row>
    <row r="753" spans="1:7" ht="15">
      <c r="A753" s="139" t="s">
        <v>135</v>
      </c>
    </row>
    <row r="754" spans="1:7" ht="28.5">
      <c r="A754" s="687" t="str">
        <f>A744</f>
        <v>Whirlwind</v>
      </c>
      <c r="B754" s="681" t="s">
        <v>179</v>
      </c>
      <c r="C754" s="681" t="s">
        <v>180</v>
      </c>
      <c r="D754" s="681" t="s">
        <v>181</v>
      </c>
      <c r="E754" s="684" t="s">
        <v>144</v>
      </c>
      <c r="F754" s="508" t="s">
        <v>136</v>
      </c>
      <c r="G754" s="533" t="s">
        <v>196</v>
      </c>
    </row>
    <row r="755" spans="1:7" s="167" customFormat="1">
      <c r="A755" s="688"/>
      <c r="B755" s="682"/>
      <c r="C755" s="682"/>
      <c r="D755" s="683"/>
      <c r="E755" s="685"/>
      <c r="F755" s="500">
        <f>B749</f>
        <v>0.40739999999999998</v>
      </c>
      <c r="G755" s="501">
        <v>40544</v>
      </c>
    </row>
    <row r="756" spans="1:7" ht="15">
      <c r="A756" s="254"/>
      <c r="B756" s="503"/>
      <c r="C756" s="503"/>
      <c r="D756" s="504"/>
      <c r="E756" s="257"/>
      <c r="F756" s="513"/>
      <c r="G756" s="295"/>
    </row>
    <row r="757" spans="1:7" s="167" customFormat="1">
      <c r="A757" s="347" t="s">
        <v>295</v>
      </c>
      <c r="B757" s="167">
        <f>'Whirlwind CWIP Balance'!E15-'Beg int cap'!B47</f>
        <v>26.16413</v>
      </c>
      <c r="C757" s="170">
        <f>'Beg int cap'!E47</f>
        <v>0</v>
      </c>
      <c r="D757" s="167">
        <f>SUM(B757:C757)</f>
        <v>26.16413</v>
      </c>
      <c r="F757" s="167">
        <f>(C757*F755)-('Beg int cap'!D60*'Def Tax'!F755)</f>
        <v>0</v>
      </c>
      <c r="G757" s="506"/>
    </row>
    <row r="758" spans="1:7" s="167" customFormat="1">
      <c r="A758" s="347" t="s">
        <v>121</v>
      </c>
      <c r="B758" s="167">
        <f>B757+'Whirlwind CWIP Balance'!D16</f>
        <v>40.848019999999998</v>
      </c>
      <c r="C758" s="167">
        <f>C757+E758</f>
        <v>0.13627151041666666</v>
      </c>
      <c r="D758" s="167">
        <f>SUM(B758:C758)</f>
        <v>40.984291510416668</v>
      </c>
      <c r="E758" s="167">
        <f>D757*(B746/12)</f>
        <v>0.13627151041666666</v>
      </c>
      <c r="F758" s="167">
        <f>+E758*$F$755</f>
        <v>5.5517013343749998E-2</v>
      </c>
    </row>
    <row r="759" spans="1:7" s="167" customFormat="1">
      <c r="A759" s="347" t="s">
        <v>75</v>
      </c>
      <c r="B759" s="167">
        <f>B758+'Whirlwind CWIP Balance'!D17</f>
        <v>119.80374</v>
      </c>
      <c r="C759" s="167">
        <f t="shared" ref="C759:C766" si="131">C758+E759</f>
        <v>0.34973136203342015</v>
      </c>
      <c r="D759" s="167">
        <f t="shared" ref="D759:D766" si="132">SUM(B759:C759)</f>
        <v>120.15347136203343</v>
      </c>
      <c r="E759" s="167">
        <f>D758*(B746/12)</f>
        <v>0.21345985161675346</v>
      </c>
      <c r="F759" s="167">
        <f t="shared" ref="F759:F766" si="133">+E759*$F$755</f>
        <v>8.6963543548665354E-2</v>
      </c>
    </row>
    <row r="760" spans="1:7" s="167" customFormat="1">
      <c r="A760" s="347" t="s">
        <v>122</v>
      </c>
      <c r="B760" s="167">
        <f>B759+'Whirlwind CWIP Balance'!D18</f>
        <v>217.91434000000001</v>
      </c>
      <c r="C760" s="167">
        <f t="shared" si="131"/>
        <v>0.97553069204401088</v>
      </c>
      <c r="D760" s="167">
        <f t="shared" si="132"/>
        <v>218.88987069204401</v>
      </c>
      <c r="E760" s="296">
        <f>D759*(B746/12)</f>
        <v>0.62579933001059074</v>
      </c>
      <c r="F760" s="167">
        <f t="shared" si="133"/>
        <v>0.25495064704631465</v>
      </c>
    </row>
    <row r="761" spans="1:7" s="167" customFormat="1">
      <c r="A761" s="347" t="s">
        <v>123</v>
      </c>
      <c r="B761" s="167">
        <f>B760+'Whirlwind CWIP Balance'!D19</f>
        <v>236.25814</v>
      </c>
      <c r="C761" s="167">
        <f t="shared" si="131"/>
        <v>2.1155821018984069</v>
      </c>
      <c r="D761" s="167">
        <f t="shared" si="132"/>
        <v>238.37372210189841</v>
      </c>
      <c r="E761" s="167">
        <f>D760*(B747/12)</f>
        <v>1.1400514098543959</v>
      </c>
      <c r="F761" s="167">
        <f t="shared" si="133"/>
        <v>0.46445694437468088</v>
      </c>
    </row>
    <row r="762" spans="1:7" s="167" customFormat="1">
      <c r="A762" s="253" t="s">
        <v>124</v>
      </c>
      <c r="B762" s="167">
        <f>B761+'Whirlwind CWIP Balance'!D20</f>
        <v>371.26434</v>
      </c>
      <c r="C762" s="167">
        <f t="shared" si="131"/>
        <v>3.3571119045124611</v>
      </c>
      <c r="D762" s="167">
        <f t="shared" si="132"/>
        <v>374.62145190451247</v>
      </c>
      <c r="E762" s="167">
        <f>D761*(B747/12)</f>
        <v>1.2415298026140542</v>
      </c>
      <c r="F762" s="167">
        <f t="shared" si="133"/>
        <v>0.5057992415849657</v>
      </c>
    </row>
    <row r="763" spans="1:7" s="167" customFormat="1">
      <c r="A763" s="253" t="s">
        <v>125</v>
      </c>
      <c r="B763" s="167">
        <f>B762+'Whirlwind CWIP Balance'!D21</f>
        <v>629.59163000000001</v>
      </c>
      <c r="C763" s="167">
        <f t="shared" si="131"/>
        <v>5.308265299848463</v>
      </c>
      <c r="D763" s="167">
        <f t="shared" si="132"/>
        <v>634.89989529984848</v>
      </c>
      <c r="E763" s="296">
        <f>D762*(B747/12)</f>
        <v>1.9511533953360023</v>
      </c>
      <c r="F763" s="167">
        <f t="shared" si="133"/>
        <v>0.7948998932598873</v>
      </c>
    </row>
    <row r="764" spans="1:7" s="167" customFormat="1">
      <c r="A764" s="253" t="s">
        <v>126</v>
      </c>
      <c r="B764" s="167">
        <f>B763+'Whirlwind CWIP Balance'!D22</f>
        <v>1602.95048</v>
      </c>
      <c r="C764" s="167">
        <f t="shared" si="131"/>
        <v>8.6150355878685065</v>
      </c>
      <c r="D764" s="167">
        <f t="shared" si="132"/>
        <v>1611.5655155878685</v>
      </c>
      <c r="E764" s="167">
        <f>D763*(B748/12)</f>
        <v>3.306770288020044</v>
      </c>
      <c r="F764" s="167">
        <f t="shared" si="133"/>
        <v>1.3471782153393659</v>
      </c>
    </row>
    <row r="765" spans="1:7" s="167" customFormat="1">
      <c r="A765" s="253" t="s">
        <v>127</v>
      </c>
      <c r="B765" s="167">
        <f>B764+'Whirlwind CWIP Balance'!D23</f>
        <v>2617.40274</v>
      </c>
      <c r="C765" s="167">
        <f t="shared" si="131"/>
        <v>17.00860598155532</v>
      </c>
      <c r="D765" s="167">
        <f t="shared" si="132"/>
        <v>2634.4113459815553</v>
      </c>
      <c r="E765" s="167">
        <f>D764*(B748/12)</f>
        <v>8.3935703936868151</v>
      </c>
      <c r="F765" s="167">
        <f t="shared" si="133"/>
        <v>3.4195405783880082</v>
      </c>
    </row>
    <row r="766" spans="1:7" s="167" customFormat="1">
      <c r="A766" s="347" t="s">
        <v>262</v>
      </c>
      <c r="B766" s="167">
        <f>B765+'Whirlwind CWIP Balance'!D24</f>
        <v>2893.21216</v>
      </c>
      <c r="C766" s="167">
        <f t="shared" si="131"/>
        <v>30.729498408542586</v>
      </c>
      <c r="D766" s="167">
        <f t="shared" si="132"/>
        <v>2923.9416584085425</v>
      </c>
      <c r="E766" s="167">
        <f>D765*(B748/12)</f>
        <v>13.720892426987266</v>
      </c>
      <c r="F766" s="167">
        <f t="shared" si="133"/>
        <v>5.5898915747546116</v>
      </c>
    </row>
    <row r="767" spans="1:7" s="167" customFormat="1" ht="15" thickBot="1">
      <c r="A767" s="347"/>
      <c r="E767" s="168"/>
      <c r="F767" s="168"/>
    </row>
    <row r="768" spans="1:7" ht="15" thickTop="1">
      <c r="A768" s="346"/>
      <c r="B768" s="167"/>
      <c r="C768" s="167"/>
      <c r="D768" s="167"/>
      <c r="E768" s="296"/>
      <c r="F768" s="296"/>
    </row>
    <row r="769" spans="1:6">
      <c r="A769" s="686"/>
      <c r="B769" s="686"/>
      <c r="C769" s="686"/>
      <c r="D769" s="686"/>
      <c r="E769" s="686"/>
      <c r="F769" s="686"/>
    </row>
    <row r="770" spans="1:6" ht="15.75">
      <c r="A770" s="686" t="s">
        <v>145</v>
      </c>
      <c r="B770" s="686"/>
      <c r="C770" s="686"/>
      <c r="D770" s="686"/>
      <c r="E770" s="686"/>
      <c r="F770" s="686"/>
    </row>
    <row r="771" spans="1:6">
      <c r="A771" s="686"/>
      <c r="B771" s="686"/>
      <c r="C771" s="686"/>
      <c r="D771" s="686"/>
      <c r="E771" s="686"/>
      <c r="F771" s="686"/>
    </row>
    <row r="773" spans="1:6" ht="15">
      <c r="A773" s="139" t="s">
        <v>138</v>
      </c>
    </row>
    <row r="774" spans="1:6" ht="28.5">
      <c r="A774" s="143" t="str">
        <f>A744</f>
        <v>Whirlwind</v>
      </c>
      <c r="B774" s="144" t="s">
        <v>139</v>
      </c>
      <c r="C774" s="144" t="s">
        <v>140</v>
      </c>
      <c r="D774" s="144" t="s">
        <v>141</v>
      </c>
      <c r="E774" s="169" t="s">
        <v>142</v>
      </c>
      <c r="F774" s="144" t="s">
        <v>143</v>
      </c>
    </row>
    <row r="775" spans="1:6" s="167" customFormat="1">
      <c r="A775" s="347" t="s">
        <v>301</v>
      </c>
      <c r="B775" s="167">
        <f t="shared" ref="B775:B784" si="134">+F757</f>
        <v>0</v>
      </c>
      <c r="C775" s="170">
        <f>B775</f>
        <v>0</v>
      </c>
      <c r="D775" s="262">
        <f>D127</f>
        <v>0.74999999999999989</v>
      </c>
      <c r="E775" s="170">
        <f t="shared" ref="E775:E784" si="135">+B775*D775</f>
        <v>0</v>
      </c>
      <c r="F775" s="263">
        <f>+C775*D775</f>
        <v>0</v>
      </c>
    </row>
    <row r="776" spans="1:6" s="167" customFormat="1">
      <c r="A776" s="253" t="s">
        <v>121</v>
      </c>
      <c r="B776" s="167">
        <f t="shared" si="134"/>
        <v>5.5517013343749998E-2</v>
      </c>
      <c r="C776" s="170">
        <f>C775+B776</f>
        <v>5.5517013343749998E-2</v>
      </c>
      <c r="D776" s="262">
        <f>D775-(1/12)</f>
        <v>0.66666666666666652</v>
      </c>
      <c r="E776" s="170">
        <f t="shared" si="135"/>
        <v>3.7011342229166654E-2</v>
      </c>
      <c r="F776" s="170">
        <f>+F775+E776</f>
        <v>3.7011342229166654E-2</v>
      </c>
    </row>
    <row r="777" spans="1:6" s="167" customFormat="1">
      <c r="A777" s="253" t="s">
        <v>75</v>
      </c>
      <c r="B777" s="167">
        <f t="shared" si="134"/>
        <v>8.6963543548665354E-2</v>
      </c>
      <c r="C777" s="170">
        <f>+C776+B777</f>
        <v>0.14248055689241534</v>
      </c>
      <c r="D777" s="262">
        <f t="shared" ref="D777:D784" si="136">D776-(1/12)</f>
        <v>0.58333333333333315</v>
      </c>
      <c r="E777" s="170">
        <f t="shared" si="135"/>
        <v>5.0728733736721439E-2</v>
      </c>
      <c r="F777" s="170">
        <f t="shared" ref="F777:F784" si="137">+F776+E777</f>
        <v>8.7740075965888092E-2</v>
      </c>
    </row>
    <row r="778" spans="1:6" s="167" customFormat="1">
      <c r="A778" s="253" t="s">
        <v>122</v>
      </c>
      <c r="B778" s="167">
        <f t="shared" si="134"/>
        <v>0.25495064704631465</v>
      </c>
      <c r="C778" s="170">
        <f>+C777+B778</f>
        <v>0.39743120393872999</v>
      </c>
      <c r="D778" s="262">
        <f t="shared" si="136"/>
        <v>0.49999999999999983</v>
      </c>
      <c r="E778" s="170">
        <f t="shared" si="135"/>
        <v>0.12747532352315727</v>
      </c>
      <c r="F778" s="170">
        <f t="shared" si="137"/>
        <v>0.21521539948904536</v>
      </c>
    </row>
    <row r="779" spans="1:6" s="167" customFormat="1">
      <c r="A779" s="253" t="s">
        <v>123</v>
      </c>
      <c r="B779" s="167">
        <f t="shared" si="134"/>
        <v>0.46445694437468088</v>
      </c>
      <c r="C779" s="170">
        <f>+C778+B779</f>
        <v>0.86188814831341087</v>
      </c>
      <c r="D779" s="262">
        <f t="shared" si="136"/>
        <v>0.41666666666666652</v>
      </c>
      <c r="E779" s="170">
        <f t="shared" si="135"/>
        <v>0.19352372682278363</v>
      </c>
      <c r="F779" s="170">
        <f t="shared" si="137"/>
        <v>0.40873912631182896</v>
      </c>
    </row>
    <row r="780" spans="1:6" s="167" customFormat="1">
      <c r="A780" s="253" t="s">
        <v>124</v>
      </c>
      <c r="B780" s="167">
        <f t="shared" si="134"/>
        <v>0.5057992415849657</v>
      </c>
      <c r="C780" s="170">
        <f>+C779+B780</f>
        <v>1.3676873898983766</v>
      </c>
      <c r="D780" s="262">
        <f t="shared" si="136"/>
        <v>0.3333333333333332</v>
      </c>
      <c r="E780" s="170">
        <f t="shared" si="135"/>
        <v>0.16859974719498849</v>
      </c>
      <c r="F780" s="170">
        <f t="shared" si="137"/>
        <v>0.57733887350681745</v>
      </c>
    </row>
    <row r="781" spans="1:6" s="167" customFormat="1">
      <c r="A781" s="253" t="s">
        <v>125</v>
      </c>
      <c r="B781" s="167">
        <f t="shared" si="134"/>
        <v>0.7948998932598873</v>
      </c>
      <c r="C781" s="170">
        <f>+C780+B781</f>
        <v>2.1625872831582638</v>
      </c>
      <c r="D781" s="262">
        <f t="shared" si="136"/>
        <v>0.24999999999999989</v>
      </c>
      <c r="E781" s="170">
        <f t="shared" si="135"/>
        <v>0.19872497331497174</v>
      </c>
      <c r="F781" s="170">
        <f t="shared" si="137"/>
        <v>0.77606384682178919</v>
      </c>
    </row>
    <row r="782" spans="1:6" s="167" customFormat="1">
      <c r="A782" s="253" t="s">
        <v>126</v>
      </c>
      <c r="B782" s="167">
        <f t="shared" si="134"/>
        <v>1.3471782153393659</v>
      </c>
      <c r="C782" s="170">
        <f t="shared" ref="C782:C783" si="138">+C781+B782</f>
        <v>3.5097654984976296</v>
      </c>
      <c r="D782" s="262">
        <f t="shared" si="136"/>
        <v>0.16666666666666657</v>
      </c>
      <c r="E782" s="170">
        <f t="shared" si="135"/>
        <v>0.22452970255656085</v>
      </c>
      <c r="F782" s="170">
        <f t="shared" si="137"/>
        <v>1.00059354937835</v>
      </c>
    </row>
    <row r="783" spans="1:6" s="167" customFormat="1">
      <c r="A783" s="253" t="s">
        <v>127</v>
      </c>
      <c r="B783" s="167">
        <f t="shared" si="134"/>
        <v>3.4195405783880082</v>
      </c>
      <c r="C783" s="170">
        <f t="shared" si="138"/>
        <v>6.9293060768856378</v>
      </c>
      <c r="D783" s="262">
        <f t="shared" si="136"/>
        <v>8.3333333333333245E-2</v>
      </c>
      <c r="E783" s="170">
        <f t="shared" si="135"/>
        <v>0.28496171486566707</v>
      </c>
      <c r="F783" s="170">
        <f t="shared" si="137"/>
        <v>1.2855552642440171</v>
      </c>
    </row>
    <row r="784" spans="1:6" s="167" customFormat="1">
      <c r="A784" s="347" t="s">
        <v>262</v>
      </c>
      <c r="B784" s="167">
        <f t="shared" si="134"/>
        <v>5.5898915747546116</v>
      </c>
      <c r="C784" s="170">
        <f>+C783+B784</f>
        <v>12.519197651640249</v>
      </c>
      <c r="D784" s="262">
        <f t="shared" si="136"/>
        <v>0</v>
      </c>
      <c r="E784" s="170">
        <f t="shared" si="135"/>
        <v>0</v>
      </c>
      <c r="F784" s="170">
        <f t="shared" si="137"/>
        <v>1.2855552642440171</v>
      </c>
    </row>
    <row r="785" spans="1:7" s="167" customFormat="1" ht="15" thickBot="1">
      <c r="A785" s="346" t="s">
        <v>302</v>
      </c>
      <c r="B785" s="491">
        <f>SUM(B775:B784)</f>
        <v>12.519197651640249</v>
      </c>
      <c r="D785" s="675" t="s">
        <v>303</v>
      </c>
      <c r="E785" s="676"/>
      <c r="F785" s="168">
        <f>SUM(F775:F784)/10</f>
        <v>0.56738127421909201</v>
      </c>
      <c r="G785" s="518"/>
    </row>
    <row r="786" spans="1:7" ht="15" thickTop="1">
      <c r="A786" s="346"/>
      <c r="B786" s="263"/>
      <c r="C786" s="167"/>
      <c r="D786" s="547"/>
      <c r="E786" s="547"/>
      <c r="F786" s="296"/>
    </row>
    <row r="789" spans="1:7" s="167" customFormat="1" ht="18.75" thickBot="1">
      <c r="A789" s="677" t="s">
        <v>288</v>
      </c>
      <c r="B789" s="678"/>
      <c r="C789" s="678"/>
      <c r="D789" s="678"/>
      <c r="E789" s="678"/>
      <c r="F789" s="678"/>
    </row>
    <row r="790" spans="1:7" s="167" customFormat="1">
      <c r="A790" s="546" t="s">
        <v>304</v>
      </c>
      <c r="B790" s="493">
        <f>+B23</f>
        <v>6.25E-2</v>
      </c>
      <c r="C790" s="499"/>
    </row>
    <row r="791" spans="1:7" s="167" customFormat="1">
      <c r="A791" s="547" t="s">
        <v>167</v>
      </c>
      <c r="B791" s="493">
        <f>+B24</f>
        <v>6.25E-2</v>
      </c>
      <c r="E791" s="538"/>
      <c r="F791" s="493"/>
    </row>
    <row r="792" spans="1:7" s="167" customFormat="1">
      <c r="A792" s="547" t="s">
        <v>168</v>
      </c>
      <c r="B792" s="493">
        <f>+B25</f>
        <v>6.25E-2</v>
      </c>
      <c r="E792" s="539"/>
      <c r="F792" s="493"/>
    </row>
    <row r="793" spans="1:7" s="167" customFormat="1">
      <c r="A793" s="547" t="s">
        <v>169</v>
      </c>
      <c r="B793" s="493">
        <f>+B26</f>
        <v>6.25E-2</v>
      </c>
      <c r="E793" s="539"/>
      <c r="F793" s="493"/>
    </row>
    <row r="794" spans="1:7" s="167" customFormat="1">
      <c r="A794" s="546" t="s">
        <v>268</v>
      </c>
      <c r="B794" s="497">
        <f>+B27</f>
        <v>0.40739999999999998</v>
      </c>
      <c r="E794" s="539"/>
      <c r="F794" s="493"/>
    </row>
    <row r="795" spans="1:7" s="167" customFormat="1">
      <c r="A795" s="496"/>
      <c r="B795" s="497"/>
    </row>
    <row r="796" spans="1:7" s="167" customFormat="1"/>
    <row r="797" spans="1:7" s="167" customFormat="1"/>
    <row r="798" spans="1:7" s="167" customFormat="1" ht="15">
      <c r="A798" s="507" t="s">
        <v>135</v>
      </c>
    </row>
    <row r="799" spans="1:7" s="167" customFormat="1" ht="28.5">
      <c r="A799" s="679" t="str">
        <f>A789</f>
        <v>Colorado River</v>
      </c>
      <c r="B799" s="681" t="s">
        <v>179</v>
      </c>
      <c r="C799" s="681" t="s">
        <v>180</v>
      </c>
      <c r="D799" s="681" t="s">
        <v>181</v>
      </c>
      <c r="E799" s="684" t="s">
        <v>144</v>
      </c>
      <c r="F799" s="508" t="s">
        <v>136</v>
      </c>
      <c r="G799" s="532" t="s">
        <v>196</v>
      </c>
    </row>
    <row r="800" spans="1:7" s="167" customFormat="1">
      <c r="A800" s="680"/>
      <c r="B800" s="682"/>
      <c r="C800" s="682"/>
      <c r="D800" s="683"/>
      <c r="E800" s="685"/>
      <c r="F800" s="500">
        <f>B794</f>
        <v>0.40739999999999998</v>
      </c>
      <c r="G800" s="501">
        <v>40544</v>
      </c>
    </row>
    <row r="801" spans="1:7" s="167" customFormat="1" ht="15">
      <c r="A801" s="502"/>
      <c r="B801" s="503"/>
      <c r="C801" s="503"/>
      <c r="D801" s="504"/>
      <c r="E801" s="257"/>
      <c r="F801" s="513"/>
      <c r="G801" s="506"/>
    </row>
    <row r="802" spans="1:7" s="167" customFormat="1" ht="15">
      <c r="A802" s="502"/>
      <c r="B802" s="503"/>
      <c r="C802" s="503"/>
      <c r="D802" s="504"/>
      <c r="E802" s="257"/>
      <c r="F802" s="513"/>
      <c r="G802" s="506"/>
    </row>
    <row r="803" spans="1:7" s="167" customFormat="1">
      <c r="A803" s="347" t="s">
        <v>295</v>
      </c>
      <c r="B803" s="167">
        <f>'CR CWIP Balance'!E15-'Beg int cap'!B48</f>
        <v>307.04764</v>
      </c>
      <c r="C803" s="170">
        <f>'Beg int cap'!E48</f>
        <v>0</v>
      </c>
      <c r="D803" s="167">
        <f t="shared" ref="D803:D812" si="139">SUM(B803:C803)</f>
        <v>307.04764</v>
      </c>
      <c r="F803" s="167">
        <f>(C803*F800)-('Beg int cap'!D61*'Def Tax'!F800)</f>
        <v>0</v>
      </c>
    </row>
    <row r="804" spans="1:7" s="167" customFormat="1">
      <c r="A804" s="347" t="s">
        <v>121</v>
      </c>
      <c r="B804" s="167">
        <f>B803+'CR CWIP Balance'!D16</f>
        <v>1478.65002</v>
      </c>
      <c r="C804" s="167">
        <f t="shared" ref="C804:C812" si="140">C803+E804</f>
        <v>1.5992064583333332</v>
      </c>
      <c r="D804" s="167">
        <f t="shared" si="139"/>
        <v>1480.2492264583334</v>
      </c>
      <c r="E804" s="296">
        <f>D803*(B$791/12)</f>
        <v>1.5992064583333332</v>
      </c>
      <c r="F804" s="167">
        <f t="shared" ref="F804:F812" si="141">+E804*$F$800</f>
        <v>0.65151671112499987</v>
      </c>
    </row>
    <row r="805" spans="1:7" s="167" customFormat="1">
      <c r="A805" s="347" t="s">
        <v>75</v>
      </c>
      <c r="B805" s="167">
        <f>B804+'CR CWIP Balance'!D17</f>
        <v>1680.6366700000001</v>
      </c>
      <c r="C805" s="167">
        <f t="shared" si="140"/>
        <v>9.3088378461371519</v>
      </c>
      <c r="D805" s="167">
        <f t="shared" si="139"/>
        <v>1689.9455078461372</v>
      </c>
      <c r="E805" s="296">
        <f>D804*(B$791/12)</f>
        <v>7.7096313878038192</v>
      </c>
      <c r="F805" s="167">
        <f t="shared" si="141"/>
        <v>3.1409038273912757</v>
      </c>
    </row>
    <row r="806" spans="1:7" s="167" customFormat="1">
      <c r="A806" s="347" t="s">
        <v>122</v>
      </c>
      <c r="B806" s="167">
        <f>B805+'CR CWIP Balance'!D18</f>
        <v>1924.1005399999999</v>
      </c>
      <c r="C806" s="167">
        <f t="shared" si="140"/>
        <v>18.110637366169115</v>
      </c>
      <c r="D806" s="167">
        <f t="shared" si="139"/>
        <v>1942.2111773661691</v>
      </c>
      <c r="E806" s="296">
        <f>D805*(B$791/12)</f>
        <v>8.8017995200319632</v>
      </c>
      <c r="F806" s="167">
        <f t="shared" si="141"/>
        <v>3.5858531244610217</v>
      </c>
    </row>
    <row r="807" spans="1:7" s="167" customFormat="1">
      <c r="A807" s="347" t="s">
        <v>123</v>
      </c>
      <c r="B807" s="167">
        <f>B806+'CR CWIP Balance'!D19</f>
        <v>2012.6341199999999</v>
      </c>
      <c r="C807" s="167">
        <f t="shared" si="140"/>
        <v>28.226320581617912</v>
      </c>
      <c r="D807" s="167">
        <f t="shared" si="139"/>
        <v>2040.8604405816179</v>
      </c>
      <c r="E807" s="167">
        <f>D806*($B$792/12)</f>
        <v>10.115683215448797</v>
      </c>
      <c r="F807" s="167">
        <f t="shared" si="141"/>
        <v>4.1211293419738402</v>
      </c>
    </row>
    <row r="808" spans="1:7" s="167" customFormat="1">
      <c r="A808" s="347" t="s">
        <v>124</v>
      </c>
      <c r="B808" s="167">
        <f>B807+'CR CWIP Balance'!D20</f>
        <v>2084.2801100000001</v>
      </c>
      <c r="C808" s="167">
        <f t="shared" si="140"/>
        <v>38.855802042980507</v>
      </c>
      <c r="D808" s="167">
        <f t="shared" si="139"/>
        <v>2123.1359120429806</v>
      </c>
      <c r="E808" s="167">
        <f>D807*($B$792/12)</f>
        <v>10.629481461362593</v>
      </c>
      <c r="F808" s="167">
        <f t="shared" si="141"/>
        <v>4.3304507473591203</v>
      </c>
    </row>
    <row r="809" spans="1:7" s="167" customFormat="1">
      <c r="A809" s="347" t="s">
        <v>125</v>
      </c>
      <c r="B809" s="167">
        <f>B808+'CR CWIP Balance'!D21</f>
        <v>2243.3728799999999</v>
      </c>
      <c r="C809" s="167">
        <f t="shared" si="140"/>
        <v>49.913801584871031</v>
      </c>
      <c r="D809" s="167">
        <f t="shared" si="139"/>
        <v>2293.2866815848711</v>
      </c>
      <c r="E809" s="296">
        <f>D808*($B$792/12)</f>
        <v>11.057999541890524</v>
      </c>
      <c r="F809" s="167">
        <f t="shared" si="141"/>
        <v>4.5050290133661992</v>
      </c>
    </row>
    <row r="810" spans="1:7" s="167" customFormat="1">
      <c r="A810" s="347" t="s">
        <v>126</v>
      </c>
      <c r="B810" s="167">
        <f>B809+'CR CWIP Balance'!D22</f>
        <v>5527.3527100000001</v>
      </c>
      <c r="C810" s="167">
        <f t="shared" si="140"/>
        <v>61.858003051458901</v>
      </c>
      <c r="D810" s="167">
        <f t="shared" si="139"/>
        <v>5589.2107130514587</v>
      </c>
      <c r="E810" s="167">
        <f>D809*($B$793/12)</f>
        <v>11.94420146658787</v>
      </c>
      <c r="F810" s="167">
        <f t="shared" si="141"/>
        <v>4.8660676774878979</v>
      </c>
    </row>
    <row r="811" spans="1:7" s="167" customFormat="1">
      <c r="A811" s="347" t="s">
        <v>127</v>
      </c>
      <c r="B811" s="167">
        <f>B810+'CR CWIP Balance'!D23</f>
        <v>8950.7164900000007</v>
      </c>
      <c r="C811" s="167">
        <f t="shared" si="140"/>
        <v>90.96847551526858</v>
      </c>
      <c r="D811" s="167">
        <f t="shared" si="139"/>
        <v>9041.6849655152691</v>
      </c>
      <c r="E811" s="167">
        <f>D810*($B$793/12)</f>
        <v>29.110472463809678</v>
      </c>
      <c r="F811" s="167">
        <f t="shared" si="141"/>
        <v>11.859606481756062</v>
      </c>
    </row>
    <row r="812" spans="1:7" s="167" customFormat="1">
      <c r="A812" s="347" t="s">
        <v>305</v>
      </c>
      <c r="B812" s="167">
        <f>B811+'CR CWIP Balance'!D24</f>
        <v>10959.973889999999</v>
      </c>
      <c r="C812" s="167">
        <f t="shared" si="140"/>
        <v>138.06058471066061</v>
      </c>
      <c r="D812" s="167">
        <f t="shared" si="139"/>
        <v>11098.034474710659</v>
      </c>
      <c r="E812" s="167">
        <f>D811*($B$793/12)</f>
        <v>47.092109195392027</v>
      </c>
      <c r="F812" s="167">
        <f t="shared" si="141"/>
        <v>19.185325286202712</v>
      </c>
    </row>
    <row r="813" spans="1:7" s="167" customFormat="1" ht="15" thickBot="1">
      <c r="A813" s="347"/>
      <c r="E813" s="168"/>
      <c r="F813" s="168"/>
    </row>
    <row r="814" spans="1:7" s="167" customFormat="1" ht="15" thickTop="1">
      <c r="A814" s="347"/>
    </row>
    <row r="815" spans="1:7" s="167" customFormat="1">
      <c r="A815" s="674"/>
      <c r="B815" s="674"/>
      <c r="C815" s="674"/>
      <c r="D815" s="674"/>
      <c r="E815" s="674"/>
      <c r="F815" s="674"/>
    </row>
    <row r="816" spans="1:7" s="167" customFormat="1" ht="15.75">
      <c r="A816" s="674" t="s">
        <v>145</v>
      </c>
      <c r="B816" s="674"/>
      <c r="C816" s="674"/>
      <c r="D816" s="674"/>
      <c r="E816" s="674"/>
      <c r="F816" s="674"/>
    </row>
    <row r="817" spans="1:6" s="167" customFormat="1">
      <c r="A817" s="674"/>
      <c r="B817" s="674"/>
      <c r="C817" s="674"/>
      <c r="D817" s="674"/>
      <c r="E817" s="674"/>
      <c r="F817" s="674"/>
    </row>
    <row r="818" spans="1:6" s="167" customFormat="1"/>
    <row r="819" spans="1:6" s="167" customFormat="1" ht="15">
      <c r="A819" s="507" t="s">
        <v>138</v>
      </c>
    </row>
    <row r="820" spans="1:6" s="167" customFormat="1" ht="28.5">
      <c r="A820" s="514" t="str">
        <f>A789</f>
        <v>Colorado River</v>
      </c>
      <c r="B820" s="169" t="s">
        <v>139</v>
      </c>
      <c r="C820" s="169" t="s">
        <v>140</v>
      </c>
      <c r="D820" s="169" t="s">
        <v>141</v>
      </c>
      <c r="E820" s="169" t="s">
        <v>142</v>
      </c>
      <c r="F820" s="169" t="s">
        <v>143</v>
      </c>
    </row>
    <row r="821" spans="1:6" s="167" customFormat="1">
      <c r="A821" s="347" t="s">
        <v>295</v>
      </c>
      <c r="B821" s="167">
        <f t="shared" ref="B821:B830" si="142">+F803</f>
        <v>0</v>
      </c>
      <c r="C821" s="170">
        <f>B821</f>
        <v>0</v>
      </c>
      <c r="D821" s="262">
        <f>D127</f>
        <v>0.74999999999999989</v>
      </c>
      <c r="E821" s="170">
        <f>+B821*D821</f>
        <v>0</v>
      </c>
      <c r="F821" s="263">
        <f>+C821*D821</f>
        <v>0</v>
      </c>
    </row>
    <row r="822" spans="1:6" s="167" customFormat="1">
      <c r="A822" s="253" t="s">
        <v>121</v>
      </c>
      <c r="B822" s="167">
        <f t="shared" si="142"/>
        <v>0.65151671112499987</v>
      </c>
      <c r="C822" s="170">
        <f>C821+B822</f>
        <v>0.65151671112499987</v>
      </c>
      <c r="D822" s="262">
        <f>D821-(1/12)</f>
        <v>0.66666666666666652</v>
      </c>
      <c r="E822" s="170">
        <f>+B822*D822</f>
        <v>0.43434447408333315</v>
      </c>
      <c r="F822" s="170">
        <f t="shared" ref="F822:F830" si="143">+F821+E822</f>
        <v>0.43434447408333315</v>
      </c>
    </row>
    <row r="823" spans="1:6" s="167" customFormat="1">
      <c r="A823" s="253" t="s">
        <v>75</v>
      </c>
      <c r="B823" s="170">
        <f t="shared" si="142"/>
        <v>3.1409038273912757</v>
      </c>
      <c r="C823" s="170">
        <f t="shared" ref="C823:C830" si="144">+C822+B823</f>
        <v>3.7924205385162755</v>
      </c>
      <c r="D823" s="262">
        <f>D822-(1/12)</f>
        <v>0.58333333333333315</v>
      </c>
      <c r="E823" s="170">
        <f t="shared" ref="E823:E830" si="145">+B823*D823</f>
        <v>1.8321938993115769</v>
      </c>
      <c r="F823" s="170">
        <f t="shared" si="143"/>
        <v>2.2665383733949103</v>
      </c>
    </row>
    <row r="824" spans="1:6" s="167" customFormat="1">
      <c r="A824" s="253" t="s">
        <v>122</v>
      </c>
      <c r="B824" s="170">
        <f t="shared" si="142"/>
        <v>3.5858531244610217</v>
      </c>
      <c r="C824" s="170">
        <f t="shared" si="144"/>
        <v>7.3782736629772971</v>
      </c>
      <c r="D824" s="262">
        <f t="shared" ref="D824:D829" si="146">D823-(1/12)</f>
        <v>0.49999999999999983</v>
      </c>
      <c r="E824" s="170">
        <f t="shared" si="145"/>
        <v>1.7929265622305102</v>
      </c>
      <c r="F824" s="170">
        <f t="shared" si="143"/>
        <v>4.0594649356254209</v>
      </c>
    </row>
    <row r="825" spans="1:6" s="167" customFormat="1">
      <c r="A825" s="253" t="s">
        <v>123</v>
      </c>
      <c r="B825" s="170">
        <f t="shared" si="142"/>
        <v>4.1211293419738402</v>
      </c>
      <c r="C825" s="170">
        <f t="shared" si="144"/>
        <v>11.499403004951137</v>
      </c>
      <c r="D825" s="262">
        <f t="shared" si="146"/>
        <v>0.41666666666666652</v>
      </c>
      <c r="E825" s="170">
        <f t="shared" si="145"/>
        <v>1.7171372258224329</v>
      </c>
      <c r="F825" s="170">
        <f t="shared" si="143"/>
        <v>5.7766021614478538</v>
      </c>
    </row>
    <row r="826" spans="1:6" s="167" customFormat="1">
      <c r="A826" s="253" t="s">
        <v>124</v>
      </c>
      <c r="B826" s="170">
        <f t="shared" si="142"/>
        <v>4.3304507473591203</v>
      </c>
      <c r="C826" s="170">
        <f t="shared" si="144"/>
        <v>15.829853752310257</v>
      </c>
      <c r="D826" s="262">
        <f t="shared" si="146"/>
        <v>0.3333333333333332</v>
      </c>
      <c r="E826" s="170">
        <f t="shared" si="145"/>
        <v>1.4434835824530394</v>
      </c>
      <c r="F826" s="170">
        <f t="shared" si="143"/>
        <v>7.220085743900893</v>
      </c>
    </row>
    <row r="827" spans="1:6" s="167" customFormat="1">
      <c r="A827" s="253" t="s">
        <v>125</v>
      </c>
      <c r="B827" s="170">
        <f t="shared" si="142"/>
        <v>4.5050290133661992</v>
      </c>
      <c r="C827" s="170">
        <f t="shared" si="144"/>
        <v>20.334882765676454</v>
      </c>
      <c r="D827" s="262">
        <f t="shared" si="146"/>
        <v>0.24999999999999989</v>
      </c>
      <c r="E827" s="170">
        <f t="shared" si="145"/>
        <v>1.1262572533415494</v>
      </c>
      <c r="F827" s="170">
        <f t="shared" si="143"/>
        <v>8.3463429972424414</v>
      </c>
    </row>
    <row r="828" spans="1:6" s="167" customFormat="1">
      <c r="A828" s="253" t="s">
        <v>126</v>
      </c>
      <c r="B828" s="170">
        <f t="shared" si="142"/>
        <v>4.8660676774878979</v>
      </c>
      <c r="C828" s="170">
        <f t="shared" si="144"/>
        <v>25.200950443164352</v>
      </c>
      <c r="D828" s="262">
        <f t="shared" si="146"/>
        <v>0.16666666666666657</v>
      </c>
      <c r="E828" s="170">
        <f t="shared" si="145"/>
        <v>0.81101127958131591</v>
      </c>
      <c r="F828" s="170">
        <f t="shared" si="143"/>
        <v>9.1573542768237566</v>
      </c>
    </row>
    <row r="829" spans="1:6" s="167" customFormat="1">
      <c r="A829" s="253" t="s">
        <v>127</v>
      </c>
      <c r="B829" s="170">
        <f t="shared" si="142"/>
        <v>11.859606481756062</v>
      </c>
      <c r="C829" s="170">
        <f t="shared" si="144"/>
        <v>37.060556924920412</v>
      </c>
      <c r="D829" s="262">
        <f t="shared" si="146"/>
        <v>8.3333333333333245E-2</v>
      </c>
      <c r="E829" s="170">
        <f t="shared" si="145"/>
        <v>0.9883005401463375</v>
      </c>
      <c r="F829" s="170">
        <f t="shared" si="143"/>
        <v>10.145654816970094</v>
      </c>
    </row>
    <row r="830" spans="1:6" s="167" customFormat="1">
      <c r="A830" s="347" t="s">
        <v>262</v>
      </c>
      <c r="B830" s="170">
        <f t="shared" si="142"/>
        <v>19.185325286202712</v>
      </c>
      <c r="C830" s="170">
        <f t="shared" si="144"/>
        <v>56.245882211123124</v>
      </c>
      <c r="D830" s="262">
        <f>D829-(1/12)</f>
        <v>0</v>
      </c>
      <c r="E830" s="170">
        <f t="shared" si="145"/>
        <v>0</v>
      </c>
      <c r="F830" s="170">
        <f t="shared" si="143"/>
        <v>10.145654816970094</v>
      </c>
    </row>
    <row r="831" spans="1:6" s="167" customFormat="1" ht="15" thickBot="1">
      <c r="A831" s="346" t="s">
        <v>302</v>
      </c>
      <c r="B831" s="491">
        <f>SUM(B821:B830)</f>
        <v>56.245882211123124</v>
      </c>
      <c r="D831" s="675" t="s">
        <v>303</v>
      </c>
      <c r="E831" s="676"/>
      <c r="F831" s="168">
        <f>SUM(F821:F830)/10</f>
        <v>5.7552042596458799</v>
      </c>
    </row>
    <row r="832" spans="1:6" s="167" customFormat="1" ht="15" thickTop="1">
      <c r="A832" s="347"/>
      <c r="B832" s="170"/>
      <c r="C832" s="170"/>
      <c r="D832" s="262"/>
      <c r="E832" s="170"/>
      <c r="F832" s="263"/>
    </row>
    <row r="833" spans="1:7" s="167" customFormat="1"/>
    <row r="834" spans="1:7" s="167" customFormat="1"/>
    <row r="835" spans="1:7" s="167" customFormat="1" ht="18.75" thickBot="1">
      <c r="A835" s="677" t="s">
        <v>289</v>
      </c>
      <c r="B835" s="678"/>
      <c r="C835" s="678"/>
      <c r="D835" s="678"/>
      <c r="E835" s="678"/>
      <c r="F835" s="678"/>
    </row>
    <row r="836" spans="1:7" s="167" customFormat="1">
      <c r="A836" s="546" t="s">
        <v>304</v>
      </c>
      <c r="B836" s="493">
        <f>+B23</f>
        <v>6.25E-2</v>
      </c>
      <c r="C836" s="499"/>
    </row>
    <row r="837" spans="1:7" s="167" customFormat="1">
      <c r="A837" s="547" t="s">
        <v>167</v>
      </c>
      <c r="B837" s="493">
        <f>+B24</f>
        <v>6.25E-2</v>
      </c>
    </row>
    <row r="838" spans="1:7" s="167" customFormat="1">
      <c r="A838" s="547" t="s">
        <v>168</v>
      </c>
      <c r="B838" s="493">
        <f>+B25</f>
        <v>6.25E-2</v>
      </c>
    </row>
    <row r="839" spans="1:7" s="167" customFormat="1">
      <c r="A839" s="547" t="s">
        <v>169</v>
      </c>
      <c r="B839" s="493">
        <f>+B26</f>
        <v>6.25E-2</v>
      </c>
    </row>
    <row r="840" spans="1:7" s="167" customFormat="1">
      <c r="A840" s="546" t="s">
        <v>269</v>
      </c>
      <c r="B840" s="497">
        <f>+B27</f>
        <v>0.40739999999999998</v>
      </c>
    </row>
    <row r="841" spans="1:7" s="167" customFormat="1">
      <c r="A841" s="496"/>
      <c r="B841" s="497"/>
    </row>
    <row r="842" spans="1:7" s="167" customFormat="1"/>
    <row r="843" spans="1:7" s="167" customFormat="1"/>
    <row r="844" spans="1:7" s="167" customFormat="1" ht="15">
      <c r="A844" s="507" t="s">
        <v>135</v>
      </c>
    </row>
    <row r="845" spans="1:7" s="167" customFormat="1" ht="28.5">
      <c r="A845" s="679" t="str">
        <f>A835</f>
        <v>South of Kramer</v>
      </c>
      <c r="B845" s="681" t="s">
        <v>179</v>
      </c>
      <c r="C845" s="681" t="s">
        <v>180</v>
      </c>
      <c r="D845" s="681" t="s">
        <v>181</v>
      </c>
      <c r="E845" s="684" t="s">
        <v>144</v>
      </c>
      <c r="F845" s="508" t="s">
        <v>136</v>
      </c>
      <c r="G845" s="532" t="s">
        <v>196</v>
      </c>
    </row>
    <row r="846" spans="1:7" s="167" customFormat="1">
      <c r="A846" s="680"/>
      <c r="B846" s="682"/>
      <c r="C846" s="682"/>
      <c r="D846" s="683"/>
      <c r="E846" s="685"/>
      <c r="F846" s="500">
        <f>B840</f>
        <v>0.40739999999999998</v>
      </c>
      <c r="G846" s="501">
        <v>40544</v>
      </c>
    </row>
    <row r="847" spans="1:7" s="167" customFormat="1" ht="15">
      <c r="A847" s="502"/>
      <c r="B847" s="503"/>
      <c r="C847" s="503"/>
      <c r="D847" s="504"/>
      <c r="E847" s="257"/>
      <c r="F847" s="513"/>
      <c r="G847" s="506"/>
    </row>
    <row r="848" spans="1:7" s="167" customFormat="1">
      <c r="A848" s="347" t="s">
        <v>295</v>
      </c>
      <c r="B848" s="167">
        <f>'S. of Kramer CWIP Balance'!E15-'Beg int cap'!B49</f>
        <v>261.71168999999998</v>
      </c>
      <c r="C848" s="170">
        <f>'Beg int cap'!E49</f>
        <v>0</v>
      </c>
      <c r="D848" s="167">
        <f t="shared" ref="D848:D857" si="147">SUM(B848:C848)</f>
        <v>261.71168999999998</v>
      </c>
      <c r="F848" s="167">
        <f>(C848*F846)-('Beg int cap'!D62*'Def Tax'!F846)</f>
        <v>0</v>
      </c>
    </row>
    <row r="849" spans="1:6" s="167" customFormat="1">
      <c r="A849" s="253" t="s">
        <v>121</v>
      </c>
      <c r="B849" s="167">
        <f>B848+'S. of Kramer CWIP Balance'!D16</f>
        <v>343.42626000000001</v>
      </c>
      <c r="C849" s="167">
        <f t="shared" ref="C849:C857" si="148">C848+E849</f>
        <v>1.3630817187499997</v>
      </c>
      <c r="D849" s="167">
        <f t="shared" si="147"/>
        <v>344.78934171874999</v>
      </c>
      <c r="E849" s="167">
        <f>D848*($B$837/12)</f>
        <v>1.3630817187499997</v>
      </c>
      <c r="F849" s="167">
        <f>+E849*$F$846</f>
        <v>0.55531949221874988</v>
      </c>
    </row>
    <row r="850" spans="1:6" s="167" customFormat="1">
      <c r="A850" s="253" t="s">
        <v>75</v>
      </c>
      <c r="B850" s="167">
        <f>B849+'S. of Kramer CWIP Balance'!D17</f>
        <v>438.00306999999998</v>
      </c>
      <c r="C850" s="167">
        <f t="shared" si="148"/>
        <v>3.1588595402018225</v>
      </c>
      <c r="D850" s="167">
        <f t="shared" si="147"/>
        <v>441.16192954020181</v>
      </c>
      <c r="E850" s="167">
        <f>D849*($B$837/12)</f>
        <v>1.7957778214518227</v>
      </c>
      <c r="F850" s="167">
        <f>+E850*$F$846</f>
        <v>0.73159988445947255</v>
      </c>
    </row>
    <row r="851" spans="1:6" s="167" customFormat="1">
      <c r="A851" s="253" t="s">
        <v>122</v>
      </c>
      <c r="B851" s="167">
        <f>B850+'S. of Kramer CWIP Balance'!D18</f>
        <v>575.50337000000002</v>
      </c>
      <c r="C851" s="167">
        <f t="shared" si="148"/>
        <v>5.4565779232237066</v>
      </c>
      <c r="D851" s="167">
        <f t="shared" si="147"/>
        <v>580.95994792322369</v>
      </c>
      <c r="E851" s="296">
        <f>D850*($B$837/12)</f>
        <v>2.2977183830218841</v>
      </c>
      <c r="F851" s="167">
        <f t="shared" ref="F851:F857" si="149">+E851*$F$846</f>
        <v>0.93609046924311556</v>
      </c>
    </row>
    <row r="852" spans="1:6" s="167" customFormat="1">
      <c r="A852" s="253" t="s">
        <v>123</v>
      </c>
      <c r="B852" s="167">
        <f>B851+'S. of Kramer CWIP Balance'!D19</f>
        <v>712.90076999999997</v>
      </c>
      <c r="C852" s="167">
        <f t="shared" si="148"/>
        <v>8.4824109853238294</v>
      </c>
      <c r="D852" s="167">
        <f t="shared" si="147"/>
        <v>721.38318098532375</v>
      </c>
      <c r="E852" s="167">
        <f>D851*($B$838/12)</f>
        <v>3.0258330621001233</v>
      </c>
      <c r="F852" s="167">
        <f t="shared" si="149"/>
        <v>1.2327243894995901</v>
      </c>
    </row>
    <row r="853" spans="1:6" s="167" customFormat="1">
      <c r="A853" s="253" t="s">
        <v>124</v>
      </c>
      <c r="B853" s="167">
        <f>B852+'S. of Kramer CWIP Balance'!D20</f>
        <v>948.76383999999996</v>
      </c>
      <c r="C853" s="167">
        <f t="shared" si="148"/>
        <v>12.239615052955724</v>
      </c>
      <c r="D853" s="167">
        <f t="shared" si="147"/>
        <v>961.0034550529557</v>
      </c>
      <c r="E853" s="167">
        <f>D852*($B$838/12)</f>
        <v>3.7572040676318945</v>
      </c>
      <c r="F853" s="167">
        <f t="shared" si="149"/>
        <v>1.5306849371532338</v>
      </c>
    </row>
    <row r="854" spans="1:6" s="167" customFormat="1">
      <c r="A854" s="253" t="s">
        <v>125</v>
      </c>
      <c r="B854" s="167">
        <f>B853+'S. of Kramer CWIP Balance'!D21</f>
        <v>1242.28874</v>
      </c>
      <c r="C854" s="167">
        <f t="shared" si="148"/>
        <v>17.244841381356537</v>
      </c>
      <c r="D854" s="167">
        <f t="shared" si="147"/>
        <v>1259.5335813813565</v>
      </c>
      <c r="E854" s="296">
        <f>D853*($B$838/12)</f>
        <v>5.0052263284008109</v>
      </c>
      <c r="F854" s="167">
        <f t="shared" si="149"/>
        <v>2.0391292061904904</v>
      </c>
    </row>
    <row r="855" spans="1:6" s="167" customFormat="1">
      <c r="A855" s="253" t="s">
        <v>126</v>
      </c>
      <c r="B855" s="167">
        <f>B854+'S. of Kramer CWIP Balance'!D22</f>
        <v>1528.9017200000001</v>
      </c>
      <c r="C855" s="167">
        <f t="shared" si="148"/>
        <v>23.80491211771777</v>
      </c>
      <c r="D855" s="167">
        <f t="shared" si="147"/>
        <v>1552.7066321177178</v>
      </c>
      <c r="E855" s="167">
        <f>D854*($B$839/12)</f>
        <v>6.5600707363612312</v>
      </c>
      <c r="F855" s="167">
        <f t="shared" si="149"/>
        <v>2.6725728179935655</v>
      </c>
    </row>
    <row r="856" spans="1:6" s="167" customFormat="1">
      <c r="A856" s="253" t="s">
        <v>127</v>
      </c>
      <c r="B856" s="167">
        <f>B855+'S. of Kramer CWIP Balance'!D23</f>
        <v>1794.5120400000001</v>
      </c>
      <c r="C856" s="167">
        <f t="shared" si="148"/>
        <v>31.891925826664217</v>
      </c>
      <c r="D856" s="167">
        <f t="shared" si="147"/>
        <v>1826.4039658266643</v>
      </c>
      <c r="E856" s="167">
        <f>D855*($B$839/12)</f>
        <v>8.0870137089464471</v>
      </c>
      <c r="F856" s="167">
        <f t="shared" si="149"/>
        <v>3.2946493850247824</v>
      </c>
    </row>
    <row r="857" spans="1:6" s="167" customFormat="1">
      <c r="A857" s="347" t="s">
        <v>262</v>
      </c>
      <c r="B857" s="167">
        <f>B856+'S. of Kramer CWIP Balance'!D24</f>
        <v>2139.3613999999998</v>
      </c>
      <c r="C857" s="167">
        <f t="shared" si="148"/>
        <v>41.404446482011423</v>
      </c>
      <c r="D857" s="167">
        <f t="shared" si="147"/>
        <v>2180.7658464820111</v>
      </c>
      <c r="E857" s="167">
        <f>D856*($B$839/12)</f>
        <v>9.5125206553472097</v>
      </c>
      <c r="F857" s="167">
        <f t="shared" si="149"/>
        <v>3.875400914988453</v>
      </c>
    </row>
    <row r="858" spans="1:6" s="167" customFormat="1" ht="15" thickBot="1">
      <c r="A858" s="347"/>
      <c r="E858" s="168"/>
      <c r="F858" s="168"/>
    </row>
    <row r="859" spans="1:6" s="167" customFormat="1" ht="15" thickTop="1">
      <c r="E859" s="296"/>
      <c r="F859" s="296"/>
    </row>
    <row r="860" spans="1:6" s="167" customFormat="1">
      <c r="A860" s="674"/>
      <c r="B860" s="674"/>
      <c r="C860" s="674"/>
      <c r="D860" s="674"/>
      <c r="E860" s="674"/>
      <c r="F860" s="674"/>
    </row>
    <row r="861" spans="1:6" s="167" customFormat="1" ht="15.75">
      <c r="A861" s="674" t="s">
        <v>145</v>
      </c>
      <c r="B861" s="674"/>
      <c r="C861" s="674"/>
      <c r="D861" s="674"/>
      <c r="E861" s="674"/>
      <c r="F861" s="674"/>
    </row>
    <row r="862" spans="1:6" s="167" customFormat="1">
      <c r="A862" s="674"/>
      <c r="B862" s="674"/>
      <c r="C862" s="674"/>
      <c r="D862" s="674"/>
      <c r="E862" s="674"/>
      <c r="F862" s="674"/>
    </row>
    <row r="863" spans="1:6" s="167" customFormat="1"/>
    <row r="864" spans="1:6" s="167" customFormat="1" ht="15">
      <c r="A864" s="507" t="s">
        <v>138</v>
      </c>
    </row>
    <row r="865" spans="1:6" s="167" customFormat="1" ht="28.5">
      <c r="A865" s="514" t="str">
        <f>A835</f>
        <v>South of Kramer</v>
      </c>
      <c r="B865" s="169" t="s">
        <v>139</v>
      </c>
      <c r="C865" s="169" t="s">
        <v>140</v>
      </c>
      <c r="D865" s="169" t="s">
        <v>141</v>
      </c>
      <c r="E865" s="169" t="s">
        <v>142</v>
      </c>
      <c r="F865" s="169" t="s">
        <v>143</v>
      </c>
    </row>
    <row r="866" spans="1:6" s="167" customFormat="1">
      <c r="A866" s="347" t="s">
        <v>295</v>
      </c>
      <c r="B866" s="167">
        <f t="shared" ref="B866:B875" si="150">+F848</f>
        <v>0</v>
      </c>
      <c r="C866" s="170">
        <f>B866</f>
        <v>0</v>
      </c>
      <c r="D866" s="262">
        <f>D127</f>
        <v>0.74999999999999989</v>
      </c>
      <c r="E866" s="170">
        <f t="shared" ref="E866:E875" si="151">+B866*D866</f>
        <v>0</v>
      </c>
      <c r="F866" s="263">
        <f>+C866*D866</f>
        <v>0</v>
      </c>
    </row>
    <row r="867" spans="1:6" s="167" customFormat="1">
      <c r="A867" s="253" t="s">
        <v>121</v>
      </c>
      <c r="B867" s="167">
        <f t="shared" si="150"/>
        <v>0.55531949221874988</v>
      </c>
      <c r="C867" s="170">
        <f>C866+B867</f>
        <v>0.55531949221874988</v>
      </c>
      <c r="D867" s="262">
        <f>D866-(1/12)</f>
        <v>0.66666666666666652</v>
      </c>
      <c r="E867" s="170">
        <f t="shared" si="151"/>
        <v>0.37021299481249986</v>
      </c>
      <c r="F867" s="170">
        <f t="shared" ref="F867:F875" si="152">+F866+E867</f>
        <v>0.37021299481249986</v>
      </c>
    </row>
    <row r="868" spans="1:6" s="167" customFormat="1">
      <c r="A868" s="253" t="s">
        <v>75</v>
      </c>
      <c r="B868" s="167">
        <f t="shared" si="150"/>
        <v>0.73159988445947255</v>
      </c>
      <c r="C868" s="170">
        <f t="shared" ref="C868:C875" si="153">+C867+B868</f>
        <v>1.2869193766782225</v>
      </c>
      <c r="D868" s="262">
        <f>D867-(1/12)</f>
        <v>0.58333333333333315</v>
      </c>
      <c r="E868" s="170">
        <f t="shared" si="151"/>
        <v>0.42676659926802551</v>
      </c>
      <c r="F868" s="170">
        <f t="shared" si="152"/>
        <v>0.79697959408052532</v>
      </c>
    </row>
    <row r="869" spans="1:6" s="167" customFormat="1">
      <c r="A869" s="253" t="s">
        <v>122</v>
      </c>
      <c r="B869" s="167">
        <f t="shared" si="150"/>
        <v>0.93609046924311556</v>
      </c>
      <c r="C869" s="170">
        <f t="shared" si="153"/>
        <v>2.2230098459213381</v>
      </c>
      <c r="D869" s="262">
        <f t="shared" ref="D869:D874" si="154">D868-(1/12)</f>
        <v>0.49999999999999983</v>
      </c>
      <c r="E869" s="170">
        <f t="shared" si="151"/>
        <v>0.46804523462155762</v>
      </c>
      <c r="F869" s="170">
        <f t="shared" si="152"/>
        <v>1.2650248287020829</v>
      </c>
    </row>
    <row r="870" spans="1:6" s="167" customFormat="1">
      <c r="A870" s="253" t="s">
        <v>123</v>
      </c>
      <c r="B870" s="167">
        <f t="shared" si="150"/>
        <v>1.2327243894995901</v>
      </c>
      <c r="C870" s="170">
        <f t="shared" si="153"/>
        <v>3.4557342354209282</v>
      </c>
      <c r="D870" s="262">
        <f t="shared" si="154"/>
        <v>0.41666666666666652</v>
      </c>
      <c r="E870" s="170">
        <f t="shared" si="151"/>
        <v>0.51363516229149564</v>
      </c>
      <c r="F870" s="170">
        <f t="shared" si="152"/>
        <v>1.7786599909935785</v>
      </c>
    </row>
    <row r="871" spans="1:6" s="167" customFormat="1">
      <c r="A871" s="253" t="s">
        <v>124</v>
      </c>
      <c r="B871" s="167">
        <f t="shared" si="150"/>
        <v>1.5306849371532338</v>
      </c>
      <c r="C871" s="170">
        <f t="shared" si="153"/>
        <v>4.9864191725741618</v>
      </c>
      <c r="D871" s="262">
        <f t="shared" si="154"/>
        <v>0.3333333333333332</v>
      </c>
      <c r="E871" s="170">
        <f t="shared" si="151"/>
        <v>0.51022831238441113</v>
      </c>
      <c r="F871" s="170">
        <f t="shared" si="152"/>
        <v>2.2888883033779894</v>
      </c>
    </row>
    <row r="872" spans="1:6" s="167" customFormat="1">
      <c r="A872" s="253" t="s">
        <v>125</v>
      </c>
      <c r="B872" s="167">
        <f t="shared" si="150"/>
        <v>2.0391292061904904</v>
      </c>
      <c r="C872" s="170">
        <f t="shared" si="153"/>
        <v>7.0255483787646522</v>
      </c>
      <c r="D872" s="262">
        <f t="shared" si="154"/>
        <v>0.24999999999999989</v>
      </c>
      <c r="E872" s="170">
        <f t="shared" si="151"/>
        <v>0.50978230154762239</v>
      </c>
      <c r="F872" s="170">
        <f t="shared" si="152"/>
        <v>2.7986706049256118</v>
      </c>
    </row>
    <row r="873" spans="1:6" s="167" customFormat="1">
      <c r="A873" s="253" t="s">
        <v>126</v>
      </c>
      <c r="B873" s="167">
        <f t="shared" si="150"/>
        <v>2.6725728179935655</v>
      </c>
      <c r="C873" s="170">
        <f t="shared" si="153"/>
        <v>9.6981211967582173</v>
      </c>
      <c r="D873" s="262">
        <f t="shared" si="154"/>
        <v>0.16666666666666657</v>
      </c>
      <c r="E873" s="170">
        <f t="shared" si="151"/>
        <v>0.44542880299892734</v>
      </c>
      <c r="F873" s="170">
        <f t="shared" si="152"/>
        <v>3.2440994079245393</v>
      </c>
    </row>
    <row r="874" spans="1:6" s="167" customFormat="1">
      <c r="A874" s="253" t="s">
        <v>127</v>
      </c>
      <c r="B874" s="167">
        <f t="shared" si="150"/>
        <v>3.2946493850247824</v>
      </c>
      <c r="C874" s="170">
        <f t="shared" si="153"/>
        <v>12.992770581782999</v>
      </c>
      <c r="D874" s="262">
        <f t="shared" si="154"/>
        <v>8.3333333333333245E-2</v>
      </c>
      <c r="E874" s="170">
        <f t="shared" si="151"/>
        <v>0.27455411541873159</v>
      </c>
      <c r="F874" s="170">
        <f t="shared" si="152"/>
        <v>3.518653523343271</v>
      </c>
    </row>
    <row r="875" spans="1:6" s="167" customFormat="1">
      <c r="A875" s="347" t="s">
        <v>262</v>
      </c>
      <c r="B875" s="167">
        <f t="shared" si="150"/>
        <v>3.875400914988453</v>
      </c>
      <c r="C875" s="170">
        <f t="shared" si="153"/>
        <v>16.868171496771453</v>
      </c>
      <c r="D875" s="262">
        <f>D874-(1/12)</f>
        <v>0</v>
      </c>
      <c r="E875" s="170">
        <f t="shared" si="151"/>
        <v>0</v>
      </c>
      <c r="F875" s="391">
        <f t="shared" si="152"/>
        <v>3.518653523343271</v>
      </c>
    </row>
    <row r="876" spans="1:6" s="167" customFormat="1" ht="15" thickBot="1">
      <c r="A876" s="347" t="s">
        <v>302</v>
      </c>
      <c r="B876" s="491">
        <f>SUM(B866:B875)</f>
        <v>16.868171496771453</v>
      </c>
      <c r="D876" s="675" t="s">
        <v>303</v>
      </c>
      <c r="E876" s="676"/>
      <c r="F876" s="498">
        <f>SUM(F866:F875)/10</f>
        <v>1.9579842771503368</v>
      </c>
    </row>
    <row r="877" spans="1:6" s="167" customFormat="1" ht="15" thickTop="1">
      <c r="A877" s="347"/>
      <c r="B877" s="170"/>
      <c r="C877" s="170"/>
      <c r="D877" s="262"/>
      <c r="E877" s="170"/>
      <c r="F877" s="263"/>
    </row>
    <row r="880" spans="1:6" s="167" customFormat="1" ht="18.75" thickBot="1">
      <c r="A880" s="677" t="s">
        <v>290</v>
      </c>
      <c r="B880" s="678"/>
      <c r="C880" s="678"/>
      <c r="D880" s="678"/>
      <c r="E880" s="678"/>
      <c r="F880" s="678"/>
    </row>
    <row r="881" spans="1:7" s="167" customFormat="1">
      <c r="A881" s="546" t="s">
        <v>304</v>
      </c>
      <c r="B881" s="493">
        <f>B23</f>
        <v>6.25E-2</v>
      </c>
      <c r="C881" s="499"/>
    </row>
    <row r="882" spans="1:7" s="167" customFormat="1">
      <c r="A882" s="547" t="s">
        <v>167</v>
      </c>
      <c r="B882" s="493">
        <f>B24</f>
        <v>6.25E-2</v>
      </c>
    </row>
    <row r="883" spans="1:7" s="167" customFormat="1">
      <c r="A883" s="547" t="s">
        <v>168</v>
      </c>
      <c r="B883" s="493">
        <f>B25</f>
        <v>6.25E-2</v>
      </c>
    </row>
    <row r="884" spans="1:7" s="167" customFormat="1">
      <c r="A884" s="547" t="s">
        <v>169</v>
      </c>
      <c r="B884" s="493">
        <f>B26</f>
        <v>6.25E-2</v>
      </c>
    </row>
    <row r="885" spans="1:7" s="167" customFormat="1">
      <c r="A885" s="546" t="s">
        <v>269</v>
      </c>
      <c r="B885" s="497">
        <f>B27</f>
        <v>0.40739999999999998</v>
      </c>
    </row>
    <row r="886" spans="1:7" s="167" customFormat="1">
      <c r="A886" s="496"/>
      <c r="B886" s="497"/>
    </row>
    <row r="887" spans="1:7" s="167" customFormat="1"/>
    <row r="888" spans="1:7" s="167" customFormat="1"/>
    <row r="889" spans="1:7" s="167" customFormat="1" ht="15">
      <c r="A889" s="507" t="s">
        <v>135</v>
      </c>
    </row>
    <row r="890" spans="1:7" s="167" customFormat="1" ht="28.5">
      <c r="A890" s="679" t="str">
        <f>A880</f>
        <v>West of Devers</v>
      </c>
      <c r="B890" s="681" t="s">
        <v>179</v>
      </c>
      <c r="C890" s="681" t="s">
        <v>180</v>
      </c>
      <c r="D890" s="681" t="s">
        <v>181</v>
      </c>
      <c r="E890" s="684" t="s">
        <v>144</v>
      </c>
      <c r="F890" s="508" t="s">
        <v>136</v>
      </c>
      <c r="G890" s="532" t="s">
        <v>196</v>
      </c>
    </row>
    <row r="891" spans="1:7" s="167" customFormat="1">
      <c r="A891" s="680"/>
      <c r="B891" s="682"/>
      <c r="C891" s="682"/>
      <c r="D891" s="683"/>
      <c r="E891" s="685"/>
      <c r="F891" s="500">
        <f>B885</f>
        <v>0.40739999999999998</v>
      </c>
      <c r="G891" s="501">
        <v>40544</v>
      </c>
    </row>
    <row r="892" spans="1:7" s="167" customFormat="1" ht="15">
      <c r="A892" s="502"/>
      <c r="B892" s="503"/>
      <c r="C892" s="503"/>
      <c r="D892" s="504"/>
      <c r="E892" s="257"/>
      <c r="F892" s="513"/>
      <c r="G892" s="506"/>
    </row>
    <row r="893" spans="1:7" s="167" customFormat="1">
      <c r="A893" s="347" t="s">
        <v>295</v>
      </c>
      <c r="B893" s="167">
        <f>'W. of Devers CWIP Balance'!E15-'Beg int cap'!B50</f>
        <v>1603.92462</v>
      </c>
      <c r="C893" s="170">
        <f>'Beg int cap'!E512</f>
        <v>0</v>
      </c>
      <c r="D893" s="167">
        <f t="shared" ref="D893:D902" si="155">SUM(B893:C893)</f>
        <v>1603.92462</v>
      </c>
      <c r="F893" s="167">
        <f>(C893*F891)-('Beg int cap'!D63*'Def Tax'!F891)</f>
        <v>0</v>
      </c>
    </row>
    <row r="894" spans="1:7" s="167" customFormat="1">
      <c r="A894" s="253" t="s">
        <v>121</v>
      </c>
      <c r="B894" s="167">
        <f>B893+'W. of Devers CWIP Balance'!D16</f>
        <v>1687.2545600000001</v>
      </c>
      <c r="C894" s="167">
        <f t="shared" ref="C894:C902" si="156">C893+E894</f>
        <v>8.3537740624999994</v>
      </c>
      <c r="D894" s="167">
        <f t="shared" si="155"/>
        <v>1695.6083340625</v>
      </c>
      <c r="E894" s="296">
        <f>D893*($B$882/12)</f>
        <v>8.3537740624999994</v>
      </c>
      <c r="F894" s="167">
        <f t="shared" ref="F894:F902" si="157">+E894*$F$891</f>
        <v>3.4033275530624998</v>
      </c>
    </row>
    <row r="895" spans="1:7" s="167" customFormat="1">
      <c r="A895" s="253" t="s">
        <v>75</v>
      </c>
      <c r="B895" s="167">
        <f>B894+'W. of Devers CWIP Balance'!D17</f>
        <v>1774.38076</v>
      </c>
      <c r="C895" s="167">
        <f t="shared" si="156"/>
        <v>17.18506746907552</v>
      </c>
      <c r="D895" s="167">
        <f t="shared" si="155"/>
        <v>1791.5658274690754</v>
      </c>
      <c r="E895" s="296">
        <f>D894*($B$882/12)</f>
        <v>8.8312934065755204</v>
      </c>
      <c r="F895" s="167">
        <f t="shared" si="157"/>
        <v>3.5978689338388667</v>
      </c>
    </row>
    <row r="896" spans="1:7" s="167" customFormat="1">
      <c r="A896" s="253" t="s">
        <v>122</v>
      </c>
      <c r="B896" s="167">
        <f>B895+'W. of Devers CWIP Balance'!D18</f>
        <v>1901.0753099999999</v>
      </c>
      <c r="C896" s="167">
        <f t="shared" si="156"/>
        <v>26.516139487143619</v>
      </c>
      <c r="D896" s="167">
        <f t="shared" si="155"/>
        <v>1927.5914494871436</v>
      </c>
      <c r="E896" s="296">
        <f>D895*($B$882/12)</f>
        <v>9.3310720180681006</v>
      </c>
      <c r="F896" s="167">
        <f t="shared" si="157"/>
        <v>3.801478740160944</v>
      </c>
    </row>
    <row r="897" spans="1:6" s="167" customFormat="1">
      <c r="A897" s="253" t="s">
        <v>123</v>
      </c>
      <c r="B897" s="167">
        <f>B896+'W. of Devers CWIP Balance'!D19</f>
        <v>2090.05258</v>
      </c>
      <c r="C897" s="167">
        <f t="shared" si="156"/>
        <v>36.555678286555825</v>
      </c>
      <c r="D897" s="167">
        <f t="shared" si="155"/>
        <v>2126.6082582865561</v>
      </c>
      <c r="E897" s="296">
        <f>D896*($B$883/12)</f>
        <v>10.039538799412206</v>
      </c>
      <c r="F897" s="167">
        <f t="shared" si="157"/>
        <v>4.0901081068805327</v>
      </c>
    </row>
    <row r="898" spans="1:6" s="167" customFormat="1">
      <c r="A898" s="253" t="s">
        <v>124</v>
      </c>
      <c r="B898" s="167">
        <f>B897+'W. of Devers CWIP Balance'!D20</f>
        <v>2348.7500100000002</v>
      </c>
      <c r="C898" s="167">
        <f t="shared" si="156"/>
        <v>47.631762965131635</v>
      </c>
      <c r="D898" s="167">
        <f t="shared" si="155"/>
        <v>2396.3817729651319</v>
      </c>
      <c r="E898" s="296">
        <f>D897*($B$883/12)</f>
        <v>11.076084678575812</v>
      </c>
      <c r="F898" s="167">
        <f t="shared" si="157"/>
        <v>4.5123968980517857</v>
      </c>
    </row>
    <row r="899" spans="1:6" s="167" customFormat="1">
      <c r="A899" s="253" t="s">
        <v>125</v>
      </c>
      <c r="B899" s="167">
        <f>B898+'W. of Devers CWIP Balance'!D21</f>
        <v>2658.4522099999999</v>
      </c>
      <c r="C899" s="167">
        <f t="shared" si="156"/>
        <v>60.112918032658364</v>
      </c>
      <c r="D899" s="167">
        <f t="shared" si="155"/>
        <v>2718.5651280326583</v>
      </c>
      <c r="E899" s="296">
        <f>D898*($B$883/12)</f>
        <v>12.481155067526728</v>
      </c>
      <c r="F899" s="167">
        <f t="shared" si="157"/>
        <v>5.0848225745103885</v>
      </c>
    </row>
    <row r="900" spans="1:6" s="167" customFormat="1">
      <c r="A900" s="253" t="s">
        <v>126</v>
      </c>
      <c r="B900" s="167">
        <f>B899+'W. of Devers CWIP Balance'!D22</f>
        <v>2944.9904099999999</v>
      </c>
      <c r="C900" s="167">
        <f t="shared" si="156"/>
        <v>74.272111407828461</v>
      </c>
      <c r="D900" s="167">
        <f t="shared" si="155"/>
        <v>3019.2625214078284</v>
      </c>
      <c r="E900" s="167">
        <f>D899*($B$884/12)</f>
        <v>14.159193375170094</v>
      </c>
      <c r="F900" s="167">
        <f t="shared" si="157"/>
        <v>5.768455381044296</v>
      </c>
    </row>
    <row r="901" spans="1:6" s="167" customFormat="1">
      <c r="A901" s="253" t="s">
        <v>127</v>
      </c>
      <c r="B901" s="167">
        <f>B900+'W. of Devers CWIP Balance'!D23</f>
        <v>3262.6523699999998</v>
      </c>
      <c r="C901" s="167">
        <f t="shared" si="156"/>
        <v>89.997437040160904</v>
      </c>
      <c r="D901" s="167">
        <f t="shared" si="155"/>
        <v>3352.6498070401608</v>
      </c>
      <c r="E901" s="167">
        <f>D900*($B$884/12)</f>
        <v>15.725325632332439</v>
      </c>
      <c r="F901" s="167">
        <f t="shared" si="157"/>
        <v>6.4064976626122352</v>
      </c>
    </row>
    <row r="902" spans="1:6" s="167" customFormat="1">
      <c r="A902" s="347" t="s">
        <v>262</v>
      </c>
      <c r="B902" s="167">
        <f>B901+'W. of Devers CWIP Balance'!D24</f>
        <v>3996.8530999999998</v>
      </c>
      <c r="C902" s="167">
        <f t="shared" si="156"/>
        <v>107.45915478516174</v>
      </c>
      <c r="D902" s="167">
        <f t="shared" si="155"/>
        <v>4104.3122547851617</v>
      </c>
      <c r="E902" s="167">
        <f>D901*($B$884/12)</f>
        <v>17.461717745000836</v>
      </c>
      <c r="F902" s="167">
        <f t="shared" si="157"/>
        <v>7.1139038093133404</v>
      </c>
    </row>
    <row r="903" spans="1:6" s="167" customFormat="1" ht="15" thickBot="1">
      <c r="A903" s="347"/>
      <c r="E903" s="168"/>
      <c r="F903" s="168"/>
    </row>
    <row r="904" spans="1:6" s="167" customFormat="1" ht="15" thickTop="1">
      <c r="E904" s="296"/>
      <c r="F904" s="296"/>
    </row>
    <row r="905" spans="1:6" s="167" customFormat="1">
      <c r="A905" s="674"/>
      <c r="B905" s="674"/>
      <c r="C905" s="674"/>
      <c r="D905" s="674"/>
      <c r="E905" s="674"/>
      <c r="F905" s="674"/>
    </row>
    <row r="906" spans="1:6" s="167" customFormat="1" ht="15.75">
      <c r="A906" s="674" t="s">
        <v>145</v>
      </c>
      <c r="B906" s="674"/>
      <c r="C906" s="674"/>
      <c r="D906" s="674"/>
      <c r="E906" s="674"/>
      <c r="F906" s="674"/>
    </row>
    <row r="907" spans="1:6" s="167" customFormat="1">
      <c r="A907" s="674"/>
      <c r="B907" s="674"/>
      <c r="C907" s="674"/>
      <c r="D907" s="674"/>
      <c r="E907" s="674"/>
      <c r="F907" s="674"/>
    </row>
    <row r="908" spans="1:6" s="167" customFormat="1"/>
    <row r="909" spans="1:6" s="167" customFormat="1" ht="15">
      <c r="A909" s="507" t="s">
        <v>138</v>
      </c>
    </row>
    <row r="910" spans="1:6" s="167" customFormat="1" ht="28.5">
      <c r="A910" s="514" t="str">
        <f>A880</f>
        <v>West of Devers</v>
      </c>
      <c r="B910" s="169" t="s">
        <v>139</v>
      </c>
      <c r="C910" s="169" t="s">
        <v>140</v>
      </c>
      <c r="D910" s="169" t="s">
        <v>141</v>
      </c>
      <c r="E910" s="169" t="s">
        <v>142</v>
      </c>
      <c r="F910" s="169" t="s">
        <v>143</v>
      </c>
    </row>
    <row r="911" spans="1:6" s="167" customFormat="1">
      <c r="A911" s="347" t="s">
        <v>295</v>
      </c>
      <c r="B911" s="167">
        <f t="shared" ref="B911:B920" si="158">+F893</f>
        <v>0</v>
      </c>
      <c r="C911" s="170">
        <f>B911</f>
        <v>0</v>
      </c>
      <c r="D911" s="262">
        <f>D127</f>
        <v>0.74999999999999989</v>
      </c>
      <c r="E911" s="170">
        <f t="shared" ref="E911:E920" si="159">+B911*D911</f>
        <v>0</v>
      </c>
      <c r="F911" s="263">
        <f>+C911*D911</f>
        <v>0</v>
      </c>
    </row>
    <row r="912" spans="1:6" s="167" customFormat="1">
      <c r="A912" s="253" t="s">
        <v>121</v>
      </c>
      <c r="B912" s="167">
        <f t="shared" si="158"/>
        <v>3.4033275530624998</v>
      </c>
      <c r="C912" s="170">
        <f>C911+B912</f>
        <v>3.4033275530624998</v>
      </c>
      <c r="D912" s="262">
        <f>D911-(1/12)</f>
        <v>0.66666666666666652</v>
      </c>
      <c r="E912" s="170">
        <f t="shared" si="159"/>
        <v>2.2688850353749994</v>
      </c>
      <c r="F912" s="170">
        <f t="shared" ref="F912:F920" si="160">+F911+E912</f>
        <v>2.2688850353749994</v>
      </c>
    </row>
    <row r="913" spans="1:6" s="167" customFormat="1">
      <c r="A913" s="253" t="s">
        <v>75</v>
      </c>
      <c r="B913" s="167">
        <f t="shared" si="158"/>
        <v>3.5978689338388667</v>
      </c>
      <c r="C913" s="170">
        <f t="shared" ref="C913:C920" si="161">+C912+B913</f>
        <v>7.0011964869013665</v>
      </c>
      <c r="D913" s="262">
        <f>D912-(1/12)</f>
        <v>0.58333333333333315</v>
      </c>
      <c r="E913" s="170">
        <f t="shared" si="159"/>
        <v>2.0987568780726717</v>
      </c>
      <c r="F913" s="170">
        <f t="shared" si="160"/>
        <v>4.3676419134476712</v>
      </c>
    </row>
    <row r="914" spans="1:6" s="167" customFormat="1">
      <c r="A914" s="253" t="s">
        <v>122</v>
      </c>
      <c r="B914" s="167">
        <f t="shared" si="158"/>
        <v>3.801478740160944</v>
      </c>
      <c r="C914" s="170">
        <f t="shared" si="161"/>
        <v>10.802675227062311</v>
      </c>
      <c r="D914" s="262">
        <f t="shared" ref="D914:D919" si="162">D913-(1/12)</f>
        <v>0.49999999999999983</v>
      </c>
      <c r="E914" s="170">
        <f t="shared" si="159"/>
        <v>1.9007393700804713</v>
      </c>
      <c r="F914" s="170">
        <f t="shared" si="160"/>
        <v>6.2683812835281429</v>
      </c>
    </row>
    <row r="915" spans="1:6" s="167" customFormat="1">
      <c r="A915" s="253" t="s">
        <v>123</v>
      </c>
      <c r="B915" s="167">
        <f t="shared" si="158"/>
        <v>4.0901081068805327</v>
      </c>
      <c r="C915" s="170">
        <f t="shared" si="161"/>
        <v>14.892783333942845</v>
      </c>
      <c r="D915" s="262">
        <f t="shared" si="162"/>
        <v>0.41666666666666652</v>
      </c>
      <c r="E915" s="170">
        <f t="shared" si="159"/>
        <v>1.7042117112002213</v>
      </c>
      <c r="F915" s="170">
        <f t="shared" si="160"/>
        <v>7.9725929947283642</v>
      </c>
    </row>
    <row r="916" spans="1:6" s="167" customFormat="1">
      <c r="A916" s="253" t="s">
        <v>124</v>
      </c>
      <c r="B916" s="167">
        <f t="shared" si="158"/>
        <v>4.5123968980517857</v>
      </c>
      <c r="C916" s="170">
        <f t="shared" si="161"/>
        <v>19.405180231994631</v>
      </c>
      <c r="D916" s="262">
        <f t="shared" si="162"/>
        <v>0.3333333333333332</v>
      </c>
      <c r="E916" s="170">
        <f t="shared" si="159"/>
        <v>1.5041322993505946</v>
      </c>
      <c r="F916" s="170">
        <f t="shared" si="160"/>
        <v>9.4767252940789586</v>
      </c>
    </row>
    <row r="917" spans="1:6" s="167" customFormat="1">
      <c r="A917" s="253" t="s">
        <v>125</v>
      </c>
      <c r="B917" s="167">
        <f t="shared" si="158"/>
        <v>5.0848225745103885</v>
      </c>
      <c r="C917" s="170">
        <f t="shared" si="161"/>
        <v>24.490002806505018</v>
      </c>
      <c r="D917" s="262">
        <f t="shared" si="162"/>
        <v>0.24999999999999989</v>
      </c>
      <c r="E917" s="170">
        <f t="shared" si="159"/>
        <v>1.2712056436275965</v>
      </c>
      <c r="F917" s="170">
        <f t="shared" si="160"/>
        <v>10.747930937706554</v>
      </c>
    </row>
    <row r="918" spans="1:6" s="167" customFormat="1">
      <c r="A918" s="253" t="s">
        <v>126</v>
      </c>
      <c r="B918" s="167">
        <f t="shared" si="158"/>
        <v>5.768455381044296</v>
      </c>
      <c r="C918" s="170">
        <f t="shared" si="161"/>
        <v>30.258458187549316</v>
      </c>
      <c r="D918" s="262">
        <f t="shared" si="162"/>
        <v>0.16666666666666657</v>
      </c>
      <c r="E918" s="170">
        <f t="shared" si="159"/>
        <v>0.96140923017404878</v>
      </c>
      <c r="F918" s="170">
        <f t="shared" si="160"/>
        <v>11.709340167880603</v>
      </c>
    </row>
    <row r="919" spans="1:6" s="167" customFormat="1">
      <c r="A919" s="253" t="s">
        <v>127</v>
      </c>
      <c r="B919" s="167">
        <f t="shared" si="158"/>
        <v>6.4064976626122352</v>
      </c>
      <c r="C919" s="170">
        <f t="shared" si="161"/>
        <v>36.664955850161547</v>
      </c>
      <c r="D919" s="262">
        <f t="shared" si="162"/>
        <v>8.3333333333333245E-2</v>
      </c>
      <c r="E919" s="170">
        <f t="shared" si="159"/>
        <v>0.53387480521768571</v>
      </c>
      <c r="F919" s="170">
        <f t="shared" si="160"/>
        <v>12.243214973098288</v>
      </c>
    </row>
    <row r="920" spans="1:6" s="167" customFormat="1">
      <c r="A920" s="347" t="s">
        <v>262</v>
      </c>
      <c r="B920" s="167">
        <f t="shared" si="158"/>
        <v>7.1139038093133404</v>
      </c>
      <c r="C920" s="170">
        <f t="shared" si="161"/>
        <v>43.77885965947489</v>
      </c>
      <c r="D920" s="262">
        <f>D919-(1/12)</f>
        <v>0</v>
      </c>
      <c r="E920" s="170">
        <f t="shared" si="159"/>
        <v>0</v>
      </c>
      <c r="F920" s="170">
        <f t="shared" si="160"/>
        <v>12.243214973098288</v>
      </c>
    </row>
    <row r="921" spans="1:6" s="167" customFormat="1" ht="15" thickBot="1">
      <c r="A921" s="347" t="s">
        <v>302</v>
      </c>
      <c r="B921" s="491">
        <f>SUM(B911:B920)</f>
        <v>43.77885965947489</v>
      </c>
      <c r="D921" s="675" t="s">
        <v>303</v>
      </c>
      <c r="E921" s="676"/>
      <c r="F921" s="168">
        <f>SUM(F911:F920)/10</f>
        <v>7.7297927572941871</v>
      </c>
    </row>
    <row r="922" spans="1:6" s="167" customFormat="1" ht="15" thickTop="1">
      <c r="A922" s="347"/>
      <c r="B922" s="170"/>
      <c r="C922" s="170"/>
      <c r="D922" s="262"/>
      <c r="E922" s="170"/>
      <c r="F922" s="263"/>
    </row>
  </sheetData>
  <mergeCells count="113">
    <mergeCell ref="A1:F1"/>
    <mergeCell ref="A2:F2"/>
    <mergeCell ref="A3:F3"/>
    <mergeCell ref="A4:F4"/>
    <mergeCell ref="D549:E549"/>
    <mergeCell ref="A7:F7"/>
    <mergeCell ref="A119:F119"/>
    <mergeCell ref="A99:F99"/>
    <mergeCell ref="A202:F202"/>
    <mergeCell ref="D180:E180"/>
    <mergeCell ref="B31:B32"/>
    <mergeCell ref="E31:E32"/>
    <mergeCell ref="A120:F120"/>
    <mergeCell ref="A31:A32"/>
    <mergeCell ref="C31:C32"/>
    <mergeCell ref="D31:D32"/>
    <mergeCell ref="D137:E137"/>
    <mergeCell ref="D329:E329"/>
    <mergeCell ref="D357:E357"/>
    <mergeCell ref="D371:E371"/>
    <mergeCell ref="B225:B226"/>
    <mergeCell ref="E225:E226"/>
    <mergeCell ref="A312:F312"/>
    <mergeCell ref="A310:F310"/>
    <mergeCell ref="A311:F311"/>
    <mergeCell ref="D162:E162"/>
    <mergeCell ref="A225:A226"/>
    <mergeCell ref="C225:C226"/>
    <mergeCell ref="D225:D226"/>
    <mergeCell ref="D198:E198"/>
    <mergeCell ref="A496:F496"/>
    <mergeCell ref="A495:F495"/>
    <mergeCell ref="D389:E389"/>
    <mergeCell ref="D517:E517"/>
    <mergeCell ref="D535:E535"/>
    <mergeCell ref="A494:F494"/>
    <mergeCell ref="A393:F393"/>
    <mergeCell ref="B418:B419"/>
    <mergeCell ref="E418:E419"/>
    <mergeCell ref="C418:C419"/>
    <mergeCell ref="D418:D419"/>
    <mergeCell ref="A418:A419"/>
    <mergeCell ref="D563:E563"/>
    <mergeCell ref="A601:F601"/>
    <mergeCell ref="A602:F602"/>
    <mergeCell ref="A603:F603"/>
    <mergeCell ref="A567:F567"/>
    <mergeCell ref="A579:A580"/>
    <mergeCell ref="B579:B580"/>
    <mergeCell ref="C579:C580"/>
    <mergeCell ref="D579:D580"/>
    <mergeCell ref="E579:E580"/>
    <mergeCell ref="D740:E740"/>
    <mergeCell ref="A659:F659"/>
    <mergeCell ref="A660:F660"/>
    <mergeCell ref="A661:F661"/>
    <mergeCell ref="D679:E679"/>
    <mergeCell ref="D621:E621"/>
    <mergeCell ref="A625:F625"/>
    <mergeCell ref="A637:A638"/>
    <mergeCell ref="B637:B638"/>
    <mergeCell ref="C637:C638"/>
    <mergeCell ref="D637:D638"/>
    <mergeCell ref="E637:E638"/>
    <mergeCell ref="A683:F683"/>
    <mergeCell ref="A698:A699"/>
    <mergeCell ref="B698:B699"/>
    <mergeCell ref="C698:C699"/>
    <mergeCell ref="D698:D699"/>
    <mergeCell ref="E698:E699"/>
    <mergeCell ref="A720:F720"/>
    <mergeCell ref="A721:F721"/>
    <mergeCell ref="A722:F722"/>
    <mergeCell ref="A769:F769"/>
    <mergeCell ref="A770:F770"/>
    <mergeCell ref="A771:F771"/>
    <mergeCell ref="D785:E785"/>
    <mergeCell ref="A744:F744"/>
    <mergeCell ref="A754:A755"/>
    <mergeCell ref="B754:B755"/>
    <mergeCell ref="C754:C755"/>
    <mergeCell ref="D754:D755"/>
    <mergeCell ref="E754:E755"/>
    <mergeCell ref="A815:F815"/>
    <mergeCell ref="A816:F816"/>
    <mergeCell ref="A817:F817"/>
    <mergeCell ref="D831:E831"/>
    <mergeCell ref="A789:F789"/>
    <mergeCell ref="A799:A800"/>
    <mergeCell ref="B799:B800"/>
    <mergeCell ref="C799:C800"/>
    <mergeCell ref="D799:D800"/>
    <mergeCell ref="E799:E800"/>
    <mergeCell ref="A860:F860"/>
    <mergeCell ref="A861:F861"/>
    <mergeCell ref="A862:F862"/>
    <mergeCell ref="D876:E876"/>
    <mergeCell ref="A835:F835"/>
    <mergeCell ref="A845:A846"/>
    <mergeCell ref="B845:B846"/>
    <mergeCell ref="C845:C846"/>
    <mergeCell ref="D845:D846"/>
    <mergeCell ref="E845:E846"/>
    <mergeCell ref="A905:F905"/>
    <mergeCell ref="A906:F906"/>
    <mergeCell ref="A907:F907"/>
    <mergeCell ref="D921:E921"/>
    <mergeCell ref="A880:F880"/>
    <mergeCell ref="A890:A891"/>
    <mergeCell ref="B890:B891"/>
    <mergeCell ref="C890:C891"/>
    <mergeCell ref="D890:D891"/>
    <mergeCell ref="E890:E891"/>
  </mergeCells>
  <phoneticPr fontId="4" type="noConversion"/>
  <printOptions horizontalCentered="1"/>
  <pageMargins left="0.7" right="0.7" top="0.75" bottom="0.75" header="0.3" footer="0.3"/>
  <pageSetup scale="35" fitToHeight="0" orientation="portrait" cellComments="asDisplayed" r:id="rId1"/>
  <headerFooter alignWithMargins="0">
    <oddHeader>&amp;RTO9 Annual Update
Attachment 4
WP-Schedule 3-CWIPBA Model
Page &amp;P of &amp;N</oddHeader>
    <oddFooter>&amp;R&amp;A</oddFooter>
  </headerFooter>
  <rowBreaks count="9" manualBreakCount="9">
    <brk id="119" max="6" man="1"/>
    <brk id="199" max="6" man="1"/>
    <brk id="311" max="6" man="1"/>
    <brk id="390" max="6" man="1"/>
    <brk id="495" max="6" man="1"/>
    <brk id="563" max="6" man="1"/>
    <brk id="680" max="6" man="1"/>
    <brk id="787" max="6" man="1"/>
    <brk id="878" max="6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zoomScaleNormal="100" zoomScaleSheetLayoutView="100" workbookViewId="0">
      <selection sqref="A1:E1"/>
    </sheetView>
  </sheetViews>
  <sheetFormatPr defaultColWidth="12.7109375" defaultRowHeight="12.75"/>
  <cols>
    <col min="1" max="1" width="16.42578125" customWidth="1"/>
    <col min="2" max="2" width="13.85546875" style="224" bestFit="1" customWidth="1"/>
    <col min="3" max="3" width="12.7109375" customWidth="1"/>
    <col min="4" max="4" width="13.28515625" customWidth="1"/>
    <col min="5" max="5" width="14.42578125" customWidth="1"/>
  </cols>
  <sheetData>
    <row r="1" spans="1:6">
      <c r="A1" s="714">
        <v>2007</v>
      </c>
      <c r="B1" s="715"/>
      <c r="C1" s="715"/>
      <c r="D1" s="715"/>
      <c r="E1" s="716"/>
    </row>
    <row r="2" spans="1:6">
      <c r="A2" s="223"/>
      <c r="B2" s="226" t="s">
        <v>153</v>
      </c>
      <c r="C2" s="223" t="s">
        <v>154</v>
      </c>
      <c r="D2" s="223"/>
      <c r="E2" s="223" t="s">
        <v>182</v>
      </c>
      <c r="F2" s="106"/>
    </row>
    <row r="3" spans="1:6">
      <c r="A3" s="398" t="s">
        <v>276</v>
      </c>
      <c r="B3" s="407" t="s">
        <v>277</v>
      </c>
      <c r="C3" s="398" t="s">
        <v>155</v>
      </c>
      <c r="D3" s="398" t="s">
        <v>156</v>
      </c>
      <c r="E3" s="398" t="s">
        <v>183</v>
      </c>
      <c r="F3" s="106"/>
    </row>
    <row r="4" spans="1:6">
      <c r="A4" s="106"/>
      <c r="B4" s="401"/>
      <c r="C4" s="106"/>
      <c r="D4" s="106"/>
      <c r="E4" s="106"/>
      <c r="F4" s="106"/>
    </row>
    <row r="5" spans="1:6">
      <c r="A5" s="106" t="s">
        <v>157</v>
      </c>
      <c r="B5" s="402">
        <v>3311.3809999999999</v>
      </c>
      <c r="C5" s="403">
        <v>7.8937160000000006E-2</v>
      </c>
      <c r="D5" s="403">
        <v>6.2199999999999998E-2</v>
      </c>
      <c r="E5" s="402">
        <f>ROUND(B5/C5*D5,3)</f>
        <v>2609.2640000000001</v>
      </c>
      <c r="F5" s="106"/>
    </row>
    <row r="6" spans="1:6">
      <c r="A6" s="106" t="s">
        <v>4</v>
      </c>
      <c r="B6" s="402">
        <v>2747.9670000000001</v>
      </c>
      <c r="C6" s="403">
        <v>7.8937160000000006E-2</v>
      </c>
      <c r="D6" s="403">
        <v>6.2199999999999998E-2</v>
      </c>
      <c r="E6" s="402">
        <f>ROUND(B6/C6*D6,3)</f>
        <v>2165.3119999999999</v>
      </c>
      <c r="F6" s="106"/>
    </row>
    <row r="7" spans="1:6">
      <c r="A7" s="106" t="s">
        <v>5</v>
      </c>
      <c r="B7" s="402">
        <v>1374.3979999999999</v>
      </c>
      <c r="C7" s="403">
        <v>7.8937160000000006E-2</v>
      </c>
      <c r="D7" s="403">
        <v>6.2199999999999998E-2</v>
      </c>
      <c r="E7" s="402">
        <f>ROUND(B7/C7*D7,3)</f>
        <v>1082.982</v>
      </c>
      <c r="F7" s="106"/>
    </row>
    <row r="8" spans="1:6">
      <c r="A8" s="106"/>
      <c r="B8" s="401"/>
      <c r="C8" s="106"/>
      <c r="D8" s="106"/>
      <c r="E8" s="106"/>
      <c r="F8" s="106"/>
    </row>
    <row r="9" spans="1:6">
      <c r="A9" s="106"/>
      <c r="B9" s="401"/>
      <c r="C9" s="106"/>
      <c r="D9" s="106"/>
      <c r="E9" s="106"/>
      <c r="F9" s="106"/>
    </row>
    <row r="10" spans="1:6">
      <c r="A10" s="106" t="s">
        <v>176</v>
      </c>
      <c r="B10" s="401"/>
      <c r="C10" s="404">
        <v>0.3387</v>
      </c>
      <c r="D10" s="106"/>
      <c r="E10" s="106"/>
      <c r="F10" s="106"/>
    </row>
    <row r="11" spans="1:6">
      <c r="A11" s="106" t="s">
        <v>177</v>
      </c>
      <c r="B11" s="401"/>
      <c r="C11" s="404">
        <v>0.6613</v>
      </c>
      <c r="D11" s="106"/>
      <c r="E11" s="106"/>
      <c r="F11" s="106"/>
    </row>
    <row r="12" spans="1:6">
      <c r="A12" s="106"/>
      <c r="B12" s="401"/>
      <c r="C12" s="406">
        <f>SUM(C10:C11)</f>
        <v>1</v>
      </c>
      <c r="D12" s="106"/>
      <c r="E12" s="106"/>
      <c r="F12" s="106"/>
    </row>
    <row r="13" spans="1:6">
      <c r="A13" s="106"/>
      <c r="B13" s="401"/>
      <c r="C13" s="106"/>
      <c r="D13" s="106"/>
      <c r="E13" s="106"/>
      <c r="F13" s="106"/>
    </row>
    <row r="14" spans="1:6">
      <c r="A14" s="106"/>
      <c r="B14" s="401"/>
      <c r="C14" s="106"/>
      <c r="D14" s="106"/>
      <c r="E14" s="106"/>
      <c r="F14" s="106"/>
    </row>
    <row r="15" spans="1:6">
      <c r="A15" s="223"/>
      <c r="B15" s="226" t="s">
        <v>153</v>
      </c>
      <c r="C15" s="223" t="s">
        <v>154</v>
      </c>
      <c r="D15" s="223" t="s">
        <v>154</v>
      </c>
      <c r="E15" s="106"/>
      <c r="F15" s="106"/>
    </row>
    <row r="16" spans="1:6">
      <c r="A16" s="398" t="s">
        <v>276</v>
      </c>
      <c r="B16" s="225" t="s">
        <v>185</v>
      </c>
      <c r="C16" s="398" t="s">
        <v>178</v>
      </c>
      <c r="D16" s="398" t="s">
        <v>184</v>
      </c>
      <c r="E16" s="106"/>
      <c r="F16" s="106"/>
    </row>
    <row r="17" spans="1:6">
      <c r="A17" s="106"/>
      <c r="B17" s="401"/>
      <c r="C17" s="106"/>
      <c r="D17" s="106"/>
      <c r="E17" s="106"/>
      <c r="F17" s="106"/>
    </row>
    <row r="18" spans="1:6">
      <c r="A18" s="106" t="s">
        <v>157</v>
      </c>
      <c r="B18" s="401">
        <f>B5</f>
        <v>3311.3809999999999</v>
      </c>
      <c r="C18" s="404">
        <f>C$10</f>
        <v>0.3387</v>
      </c>
      <c r="D18" s="401">
        <f>C18*B18</f>
        <v>1121.5647446999999</v>
      </c>
      <c r="E18" s="106"/>
      <c r="F18" s="106"/>
    </row>
    <row r="19" spans="1:6">
      <c r="A19" s="106" t="s">
        <v>4</v>
      </c>
      <c r="B19" s="401">
        <f>B6</f>
        <v>2747.9670000000001</v>
      </c>
      <c r="C19" s="404">
        <f>C$10</f>
        <v>0.3387</v>
      </c>
      <c r="D19" s="401">
        <f>C19*B19</f>
        <v>930.73642289999998</v>
      </c>
      <c r="E19" s="106"/>
      <c r="F19" s="106"/>
    </row>
    <row r="20" spans="1:6">
      <c r="A20" s="106" t="s">
        <v>5</v>
      </c>
      <c r="B20" s="401">
        <f>B7</f>
        <v>1374.3979999999999</v>
      </c>
      <c r="C20" s="404">
        <f>C$10</f>
        <v>0.3387</v>
      </c>
      <c r="D20" s="401">
        <f>C20*B20</f>
        <v>465.50860259999996</v>
      </c>
      <c r="E20" s="106"/>
      <c r="F20" s="106"/>
    </row>
    <row r="21" spans="1:6" ht="13.5" thickBot="1">
      <c r="A21" s="251"/>
      <c r="B21" s="405"/>
      <c r="C21" s="251"/>
      <c r="D21" s="251"/>
      <c r="E21" s="251"/>
      <c r="F21" s="106"/>
    </row>
    <row r="22" spans="1:6">
      <c r="A22" s="711">
        <v>2010</v>
      </c>
      <c r="B22" s="712"/>
      <c r="C22" s="712"/>
      <c r="D22" s="712"/>
      <c r="E22" s="713"/>
    </row>
    <row r="23" spans="1:6">
      <c r="A23" s="223"/>
      <c r="B23" s="399" t="s">
        <v>153</v>
      </c>
      <c r="C23" s="400" t="s">
        <v>154</v>
      </c>
      <c r="D23" s="400"/>
      <c r="E23" s="400" t="s">
        <v>182</v>
      </c>
      <c r="F23" s="106"/>
    </row>
    <row r="24" spans="1:6">
      <c r="A24" s="398" t="s">
        <v>276</v>
      </c>
      <c r="B24" s="407" t="s">
        <v>277</v>
      </c>
      <c r="C24" s="398" t="s">
        <v>155</v>
      </c>
      <c r="D24" s="398" t="s">
        <v>156</v>
      </c>
      <c r="E24" s="398" t="s">
        <v>183</v>
      </c>
      <c r="F24" s="106"/>
    </row>
    <row r="25" spans="1:6">
      <c r="A25" s="106"/>
      <c r="B25" s="401"/>
      <c r="C25" s="106"/>
      <c r="D25" s="106"/>
      <c r="E25" s="106"/>
      <c r="F25" s="106"/>
    </row>
    <row r="26" spans="1:6">
      <c r="A26" s="106" t="s">
        <v>265</v>
      </c>
      <c r="B26" s="418">
        <v>0</v>
      </c>
      <c r="C26" s="403">
        <v>8.2726820000000006E-2</v>
      </c>
      <c r="D26" s="403">
        <v>6.25E-2</v>
      </c>
      <c r="E26" s="402">
        <f>ROUND(B26/C26*D26,3)</f>
        <v>0</v>
      </c>
      <c r="F26" s="106"/>
    </row>
    <row r="27" spans="1:6">
      <c r="A27" s="106" t="s">
        <v>250</v>
      </c>
      <c r="B27" s="418">
        <v>0</v>
      </c>
      <c r="C27" s="403">
        <v>8.2726820000000006E-2</v>
      </c>
      <c r="D27" s="403">
        <v>6.25E-2</v>
      </c>
      <c r="E27" s="402">
        <f>ROUND(B27/C27*D27,3)</f>
        <v>0</v>
      </c>
      <c r="F27" s="106"/>
    </row>
    <row r="28" spans="1:6">
      <c r="A28" s="106" t="s">
        <v>251</v>
      </c>
      <c r="B28" s="418">
        <v>0.54813999999999996</v>
      </c>
      <c r="C28" s="403">
        <v>8.2726820000000006E-2</v>
      </c>
      <c r="D28" s="403">
        <v>6.25E-2</v>
      </c>
      <c r="E28" s="402">
        <f>ROUND(B28/C28*D28,3)</f>
        <v>0.41399999999999998</v>
      </c>
      <c r="F28" s="106"/>
    </row>
    <row r="29" spans="1:6">
      <c r="A29" s="106"/>
      <c r="B29" s="401"/>
      <c r="C29" s="106"/>
      <c r="D29" s="106"/>
      <c r="E29" s="106"/>
      <c r="F29" s="106"/>
    </row>
    <row r="30" spans="1:6">
      <c r="A30" s="106"/>
      <c r="B30" s="401"/>
      <c r="C30" s="106"/>
      <c r="D30" s="106"/>
      <c r="E30" s="106"/>
      <c r="F30" s="106"/>
    </row>
    <row r="31" spans="1:6">
      <c r="A31" s="106" t="s">
        <v>176</v>
      </c>
      <c r="B31" s="401"/>
      <c r="C31" s="404">
        <v>0.30830000000000002</v>
      </c>
      <c r="D31" s="106"/>
      <c r="E31" s="106"/>
      <c r="F31" s="106"/>
    </row>
    <row r="32" spans="1:6">
      <c r="A32" s="106" t="s">
        <v>177</v>
      </c>
      <c r="B32" s="401"/>
      <c r="C32" s="404">
        <v>0.69169999999999998</v>
      </c>
      <c r="D32" s="106"/>
      <c r="E32" s="106"/>
      <c r="F32" s="106"/>
    </row>
    <row r="33" spans="1:6" ht="13.5" thickBot="1">
      <c r="A33" s="106"/>
      <c r="B33" s="401"/>
      <c r="C33" s="222">
        <f>SUM(C31:C32)</f>
        <v>1</v>
      </c>
      <c r="D33" s="106"/>
      <c r="E33" s="106"/>
      <c r="F33" s="106"/>
    </row>
    <row r="34" spans="1:6" ht="13.5" thickTop="1">
      <c r="A34" s="106"/>
      <c r="B34" s="401"/>
      <c r="C34" s="106"/>
      <c r="D34" s="106"/>
      <c r="E34" s="106"/>
      <c r="F34" s="106"/>
    </row>
    <row r="35" spans="1:6">
      <c r="A35" s="106"/>
      <c r="B35" s="401"/>
      <c r="C35" s="106"/>
      <c r="D35" s="106"/>
      <c r="E35" s="106"/>
      <c r="F35" s="106"/>
    </row>
    <row r="36" spans="1:6">
      <c r="A36" s="223"/>
      <c r="B36" s="226" t="s">
        <v>153</v>
      </c>
      <c r="C36" s="223" t="s">
        <v>154</v>
      </c>
      <c r="D36" s="223" t="s">
        <v>154</v>
      </c>
      <c r="E36" s="106"/>
      <c r="F36" s="106"/>
    </row>
    <row r="37" spans="1:6">
      <c r="A37" s="398" t="s">
        <v>276</v>
      </c>
      <c r="B37" s="225" t="s">
        <v>185</v>
      </c>
      <c r="C37" s="398" t="s">
        <v>178</v>
      </c>
      <c r="D37" s="398" t="s">
        <v>184</v>
      </c>
      <c r="E37" s="106"/>
      <c r="F37" s="106"/>
    </row>
    <row r="38" spans="1:6">
      <c r="A38" s="106"/>
      <c r="B38" s="401"/>
      <c r="C38" s="106"/>
      <c r="D38" s="106"/>
      <c r="E38" s="106"/>
      <c r="F38" s="106"/>
    </row>
    <row r="39" spans="1:6">
      <c r="A39" s="106" t="s">
        <v>265</v>
      </c>
      <c r="B39" s="420">
        <f>B26</f>
        <v>0</v>
      </c>
      <c r="C39" s="404">
        <v>0.30830000000000002</v>
      </c>
      <c r="D39" s="419">
        <f>C39*B39</f>
        <v>0</v>
      </c>
      <c r="E39" s="106"/>
      <c r="F39" s="106"/>
    </row>
    <row r="40" spans="1:6">
      <c r="A40" s="106" t="s">
        <v>250</v>
      </c>
      <c r="B40" s="420">
        <f>B27</f>
        <v>0</v>
      </c>
      <c r="C40" s="404">
        <v>0.30830000000000002</v>
      </c>
      <c r="D40" s="419">
        <f>C40*B40</f>
        <v>0</v>
      </c>
      <c r="E40" s="106"/>
      <c r="F40" s="106"/>
    </row>
    <row r="41" spans="1:6">
      <c r="A41" s="106" t="s">
        <v>251</v>
      </c>
      <c r="B41" s="420">
        <f>B28</f>
        <v>0.54813999999999996</v>
      </c>
      <c r="C41" s="404">
        <v>0.30830000000000002</v>
      </c>
      <c r="D41" s="419">
        <f>C41*B41</f>
        <v>0.16899156200000001</v>
      </c>
      <c r="E41" s="106"/>
      <c r="F41" s="106"/>
    </row>
    <row r="42" spans="1:6" ht="13.5" thickBot="1">
      <c r="A42" s="251"/>
      <c r="B42" s="405"/>
      <c r="C42" s="251"/>
      <c r="D42" s="251"/>
      <c r="E42" s="251"/>
      <c r="F42" s="106"/>
    </row>
    <row r="43" spans="1:6">
      <c r="A43" s="717">
        <v>2011</v>
      </c>
      <c r="B43" s="718"/>
      <c r="C43" s="718"/>
      <c r="D43" s="718"/>
      <c r="E43" s="719"/>
    </row>
    <row r="44" spans="1:6">
      <c r="A44" s="223"/>
      <c r="B44" s="399" t="s">
        <v>153</v>
      </c>
      <c r="C44" s="400" t="s">
        <v>154</v>
      </c>
      <c r="D44" s="400"/>
      <c r="E44" s="400" t="s">
        <v>182</v>
      </c>
      <c r="F44" s="106"/>
    </row>
    <row r="45" spans="1:6">
      <c r="A45" s="398" t="s">
        <v>276</v>
      </c>
      <c r="B45" s="407" t="s">
        <v>277</v>
      </c>
      <c r="C45" s="398" t="s">
        <v>155</v>
      </c>
      <c r="D45" s="398" t="s">
        <v>156</v>
      </c>
      <c r="E45" s="398" t="s">
        <v>183</v>
      </c>
      <c r="F45" s="106"/>
    </row>
    <row r="46" spans="1:6">
      <c r="A46" s="106"/>
      <c r="B46" s="401"/>
      <c r="C46" s="106"/>
      <c r="D46" s="106"/>
      <c r="E46" s="106"/>
      <c r="F46" s="106"/>
    </row>
    <row r="47" spans="1:6">
      <c r="A47" s="106" t="s">
        <v>287</v>
      </c>
      <c r="B47" s="418">
        <v>0</v>
      </c>
      <c r="C47" s="403">
        <v>8.7410740000000001E-2</v>
      </c>
      <c r="D47" s="403">
        <v>5.9700000000000003E-2</v>
      </c>
      <c r="E47" s="402">
        <f>ROUND(B47/C47*D47,3)</f>
        <v>0</v>
      </c>
      <c r="F47" s="106"/>
    </row>
    <row r="48" spans="1:6">
      <c r="A48" s="106" t="s">
        <v>288</v>
      </c>
      <c r="B48" s="418">
        <v>0</v>
      </c>
      <c r="C48" s="403">
        <v>8.7410740000000001E-2</v>
      </c>
      <c r="D48" s="403">
        <v>5.9700000000000003E-2</v>
      </c>
      <c r="E48" s="402">
        <f>ROUND(B48/C48*D48,3)</f>
        <v>0</v>
      </c>
      <c r="F48" s="106"/>
    </row>
    <row r="49" spans="1:6">
      <c r="A49" s="106" t="s">
        <v>289</v>
      </c>
      <c r="B49" s="418">
        <v>0</v>
      </c>
      <c r="C49" s="403">
        <v>8.7410740000000001E-2</v>
      </c>
      <c r="D49" s="403">
        <v>5.9700000000000003E-2</v>
      </c>
      <c r="E49" s="402">
        <f>ROUND(B49/C49*D49,3)</f>
        <v>0</v>
      </c>
      <c r="F49" s="106"/>
    </row>
    <row r="50" spans="1:6">
      <c r="A50" s="106" t="s">
        <v>290</v>
      </c>
      <c r="B50" s="418">
        <v>0</v>
      </c>
      <c r="C50" s="403">
        <v>8.7410740000000001E-2</v>
      </c>
      <c r="D50" s="403">
        <v>5.9700000000000003E-2</v>
      </c>
      <c r="E50" s="402">
        <f>ROUND(B50/C50*D50,3)</f>
        <v>0</v>
      </c>
      <c r="F50" s="106"/>
    </row>
    <row r="51" spans="1:6">
      <c r="A51" s="106"/>
      <c r="B51" s="401"/>
      <c r="C51" s="106"/>
      <c r="D51" s="106"/>
      <c r="E51" s="106"/>
      <c r="F51" s="106"/>
    </row>
    <row r="52" spans="1:6">
      <c r="A52" s="106" t="s">
        <v>176</v>
      </c>
      <c r="B52" s="401"/>
      <c r="C52" s="404">
        <v>0.28239999999999998</v>
      </c>
      <c r="D52" s="106"/>
      <c r="E52" s="106"/>
      <c r="F52" s="106"/>
    </row>
    <row r="53" spans="1:6">
      <c r="A53" s="106" t="s">
        <v>177</v>
      </c>
      <c r="B53" s="401"/>
      <c r="C53" s="404">
        <v>0.71760000000000002</v>
      </c>
      <c r="D53" s="106"/>
      <c r="E53" s="106"/>
      <c r="F53" s="106"/>
    </row>
    <row r="54" spans="1:6" ht="13.5" thickBot="1">
      <c r="A54" s="106"/>
      <c r="B54" s="401"/>
      <c r="C54" s="222">
        <f>SUM(C52:C53)</f>
        <v>1</v>
      </c>
      <c r="D54" s="106"/>
      <c r="E54" s="106"/>
      <c r="F54" s="106"/>
    </row>
    <row r="55" spans="1:6" ht="13.5" thickTop="1">
      <c r="A55" s="106"/>
      <c r="B55" s="401"/>
      <c r="C55" s="106"/>
      <c r="D55" s="106"/>
      <c r="E55" s="106"/>
      <c r="F55" s="106"/>
    </row>
    <row r="56" spans="1:6">
      <c r="A56" s="106"/>
      <c r="B56" s="401"/>
      <c r="C56" s="106"/>
      <c r="D56" s="106"/>
      <c r="E56" s="106"/>
      <c r="F56" s="106"/>
    </row>
    <row r="57" spans="1:6">
      <c r="A57" s="223"/>
      <c r="B57" s="226" t="s">
        <v>153</v>
      </c>
      <c r="C57" s="223" t="s">
        <v>154</v>
      </c>
      <c r="D57" s="223" t="s">
        <v>154</v>
      </c>
      <c r="E57" s="106"/>
      <c r="F57" s="106"/>
    </row>
    <row r="58" spans="1:6">
      <c r="A58" s="398" t="s">
        <v>276</v>
      </c>
      <c r="B58" s="225" t="s">
        <v>185</v>
      </c>
      <c r="C58" s="398" t="s">
        <v>178</v>
      </c>
      <c r="D58" s="398" t="s">
        <v>184</v>
      </c>
      <c r="E58" s="106"/>
      <c r="F58" s="106"/>
    </row>
    <row r="59" spans="1:6">
      <c r="A59" s="106"/>
      <c r="B59" s="401"/>
      <c r="C59" s="106"/>
      <c r="D59" s="106"/>
      <c r="E59" s="106"/>
      <c r="F59" s="106"/>
    </row>
    <row r="60" spans="1:6">
      <c r="A60" s="106" t="s">
        <v>287</v>
      </c>
      <c r="B60" s="420">
        <f>B47</f>
        <v>0</v>
      </c>
      <c r="C60" s="404">
        <v>0.28239999999999998</v>
      </c>
      <c r="D60" s="419">
        <f>C60*B60</f>
        <v>0</v>
      </c>
      <c r="E60" s="106"/>
      <c r="F60" s="106"/>
    </row>
    <row r="61" spans="1:6">
      <c r="A61" s="106" t="s">
        <v>288</v>
      </c>
      <c r="B61" s="420">
        <f>B48</f>
        <v>0</v>
      </c>
      <c r="C61" s="404">
        <v>0.28239999999999998</v>
      </c>
      <c r="D61" s="419">
        <f>C61*B61</f>
        <v>0</v>
      </c>
      <c r="E61" s="106"/>
      <c r="F61" s="106"/>
    </row>
    <row r="62" spans="1:6">
      <c r="A62" s="106" t="s">
        <v>289</v>
      </c>
      <c r="B62" s="420">
        <f>B49</f>
        <v>0</v>
      </c>
      <c r="C62" s="404">
        <v>0.28239999999999998</v>
      </c>
      <c r="D62" s="419">
        <f>C62*B62</f>
        <v>0</v>
      </c>
      <c r="E62" s="106"/>
      <c r="F62" s="106"/>
    </row>
    <row r="63" spans="1:6">
      <c r="A63" s="106" t="s">
        <v>290</v>
      </c>
      <c r="B63" s="420">
        <f>B50</f>
        <v>0</v>
      </c>
      <c r="C63" s="404">
        <v>0.28239999999999998</v>
      </c>
      <c r="D63" s="419">
        <f>C63*B63</f>
        <v>0</v>
      </c>
      <c r="E63" s="106"/>
      <c r="F63" s="106"/>
    </row>
    <row r="64" spans="1:6">
      <c r="A64" s="106"/>
      <c r="B64" s="401"/>
      <c r="C64" s="106"/>
      <c r="D64" s="106"/>
      <c r="E64" s="106"/>
      <c r="F64" s="106"/>
    </row>
    <row r="65" spans="1:5">
      <c r="A65" s="106"/>
      <c r="B65" s="401"/>
      <c r="C65" s="106"/>
      <c r="D65" s="106"/>
      <c r="E65" s="106"/>
    </row>
  </sheetData>
  <mergeCells count="3">
    <mergeCell ref="A22:E22"/>
    <mergeCell ref="A1:E1"/>
    <mergeCell ref="A43:E43"/>
  </mergeCells>
  <phoneticPr fontId="4" type="noConversion"/>
  <printOptions horizontalCentered="1"/>
  <pageMargins left="0.75" right="0.75" top="1" bottom="1" header="0.5" footer="0.5"/>
  <pageSetup scale="81" orientation="portrait" cellComments="asDisplayed" r:id="rId1"/>
  <headerFooter alignWithMargins="0">
    <oddHeader>&amp;RTO9 Annual Update
Attachment 4
WP-Schedule 3-CWIPBA Model
Page &amp;P of &amp;N</oddHeader>
    <oddFooter>&amp;R&amp;A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96"/>
  <sheetViews>
    <sheetView zoomScaleNormal="100" zoomScaleSheetLayoutView="80" workbookViewId="0">
      <selection sqref="A1:D1"/>
    </sheetView>
  </sheetViews>
  <sheetFormatPr defaultRowHeight="12.75"/>
  <cols>
    <col min="1" max="1" width="17.85546875" bestFit="1" customWidth="1"/>
    <col min="2" max="4" width="15.7109375" customWidth="1"/>
    <col min="5" max="5" width="3.42578125" customWidth="1"/>
  </cols>
  <sheetData>
    <row r="1" spans="1:5" ht="15.75">
      <c r="A1" s="628" t="s">
        <v>0</v>
      </c>
      <c r="B1" s="628"/>
      <c r="C1" s="628"/>
      <c r="D1" s="628"/>
    </row>
    <row r="2" spans="1:5" ht="15">
      <c r="A2" s="626" t="s">
        <v>24</v>
      </c>
      <c r="B2" s="626"/>
      <c r="C2" s="626"/>
      <c r="D2" s="626"/>
    </row>
    <row r="3" spans="1:5">
      <c r="A3" s="724" t="s">
        <v>38</v>
      </c>
      <c r="B3" s="724"/>
      <c r="C3" s="724"/>
      <c r="D3" s="724"/>
    </row>
    <row r="4" spans="1:5" ht="15.75" thickBot="1">
      <c r="A4" s="725"/>
      <c r="B4" s="726"/>
      <c r="C4" s="726"/>
      <c r="D4" s="726"/>
    </row>
    <row r="5" spans="1:5" ht="18.75" thickBot="1">
      <c r="A5" s="722">
        <v>2008</v>
      </c>
      <c r="B5" s="723"/>
      <c r="C5" s="723"/>
      <c r="D5" s="723"/>
      <c r="E5" s="252"/>
    </row>
    <row r="6" spans="1:5" ht="15.75">
      <c r="A6" s="106"/>
      <c r="B6" s="39"/>
      <c r="C6" s="39"/>
      <c r="D6" s="39"/>
      <c r="E6" s="106"/>
    </row>
    <row r="7" spans="1:5" ht="15.75">
      <c r="A7" s="614" t="s">
        <v>3</v>
      </c>
      <c r="B7" s="106"/>
      <c r="C7" s="323" t="s">
        <v>323</v>
      </c>
      <c r="D7" s="106"/>
      <c r="E7" s="106"/>
    </row>
    <row r="8" spans="1:5" ht="15">
      <c r="A8" s="622"/>
      <c r="B8" s="40" t="s">
        <v>39</v>
      </c>
      <c r="C8" s="40" t="s">
        <v>40</v>
      </c>
      <c r="D8" s="40" t="s">
        <v>41</v>
      </c>
      <c r="E8" s="106"/>
    </row>
    <row r="9" spans="1:5" ht="15">
      <c r="A9" s="615" t="s">
        <v>42</v>
      </c>
      <c r="B9" s="41">
        <v>0.43</v>
      </c>
      <c r="C9" s="42">
        <v>6.2199999999999998E-2</v>
      </c>
      <c r="D9" s="42">
        <f>2.67%</f>
        <v>2.6699999999999998E-2</v>
      </c>
      <c r="E9" s="106"/>
    </row>
    <row r="10" spans="1:5" ht="15">
      <c r="A10" s="615" t="s">
        <v>43</v>
      </c>
      <c r="B10" s="41">
        <v>0.09</v>
      </c>
      <c r="C10" s="42">
        <v>6.0100000000000001E-2</v>
      </c>
      <c r="D10" s="42">
        <v>5.4000000000000003E-3</v>
      </c>
      <c r="E10" s="106"/>
    </row>
    <row r="11" spans="1:5" ht="15.75" thickBot="1">
      <c r="A11" s="615" t="s">
        <v>44</v>
      </c>
      <c r="B11" s="41">
        <f>1-(B9+B10)</f>
        <v>0.48</v>
      </c>
      <c r="C11" s="42">
        <f>0.0954+0.0101+0.005+0.0125</f>
        <v>0.123</v>
      </c>
      <c r="D11" s="43">
        <f>ROUND(B11*C11,5)</f>
        <v>5.9040000000000002E-2</v>
      </c>
      <c r="E11" s="106"/>
    </row>
    <row r="12" spans="1:5" ht="16.5" thickTop="1" thickBot="1">
      <c r="A12" s="616"/>
      <c r="B12" s="41"/>
      <c r="C12" s="43" t="s">
        <v>45</v>
      </c>
      <c r="D12" s="44">
        <f>SUM(D9:D11)</f>
        <v>9.1139999999999999E-2</v>
      </c>
      <c r="E12" s="106"/>
    </row>
    <row r="13" spans="1:5" ht="15.75" thickTop="1">
      <c r="A13" s="617"/>
      <c r="B13" s="41"/>
      <c r="C13" s="45" t="s">
        <v>46</v>
      </c>
      <c r="D13" s="46">
        <f>D12/12</f>
        <v>7.5950000000000002E-3</v>
      </c>
      <c r="E13" s="106"/>
    </row>
    <row r="14" spans="1:5" ht="15">
      <c r="A14" s="617"/>
      <c r="B14" s="41"/>
      <c r="C14" s="47"/>
      <c r="D14" s="45"/>
      <c r="E14" s="106"/>
    </row>
    <row r="15" spans="1:5" ht="15.75">
      <c r="A15" s="614" t="s">
        <v>4</v>
      </c>
      <c r="B15" s="106"/>
      <c r="C15" s="555" t="s">
        <v>280</v>
      </c>
      <c r="D15" s="106"/>
      <c r="E15" s="106"/>
    </row>
    <row r="16" spans="1:5" ht="15">
      <c r="A16" s="622"/>
      <c r="B16" s="40" t="s">
        <v>39</v>
      </c>
      <c r="C16" s="40" t="s">
        <v>40</v>
      </c>
      <c r="D16" s="40" t="s">
        <v>41</v>
      </c>
      <c r="E16" s="106"/>
    </row>
    <row r="17" spans="1:5" ht="15">
      <c r="A17" s="615" t="s">
        <v>42</v>
      </c>
      <c r="B17" s="49">
        <f t="shared" ref="B17:D18" si="0">B9</f>
        <v>0.43</v>
      </c>
      <c r="C17" s="43">
        <f t="shared" si="0"/>
        <v>6.2199999999999998E-2</v>
      </c>
      <c r="D17" s="43">
        <f t="shared" si="0"/>
        <v>2.6699999999999998E-2</v>
      </c>
      <c r="E17" s="106"/>
    </row>
    <row r="18" spans="1:5" ht="15">
      <c r="A18" s="615" t="s">
        <v>43</v>
      </c>
      <c r="B18" s="49">
        <f t="shared" si="0"/>
        <v>0.09</v>
      </c>
      <c r="C18" s="43">
        <f t="shared" si="0"/>
        <v>6.0100000000000001E-2</v>
      </c>
      <c r="D18" s="43">
        <f t="shared" si="0"/>
        <v>5.4000000000000003E-3</v>
      </c>
      <c r="E18" s="106"/>
    </row>
    <row r="19" spans="1:5" ht="15.75" thickBot="1">
      <c r="A19" s="615" t="s">
        <v>44</v>
      </c>
      <c r="B19" s="49">
        <f>B11</f>
        <v>0.48</v>
      </c>
      <c r="C19" s="43">
        <f>C11</f>
        <v>0.123</v>
      </c>
      <c r="D19" s="43">
        <f>ROUND(B19*C19,5)</f>
        <v>5.9040000000000002E-2</v>
      </c>
      <c r="E19" s="106"/>
    </row>
    <row r="20" spans="1:5" ht="16.5" thickTop="1" thickBot="1">
      <c r="A20" s="616"/>
      <c r="B20" s="41"/>
      <c r="C20" s="43" t="s">
        <v>45</v>
      </c>
      <c r="D20" s="44">
        <f>SUM(D17:D19)</f>
        <v>9.1139999999999999E-2</v>
      </c>
      <c r="E20" s="106"/>
    </row>
    <row r="21" spans="1:5" ht="15.75" thickTop="1">
      <c r="A21" s="617"/>
      <c r="B21" s="41"/>
      <c r="C21" s="45" t="s">
        <v>46</v>
      </c>
      <c r="D21" s="46">
        <f>D20/12</f>
        <v>7.5950000000000002E-3</v>
      </c>
      <c r="E21" s="106"/>
    </row>
    <row r="22" spans="1:5" ht="15">
      <c r="A22" s="617"/>
      <c r="B22" s="41"/>
      <c r="C22" s="47"/>
      <c r="D22" s="48"/>
      <c r="E22" s="106"/>
    </row>
    <row r="23" spans="1:5" ht="15.75">
      <c r="A23" s="614" t="s">
        <v>5</v>
      </c>
      <c r="B23" s="106"/>
      <c r="C23" s="555" t="s">
        <v>280</v>
      </c>
      <c r="D23" s="106"/>
      <c r="E23" s="106"/>
    </row>
    <row r="24" spans="1:5" ht="15">
      <c r="A24" s="622"/>
      <c r="B24" s="40" t="s">
        <v>39</v>
      </c>
      <c r="C24" s="40" t="s">
        <v>40</v>
      </c>
      <c r="D24" s="40" t="s">
        <v>41</v>
      </c>
      <c r="E24" s="106"/>
    </row>
    <row r="25" spans="1:5" ht="15">
      <c r="A25" s="615" t="s">
        <v>42</v>
      </c>
      <c r="B25" s="49">
        <f t="shared" ref="B25:D26" si="1">B9</f>
        <v>0.43</v>
      </c>
      <c r="C25" s="43">
        <f t="shared" si="1"/>
        <v>6.2199999999999998E-2</v>
      </c>
      <c r="D25" s="43">
        <f t="shared" si="1"/>
        <v>2.6699999999999998E-2</v>
      </c>
      <c r="E25" s="106"/>
    </row>
    <row r="26" spans="1:5" ht="15">
      <c r="A26" s="615" t="s">
        <v>43</v>
      </c>
      <c r="B26" s="49">
        <f t="shared" si="1"/>
        <v>0.09</v>
      </c>
      <c r="C26" s="43">
        <f t="shared" si="1"/>
        <v>6.0100000000000001E-2</v>
      </c>
      <c r="D26" s="43">
        <f t="shared" si="1"/>
        <v>5.4000000000000003E-3</v>
      </c>
      <c r="E26" s="106"/>
    </row>
    <row r="27" spans="1:5" ht="15.75" thickBot="1">
      <c r="A27" s="615" t="s">
        <v>44</v>
      </c>
      <c r="B27" s="49">
        <f>B11</f>
        <v>0.48</v>
      </c>
      <c r="C27" s="50">
        <f>0.0954+0.0101+0.005+0.0075</f>
        <v>0.11799999999999999</v>
      </c>
      <c r="D27" s="43">
        <f>ROUND(B27*C27,5)</f>
        <v>5.6640000000000003E-2</v>
      </c>
      <c r="E27" s="106"/>
    </row>
    <row r="28" spans="1:5" ht="16.5" thickTop="1" thickBot="1">
      <c r="A28" s="106"/>
      <c r="B28" s="106"/>
      <c r="C28" s="43" t="s">
        <v>45</v>
      </c>
      <c r="D28" s="44">
        <f>SUM(D25:D27)</f>
        <v>8.8739999999999999E-2</v>
      </c>
      <c r="E28" s="106"/>
    </row>
    <row r="29" spans="1:5" ht="15.75" thickTop="1">
      <c r="A29" s="616"/>
      <c r="B29" s="41"/>
      <c r="C29" s="45" t="s">
        <v>46</v>
      </c>
      <c r="D29" s="46">
        <f>D28/12</f>
        <v>7.3949999999999997E-3</v>
      </c>
      <c r="E29" s="106"/>
    </row>
    <row r="30" spans="1:5" ht="13.5" thickBot="1">
      <c r="A30" s="251"/>
      <c r="B30" s="251"/>
      <c r="C30" s="251"/>
      <c r="D30" s="251"/>
      <c r="E30" s="251"/>
    </row>
    <row r="31" spans="1:5" ht="18.75" collapsed="1" thickBot="1">
      <c r="A31" s="722" t="s">
        <v>242</v>
      </c>
      <c r="B31" s="723"/>
      <c r="C31" s="723"/>
      <c r="D31" s="723"/>
      <c r="E31" s="252"/>
    </row>
    <row r="32" spans="1:5" ht="15.75">
      <c r="A32" s="106"/>
      <c r="B32" s="39"/>
      <c r="C32" s="39"/>
      <c r="D32" s="39"/>
      <c r="E32" s="106"/>
    </row>
    <row r="33" spans="1:5" ht="15.75">
      <c r="A33" s="614" t="s">
        <v>3</v>
      </c>
      <c r="B33" s="106"/>
      <c r="C33" s="323" t="s">
        <v>321</v>
      </c>
      <c r="D33" s="106"/>
      <c r="E33" s="106"/>
    </row>
    <row r="34" spans="1:5" ht="15">
      <c r="A34" s="622"/>
      <c r="B34" s="40" t="s">
        <v>39</v>
      </c>
      <c r="C34" s="40" t="s">
        <v>40</v>
      </c>
      <c r="D34" s="40" t="s">
        <v>41</v>
      </c>
      <c r="E34" s="106"/>
    </row>
    <row r="35" spans="1:5" ht="15">
      <c r="A35" s="615" t="s">
        <v>42</v>
      </c>
      <c r="B35" s="41">
        <v>0.43</v>
      </c>
      <c r="C35" s="42">
        <v>6.4199999999999993E-2</v>
      </c>
      <c r="D35" s="42">
        <v>2.76E-2</v>
      </c>
      <c r="E35" s="106"/>
    </row>
    <row r="36" spans="1:5" ht="15">
      <c r="A36" s="615" t="s">
        <v>43</v>
      </c>
      <c r="B36" s="41">
        <v>0.09</v>
      </c>
      <c r="C36" s="42">
        <v>6.5000000000000002E-2</v>
      </c>
      <c r="D36" s="42">
        <v>5.8999999999999999E-3</v>
      </c>
      <c r="E36" s="106"/>
    </row>
    <row r="37" spans="1:5" ht="15.75" thickBot="1">
      <c r="A37" s="615" t="s">
        <v>44</v>
      </c>
      <c r="B37" s="41">
        <v>0.48</v>
      </c>
      <c r="C37" s="42">
        <f>0.1004+0.005+0.0125</f>
        <v>0.1179</v>
      </c>
      <c r="D37" s="43">
        <f>ROUND(B37*C37,5)</f>
        <v>5.6590000000000001E-2</v>
      </c>
      <c r="E37" s="106"/>
    </row>
    <row r="38" spans="1:5" ht="16.5" thickTop="1" thickBot="1">
      <c r="A38" s="616"/>
      <c r="B38" s="41"/>
      <c r="C38" s="43" t="s">
        <v>45</v>
      </c>
      <c r="D38" s="44">
        <f>SUM(D35:D37)</f>
        <v>9.0090000000000003E-2</v>
      </c>
      <c r="E38" s="106"/>
    </row>
    <row r="39" spans="1:5" ht="15.75" thickTop="1">
      <c r="A39" s="617"/>
      <c r="B39" s="41"/>
      <c r="C39" s="45" t="s">
        <v>46</v>
      </c>
      <c r="D39" s="46">
        <f>D38/12</f>
        <v>7.5075000000000003E-3</v>
      </c>
      <c r="E39" s="106"/>
    </row>
    <row r="40" spans="1:5" ht="15">
      <c r="A40" s="617"/>
      <c r="B40" s="41"/>
      <c r="C40" s="47"/>
      <c r="D40" s="45"/>
      <c r="E40" s="106"/>
    </row>
    <row r="41" spans="1:5" ht="15.75">
      <c r="A41" s="614" t="s">
        <v>4</v>
      </c>
      <c r="B41" s="106"/>
      <c r="C41" s="555" t="s">
        <v>280</v>
      </c>
      <c r="D41" s="106"/>
      <c r="E41" s="106"/>
    </row>
    <row r="42" spans="1:5" ht="15">
      <c r="A42" s="622"/>
      <c r="B42" s="40" t="s">
        <v>39</v>
      </c>
      <c r="C42" s="40" t="s">
        <v>40</v>
      </c>
      <c r="D42" s="40" t="s">
        <v>41</v>
      </c>
      <c r="E42" s="106"/>
    </row>
    <row r="43" spans="1:5" ht="15">
      <c r="A43" s="615" t="s">
        <v>42</v>
      </c>
      <c r="B43" s="49">
        <f t="shared" ref="B43:D44" si="2">B35</f>
        <v>0.43</v>
      </c>
      <c r="C43" s="43">
        <f t="shared" si="2"/>
        <v>6.4199999999999993E-2</v>
      </c>
      <c r="D43" s="43">
        <f t="shared" si="2"/>
        <v>2.76E-2</v>
      </c>
      <c r="E43" s="106"/>
    </row>
    <row r="44" spans="1:5" ht="15">
      <c r="A44" s="615" t="s">
        <v>43</v>
      </c>
      <c r="B44" s="49">
        <f t="shared" si="2"/>
        <v>0.09</v>
      </c>
      <c r="C44" s="43">
        <f t="shared" si="2"/>
        <v>6.5000000000000002E-2</v>
      </c>
      <c r="D44" s="43">
        <f t="shared" si="2"/>
        <v>5.8999999999999999E-3</v>
      </c>
      <c r="E44" s="106"/>
    </row>
    <row r="45" spans="1:5" ht="15.75" thickBot="1">
      <c r="A45" s="615" t="s">
        <v>44</v>
      </c>
      <c r="B45" s="49">
        <f>B37</f>
        <v>0.48</v>
      </c>
      <c r="C45" s="43">
        <f>C37</f>
        <v>0.1179</v>
      </c>
      <c r="D45" s="43">
        <f>ROUND(B45*C45,5)</f>
        <v>5.6590000000000001E-2</v>
      </c>
      <c r="E45" s="106"/>
    </row>
    <row r="46" spans="1:5" ht="16.5" thickTop="1" thickBot="1">
      <c r="A46" s="616"/>
      <c r="B46" s="41"/>
      <c r="C46" s="43" t="s">
        <v>45</v>
      </c>
      <c r="D46" s="44">
        <f>SUM(D43:D45)</f>
        <v>9.0090000000000003E-2</v>
      </c>
      <c r="E46" s="106"/>
    </row>
    <row r="47" spans="1:5" ht="15.75" thickTop="1">
      <c r="A47" s="617"/>
      <c r="B47" s="41"/>
      <c r="C47" s="45" t="s">
        <v>46</v>
      </c>
      <c r="D47" s="46">
        <f>D46/12</f>
        <v>7.5075000000000003E-3</v>
      </c>
      <c r="E47" s="106"/>
    </row>
    <row r="48" spans="1:5" ht="15">
      <c r="A48" s="617"/>
      <c r="B48" s="41"/>
      <c r="C48" s="47"/>
      <c r="D48" s="48"/>
      <c r="E48" s="106"/>
    </row>
    <row r="49" spans="1:5" ht="15.75">
      <c r="A49" s="614" t="s">
        <v>5</v>
      </c>
      <c r="B49" s="106"/>
      <c r="C49" s="555" t="s">
        <v>280</v>
      </c>
      <c r="D49" s="106"/>
      <c r="E49" s="106"/>
    </row>
    <row r="50" spans="1:5" ht="15">
      <c r="A50" s="622"/>
      <c r="B50" s="40" t="s">
        <v>39</v>
      </c>
      <c r="C50" s="40" t="s">
        <v>40</v>
      </c>
      <c r="D50" s="40" t="s">
        <v>41</v>
      </c>
      <c r="E50" s="106"/>
    </row>
    <row r="51" spans="1:5" ht="15">
      <c r="A51" s="615" t="s">
        <v>42</v>
      </c>
      <c r="B51" s="49">
        <f t="shared" ref="B51:D52" si="3">B35</f>
        <v>0.43</v>
      </c>
      <c r="C51" s="43">
        <f t="shared" si="3"/>
        <v>6.4199999999999993E-2</v>
      </c>
      <c r="D51" s="43">
        <f t="shared" si="3"/>
        <v>2.76E-2</v>
      </c>
      <c r="E51" s="106"/>
    </row>
    <row r="52" spans="1:5" ht="15">
      <c r="A52" s="615" t="s">
        <v>43</v>
      </c>
      <c r="B52" s="49">
        <f t="shared" si="3"/>
        <v>0.09</v>
      </c>
      <c r="C52" s="43">
        <f t="shared" si="3"/>
        <v>6.5000000000000002E-2</v>
      </c>
      <c r="D52" s="43">
        <f t="shared" si="3"/>
        <v>5.8999999999999999E-3</v>
      </c>
      <c r="E52" s="106"/>
    </row>
    <row r="53" spans="1:5" ht="15.75" thickBot="1">
      <c r="A53" s="615" t="s">
        <v>44</v>
      </c>
      <c r="B53" s="49">
        <f>B37</f>
        <v>0.48</v>
      </c>
      <c r="C53" s="50">
        <f>0.1004+0.005+0.0075</f>
        <v>0.1129</v>
      </c>
      <c r="D53" s="43">
        <f>ROUND(B53*C53,5)</f>
        <v>5.4190000000000002E-2</v>
      </c>
      <c r="E53" s="106"/>
    </row>
    <row r="54" spans="1:5" ht="16.5" thickTop="1" thickBot="1">
      <c r="A54" s="106"/>
      <c r="B54" s="106"/>
      <c r="C54" s="43" t="s">
        <v>45</v>
      </c>
      <c r="D54" s="44">
        <f>SUM(D51:D53)</f>
        <v>8.7690000000000004E-2</v>
      </c>
      <c r="E54" s="106"/>
    </row>
    <row r="55" spans="1:5" ht="15.75" thickTop="1">
      <c r="A55" s="616"/>
      <c r="B55" s="41"/>
      <c r="C55" s="45" t="s">
        <v>46</v>
      </c>
      <c r="D55" s="46">
        <f>D54/12</f>
        <v>7.3075000000000006E-3</v>
      </c>
      <c r="E55" s="106"/>
    </row>
    <row r="56" spans="1:5">
      <c r="A56" s="106"/>
      <c r="B56" s="106"/>
      <c r="C56" s="106"/>
      <c r="D56" s="106"/>
      <c r="E56" s="106"/>
    </row>
    <row r="58" spans="1:5" ht="13.5" thickBot="1"/>
    <row r="59" spans="1:5" ht="18.75" thickBot="1">
      <c r="A59" s="722" t="s">
        <v>243</v>
      </c>
      <c r="B59" s="723"/>
      <c r="C59" s="723"/>
      <c r="D59" s="723"/>
      <c r="E59" s="252"/>
    </row>
    <row r="60" spans="1:5" ht="15.75">
      <c r="A60" s="106"/>
      <c r="B60" s="39"/>
      <c r="C60" s="39"/>
      <c r="D60" s="39"/>
      <c r="E60" s="106"/>
    </row>
    <row r="61" spans="1:5" ht="15.75">
      <c r="A61" s="614" t="s">
        <v>245</v>
      </c>
      <c r="B61" s="106"/>
      <c r="C61" s="323" t="s">
        <v>322</v>
      </c>
      <c r="D61" s="323"/>
      <c r="E61" s="106"/>
    </row>
    <row r="62" spans="1:5" ht="15">
      <c r="A62" s="622"/>
      <c r="B62" s="40" t="s">
        <v>39</v>
      </c>
      <c r="C62" s="40" t="s">
        <v>40</v>
      </c>
      <c r="D62" s="40" t="s">
        <v>41</v>
      </c>
      <c r="E62" s="106"/>
    </row>
    <row r="63" spans="1:5" ht="15">
      <c r="A63" s="615" t="s">
        <v>42</v>
      </c>
      <c r="B63" s="41">
        <v>0.43</v>
      </c>
      <c r="C63" s="42">
        <v>6.2100000000000002E-2</v>
      </c>
      <c r="D63" s="42">
        <v>2.6700000000000002E-2</v>
      </c>
      <c r="E63" s="106"/>
    </row>
    <row r="64" spans="1:5" ht="15">
      <c r="A64" s="615" t="s">
        <v>43</v>
      </c>
      <c r="B64" s="41">
        <v>0.09</v>
      </c>
      <c r="C64" s="42">
        <v>6.1699999999999998E-2</v>
      </c>
      <c r="D64" s="42">
        <v>5.5999999999999999E-3</v>
      </c>
      <c r="E64" s="106"/>
    </row>
    <row r="65" spans="1:5" ht="15.75" thickBot="1">
      <c r="A65" s="615" t="s">
        <v>44</v>
      </c>
      <c r="B65" s="41">
        <v>0.48</v>
      </c>
      <c r="C65" s="42">
        <f>0.1033+0.005+0.01</f>
        <v>0.1183</v>
      </c>
      <c r="D65" s="43">
        <f>ROUND(B65*C65,5)</f>
        <v>5.6779999999999997E-2</v>
      </c>
      <c r="E65" s="106"/>
    </row>
    <row r="66" spans="1:5" ht="16.5" thickTop="1" thickBot="1">
      <c r="A66" s="616"/>
      <c r="B66" s="41"/>
      <c r="C66" s="43" t="s">
        <v>45</v>
      </c>
      <c r="D66" s="44">
        <f>SUM(D63:D65)</f>
        <v>8.9079999999999993E-2</v>
      </c>
      <c r="E66" s="106"/>
    </row>
    <row r="67" spans="1:5" ht="15.75" thickTop="1">
      <c r="A67" s="617"/>
      <c r="B67" s="41"/>
      <c r="C67" s="45" t="s">
        <v>46</v>
      </c>
      <c r="D67" s="350">
        <f>D66/12</f>
        <v>7.423333333333333E-3</v>
      </c>
      <c r="E67" s="106"/>
    </row>
    <row r="68" spans="1:5" ht="33" customHeight="1">
      <c r="A68" s="720" t="s">
        <v>246</v>
      </c>
      <c r="B68" s="630"/>
      <c r="C68" s="630"/>
      <c r="D68" s="630"/>
      <c r="E68" s="106"/>
    </row>
    <row r="69" spans="1:5" ht="10.5" customHeight="1">
      <c r="A69" s="623"/>
      <c r="B69" s="610"/>
      <c r="C69" s="610"/>
      <c r="D69" s="610"/>
      <c r="E69" s="106"/>
    </row>
    <row r="70" spans="1:5" ht="15.75">
      <c r="A70" s="614" t="s">
        <v>4</v>
      </c>
      <c r="B70" s="106"/>
      <c r="C70" s="555" t="s">
        <v>280</v>
      </c>
      <c r="D70" s="106"/>
      <c r="E70" s="106"/>
    </row>
    <row r="71" spans="1:5" ht="15">
      <c r="A71" s="622"/>
      <c r="B71" s="40" t="s">
        <v>39</v>
      </c>
      <c r="C71" s="40" t="s">
        <v>40</v>
      </c>
      <c r="D71" s="40" t="s">
        <v>41</v>
      </c>
      <c r="E71" s="106"/>
    </row>
    <row r="72" spans="1:5" ht="15">
      <c r="A72" s="615" t="s">
        <v>42</v>
      </c>
      <c r="B72" s="49">
        <f t="shared" ref="B72:D73" si="4">B63</f>
        <v>0.43</v>
      </c>
      <c r="C72" s="43">
        <f t="shared" si="4"/>
        <v>6.2100000000000002E-2</v>
      </c>
      <c r="D72" s="43">
        <f t="shared" si="4"/>
        <v>2.6700000000000002E-2</v>
      </c>
      <c r="E72" s="106"/>
    </row>
    <row r="73" spans="1:5" ht="15">
      <c r="A73" s="615" t="s">
        <v>43</v>
      </c>
      <c r="B73" s="49">
        <f t="shared" si="4"/>
        <v>0.09</v>
      </c>
      <c r="C73" s="43">
        <f t="shared" si="4"/>
        <v>6.1699999999999998E-2</v>
      </c>
      <c r="D73" s="43">
        <f t="shared" si="4"/>
        <v>5.5999999999999999E-3</v>
      </c>
      <c r="E73" s="106"/>
    </row>
    <row r="74" spans="1:5" ht="15.75" thickBot="1">
      <c r="A74" s="615" t="s">
        <v>44</v>
      </c>
      <c r="B74" s="49">
        <f>B65</f>
        <v>0.48</v>
      </c>
      <c r="C74" s="345">
        <f>0.1033+0.005+0.0125</f>
        <v>0.1208</v>
      </c>
      <c r="D74" s="43">
        <f>ROUND(B74*C74,5)</f>
        <v>5.7979999999999997E-2</v>
      </c>
      <c r="E74" s="106"/>
    </row>
    <row r="75" spans="1:5" ht="16.5" thickTop="1" thickBot="1">
      <c r="A75" s="616"/>
      <c r="B75" s="41"/>
      <c r="C75" s="43" t="s">
        <v>45</v>
      </c>
      <c r="D75" s="44">
        <v>9.0200000000000002E-2</v>
      </c>
      <c r="E75" s="106"/>
    </row>
    <row r="76" spans="1:5" ht="15.75" thickTop="1">
      <c r="A76" s="617"/>
      <c r="B76" s="41"/>
      <c r="C76" s="45" t="s">
        <v>46</v>
      </c>
      <c r="D76" s="350">
        <v>7.5199999999999998E-3</v>
      </c>
      <c r="E76" s="106"/>
    </row>
    <row r="77" spans="1:5" ht="15">
      <c r="A77" s="617"/>
      <c r="B77" s="41"/>
      <c r="C77" s="47"/>
      <c r="D77" s="48"/>
      <c r="E77" s="106"/>
    </row>
    <row r="78" spans="1:5" ht="15.75">
      <c r="A78" s="614" t="s">
        <v>5</v>
      </c>
      <c r="B78" s="106"/>
      <c r="C78" s="555" t="s">
        <v>280</v>
      </c>
      <c r="D78" s="106"/>
      <c r="E78" s="106"/>
    </row>
    <row r="79" spans="1:5" ht="15">
      <c r="A79" s="622"/>
      <c r="B79" s="40" t="s">
        <v>39</v>
      </c>
      <c r="C79" s="40" t="s">
        <v>40</v>
      </c>
      <c r="D79" s="40" t="s">
        <v>41</v>
      </c>
      <c r="E79" s="106"/>
    </row>
    <row r="80" spans="1:5" ht="15">
      <c r="A80" s="615" t="s">
        <v>42</v>
      </c>
      <c r="B80" s="49">
        <f t="shared" ref="B80:D81" si="5">B63</f>
        <v>0.43</v>
      </c>
      <c r="C80" s="43">
        <f t="shared" si="5"/>
        <v>6.2100000000000002E-2</v>
      </c>
      <c r="D80" s="43">
        <f t="shared" si="5"/>
        <v>2.6700000000000002E-2</v>
      </c>
      <c r="E80" s="106"/>
    </row>
    <row r="81" spans="1:5" ht="15">
      <c r="A81" s="615" t="s">
        <v>43</v>
      </c>
      <c r="B81" s="49">
        <f t="shared" si="5"/>
        <v>0.09</v>
      </c>
      <c r="C81" s="43">
        <f t="shared" si="5"/>
        <v>6.1699999999999998E-2</v>
      </c>
      <c r="D81" s="43">
        <f t="shared" si="5"/>
        <v>5.5999999999999999E-3</v>
      </c>
      <c r="E81" s="106"/>
    </row>
    <row r="82" spans="1:5" ht="15.75" thickBot="1">
      <c r="A82" s="615" t="s">
        <v>44</v>
      </c>
      <c r="B82" s="49">
        <f>B65</f>
        <v>0.48</v>
      </c>
      <c r="C82" s="50">
        <f>0.1033+0.005+0.0075</f>
        <v>0.11580000000000001</v>
      </c>
      <c r="D82" s="43">
        <f>ROUND(B82*C82,5)</f>
        <v>5.5579999999999997E-2</v>
      </c>
      <c r="E82" s="106"/>
    </row>
    <row r="83" spans="1:5" ht="16.5" thickTop="1" thickBot="1">
      <c r="A83" s="106"/>
      <c r="B83" s="106"/>
      <c r="C83" s="43" t="s">
        <v>45</v>
      </c>
      <c r="D83" s="44">
        <f>SUM(D80:D82)</f>
        <v>8.788E-2</v>
      </c>
      <c r="E83" s="106"/>
    </row>
    <row r="84" spans="1:5" ht="15.75" thickTop="1">
      <c r="A84" s="616"/>
      <c r="B84" s="41"/>
      <c r="C84" s="45" t="s">
        <v>46</v>
      </c>
      <c r="D84" s="46">
        <v>7.3200000000000001E-3</v>
      </c>
      <c r="E84" s="106"/>
    </row>
    <row r="85" spans="1:5" ht="15">
      <c r="A85" s="616"/>
      <c r="B85" s="41"/>
      <c r="C85" s="45"/>
      <c r="D85" s="46"/>
      <c r="E85" s="106"/>
    </row>
    <row r="86" spans="1:5" ht="15">
      <c r="A86" s="616"/>
      <c r="B86" s="41"/>
      <c r="C86" s="45"/>
      <c r="D86" s="46"/>
      <c r="E86" s="106"/>
    </row>
    <row r="87" spans="1:5" ht="15.75">
      <c r="A87" s="614" t="s">
        <v>249</v>
      </c>
      <c r="B87" s="106"/>
      <c r="C87" s="555" t="s">
        <v>280</v>
      </c>
      <c r="D87" s="106"/>
      <c r="E87" s="106"/>
    </row>
    <row r="88" spans="1:5" ht="15">
      <c r="A88" s="622"/>
      <c r="B88" s="40" t="s">
        <v>39</v>
      </c>
      <c r="C88" s="40" t="s">
        <v>40</v>
      </c>
      <c r="D88" s="40" t="s">
        <v>41</v>
      </c>
      <c r="E88" s="106"/>
    </row>
    <row r="89" spans="1:5" ht="15">
      <c r="A89" s="615" t="s">
        <v>42</v>
      </c>
      <c r="B89" s="41">
        <v>0.43</v>
      </c>
      <c r="C89" s="42">
        <v>6.2100000000000002E-2</v>
      </c>
      <c r="D89" s="42">
        <v>2.6700000000000002E-2</v>
      </c>
      <c r="E89" s="106"/>
    </row>
    <row r="90" spans="1:5" ht="15">
      <c r="A90" s="615" t="s">
        <v>43</v>
      </c>
      <c r="B90" s="41">
        <v>0.09</v>
      </c>
      <c r="C90" s="42">
        <v>6.1699999999999998E-2</v>
      </c>
      <c r="D90" s="42">
        <v>5.5999999999999999E-3</v>
      </c>
      <c r="E90" s="106"/>
    </row>
    <row r="91" spans="1:5" ht="15.75" thickBot="1">
      <c r="A91" s="615" t="s">
        <v>44</v>
      </c>
      <c r="B91" s="41">
        <v>0.48</v>
      </c>
      <c r="C91" s="42">
        <f>0.1033+0.005</f>
        <v>0.10830000000000001</v>
      </c>
      <c r="D91" s="43">
        <f>ROUND(B91*C91,5)</f>
        <v>5.1979999999999998E-2</v>
      </c>
      <c r="E91" s="106"/>
    </row>
    <row r="92" spans="1:5" ht="16.5" thickTop="1" thickBot="1">
      <c r="A92" s="616"/>
      <c r="B92" s="41"/>
      <c r="C92" s="43" t="s">
        <v>45</v>
      </c>
      <c r="D92" s="44">
        <f>SUM(D89:D91)</f>
        <v>8.4279999999999994E-2</v>
      </c>
      <c r="E92" s="106"/>
    </row>
    <row r="93" spans="1:5" ht="15.75" thickTop="1">
      <c r="A93" s="617"/>
      <c r="B93" s="41"/>
      <c r="C93" s="45" t="s">
        <v>46</v>
      </c>
      <c r="D93" s="350">
        <f>D92/12</f>
        <v>7.0233333333333328E-3</v>
      </c>
      <c r="E93" s="106"/>
    </row>
    <row r="94" spans="1:5" ht="15">
      <c r="A94" s="720"/>
      <c r="B94" s="630"/>
      <c r="C94" s="630"/>
      <c r="D94" s="630"/>
      <c r="E94" s="106"/>
    </row>
    <row r="95" spans="1:5" ht="15.75">
      <c r="A95" s="614" t="s">
        <v>250</v>
      </c>
      <c r="B95" s="106"/>
      <c r="C95" s="555" t="s">
        <v>280</v>
      </c>
      <c r="D95" s="106"/>
      <c r="E95" s="106"/>
    </row>
    <row r="96" spans="1:5" ht="15">
      <c r="A96" s="622"/>
      <c r="B96" s="40" t="s">
        <v>39</v>
      </c>
      <c r="C96" s="40" t="s">
        <v>40</v>
      </c>
      <c r="D96" s="40" t="s">
        <v>41</v>
      </c>
      <c r="E96" s="106"/>
    </row>
    <row r="97" spans="1:5" ht="15">
      <c r="A97" s="615" t="s">
        <v>42</v>
      </c>
      <c r="B97" s="49">
        <f t="shared" ref="B97:D97" si="6">B89</f>
        <v>0.43</v>
      </c>
      <c r="C97" s="43">
        <f t="shared" si="6"/>
        <v>6.2100000000000002E-2</v>
      </c>
      <c r="D97" s="43">
        <f t="shared" si="6"/>
        <v>2.6700000000000002E-2</v>
      </c>
      <c r="E97" s="106"/>
    </row>
    <row r="98" spans="1:5" ht="15">
      <c r="A98" s="615" t="s">
        <v>43</v>
      </c>
      <c r="B98" s="49">
        <f t="shared" ref="B98:D98" si="7">B90</f>
        <v>0.09</v>
      </c>
      <c r="C98" s="43">
        <f t="shared" si="7"/>
        <v>6.1699999999999998E-2</v>
      </c>
      <c r="D98" s="43">
        <f t="shared" si="7"/>
        <v>5.5999999999999999E-3</v>
      </c>
      <c r="E98" s="106"/>
    </row>
    <row r="99" spans="1:5" ht="15.75" thickBot="1">
      <c r="A99" s="615" t="s">
        <v>44</v>
      </c>
      <c r="B99" s="49">
        <f>B91</f>
        <v>0.48</v>
      </c>
      <c r="C99" s="43">
        <f>C91</f>
        <v>0.10830000000000001</v>
      </c>
      <c r="D99" s="43">
        <f>ROUND(B99*C99,5)</f>
        <v>5.1979999999999998E-2</v>
      </c>
      <c r="E99" s="106"/>
    </row>
    <row r="100" spans="1:5" ht="16.5" thickTop="1" thickBot="1">
      <c r="A100" s="616"/>
      <c r="B100" s="41"/>
      <c r="C100" s="43" t="s">
        <v>45</v>
      </c>
      <c r="D100" s="44">
        <f>SUM(D97:D99)</f>
        <v>8.4279999999999994E-2</v>
      </c>
      <c r="E100" s="106"/>
    </row>
    <row r="101" spans="1:5" ht="15.75" thickTop="1">
      <c r="A101" s="617"/>
      <c r="B101" s="41"/>
      <c r="C101" s="45" t="s">
        <v>46</v>
      </c>
      <c r="D101" s="46">
        <f>D100/12</f>
        <v>7.0233333333333328E-3</v>
      </c>
      <c r="E101" s="106"/>
    </row>
    <row r="102" spans="1:5" ht="15">
      <c r="A102" s="617"/>
      <c r="B102" s="41"/>
      <c r="C102" s="47"/>
      <c r="D102" s="48"/>
      <c r="E102" s="106"/>
    </row>
    <row r="103" spans="1:5" ht="15.75">
      <c r="A103" s="614" t="s">
        <v>251</v>
      </c>
      <c r="B103" s="106"/>
      <c r="C103" s="555" t="s">
        <v>280</v>
      </c>
      <c r="D103" s="106"/>
      <c r="E103" s="106"/>
    </row>
    <row r="104" spans="1:5" ht="15">
      <c r="A104" s="622"/>
      <c r="B104" s="40" t="s">
        <v>39</v>
      </c>
      <c r="C104" s="40" t="s">
        <v>40</v>
      </c>
      <c r="D104" s="40" t="s">
        <v>41</v>
      </c>
      <c r="E104" s="106"/>
    </row>
    <row r="105" spans="1:5" ht="15">
      <c r="A105" s="615" t="s">
        <v>42</v>
      </c>
      <c r="B105" s="49">
        <f t="shared" ref="B105:D105" si="8">B89</f>
        <v>0.43</v>
      </c>
      <c r="C105" s="43">
        <f t="shared" si="8"/>
        <v>6.2100000000000002E-2</v>
      </c>
      <c r="D105" s="43">
        <f t="shared" si="8"/>
        <v>2.6700000000000002E-2</v>
      </c>
      <c r="E105" s="106"/>
    </row>
    <row r="106" spans="1:5" ht="15">
      <c r="A106" s="615" t="s">
        <v>43</v>
      </c>
      <c r="B106" s="49">
        <f t="shared" ref="B106:D106" si="9">B90</f>
        <v>0.09</v>
      </c>
      <c r="C106" s="43">
        <f t="shared" si="9"/>
        <v>6.1699999999999998E-2</v>
      </c>
      <c r="D106" s="43">
        <f t="shared" si="9"/>
        <v>5.5999999999999999E-3</v>
      </c>
      <c r="E106" s="106"/>
    </row>
    <row r="107" spans="1:5" ht="15.75" thickBot="1">
      <c r="A107" s="615" t="s">
        <v>44</v>
      </c>
      <c r="B107" s="49">
        <f>B91</f>
        <v>0.48</v>
      </c>
      <c r="C107" s="351">
        <f>C91</f>
        <v>0.10830000000000001</v>
      </c>
      <c r="D107" s="43">
        <f>ROUND(B107*C107,5)</f>
        <v>5.1979999999999998E-2</v>
      </c>
      <c r="E107" s="106"/>
    </row>
    <row r="108" spans="1:5" ht="16.5" thickTop="1" thickBot="1">
      <c r="A108" s="106"/>
      <c r="B108" s="106"/>
      <c r="C108" s="43" t="s">
        <v>45</v>
      </c>
      <c r="D108" s="44">
        <f>SUM(D105:D107)</f>
        <v>8.4279999999999994E-2</v>
      </c>
      <c r="E108" s="106"/>
    </row>
    <row r="109" spans="1:5" ht="15.75" thickTop="1">
      <c r="A109" s="616"/>
      <c r="B109" s="41"/>
      <c r="C109" s="45" t="s">
        <v>46</v>
      </c>
      <c r="D109" s="46">
        <f>D108/12</f>
        <v>7.0233333333333328E-3</v>
      </c>
      <c r="E109" s="106"/>
    </row>
    <row r="110" spans="1:5" ht="15">
      <c r="A110" s="616"/>
      <c r="B110" s="41"/>
      <c r="C110" s="45"/>
      <c r="D110" s="46"/>
      <c r="E110" s="106"/>
    </row>
    <row r="111" spans="1:5" ht="15">
      <c r="A111" s="616"/>
      <c r="B111" s="41"/>
      <c r="C111" s="45"/>
      <c r="D111" s="46"/>
      <c r="E111" s="106"/>
    </row>
    <row r="113" spans="1:5" ht="13.5" thickBot="1"/>
    <row r="114" spans="1:5" ht="18.75" thickBot="1">
      <c r="A114" s="722" t="s">
        <v>247</v>
      </c>
      <c r="B114" s="727"/>
      <c r="C114" s="727"/>
      <c r="D114" s="727"/>
      <c r="E114" s="252"/>
    </row>
    <row r="115" spans="1:5" ht="15.75">
      <c r="A115" s="537"/>
      <c r="B115" s="536"/>
      <c r="C115" s="536"/>
      <c r="D115" s="536"/>
      <c r="E115" s="537"/>
    </row>
    <row r="116" spans="1:5" ht="15.75">
      <c r="A116" s="614" t="s">
        <v>248</v>
      </c>
      <c r="B116" s="106"/>
      <c r="C116" s="323" t="s">
        <v>279</v>
      </c>
      <c r="D116" s="323"/>
      <c r="E116" s="106"/>
    </row>
    <row r="117" spans="1:5" ht="15">
      <c r="A117" s="622"/>
      <c r="B117" s="40" t="s">
        <v>39</v>
      </c>
      <c r="C117" s="40" t="s">
        <v>40</v>
      </c>
      <c r="D117" s="40" t="s">
        <v>41</v>
      </c>
      <c r="E117" s="106"/>
    </row>
    <row r="118" spans="1:5" ht="15">
      <c r="A118" s="618" t="s">
        <v>42</v>
      </c>
      <c r="B118" s="412">
        <v>0.43</v>
      </c>
      <c r="C118" s="50">
        <v>0.06</v>
      </c>
      <c r="D118" s="50">
        <v>2.58E-2</v>
      </c>
      <c r="E118" s="106"/>
    </row>
    <row r="119" spans="1:5" ht="15">
      <c r="A119" s="618" t="s">
        <v>43</v>
      </c>
      <c r="B119" s="412">
        <v>0.09</v>
      </c>
      <c r="C119" s="50">
        <v>6.0999999999999999E-2</v>
      </c>
      <c r="D119" s="50">
        <v>5.4999999999999997E-3</v>
      </c>
      <c r="E119" s="106"/>
    </row>
    <row r="120" spans="1:5" ht="15.75" thickBot="1">
      <c r="A120" s="618" t="s">
        <v>44</v>
      </c>
      <c r="B120" s="412">
        <v>0.48</v>
      </c>
      <c r="C120" s="50">
        <f>0.103+0.005+0.01</f>
        <v>0.11799999999999999</v>
      </c>
      <c r="D120" s="351">
        <f>ROUND(B120*C120,5)</f>
        <v>5.6640000000000003E-2</v>
      </c>
      <c r="E120" s="106"/>
    </row>
    <row r="121" spans="1:5" ht="16.5" thickTop="1" thickBot="1">
      <c r="A121" s="619"/>
      <c r="B121" s="412"/>
      <c r="C121" s="351" t="s">
        <v>45</v>
      </c>
      <c r="D121" s="416">
        <f>SUM(D118:D120)</f>
        <v>8.7940000000000004E-2</v>
      </c>
      <c r="E121" s="106"/>
    </row>
    <row r="122" spans="1:5" ht="15.75" thickTop="1">
      <c r="A122" s="620"/>
      <c r="B122" s="412"/>
      <c r="C122" s="48" t="s">
        <v>46</v>
      </c>
      <c r="D122" s="350">
        <f>D121/12</f>
        <v>7.3283333333333334E-3</v>
      </c>
      <c r="E122" s="106"/>
    </row>
    <row r="123" spans="1:5" ht="15">
      <c r="A123" s="720"/>
      <c r="B123" s="721"/>
      <c r="C123" s="721"/>
      <c r="D123" s="721"/>
      <c r="E123" s="106"/>
    </row>
    <row r="124" spans="1:5" ht="15.75">
      <c r="A124" s="614" t="s">
        <v>4</v>
      </c>
      <c r="B124" s="106"/>
      <c r="C124" s="106" t="s">
        <v>280</v>
      </c>
      <c r="D124" s="106"/>
      <c r="E124" s="106"/>
    </row>
    <row r="125" spans="1:5" ht="15">
      <c r="A125" s="622"/>
      <c r="B125" s="40" t="s">
        <v>39</v>
      </c>
      <c r="C125" s="40" t="s">
        <v>40</v>
      </c>
      <c r="D125" s="40" t="s">
        <v>41</v>
      </c>
      <c r="E125" s="106"/>
    </row>
    <row r="126" spans="1:5" ht="15">
      <c r="A126" s="618" t="s">
        <v>42</v>
      </c>
      <c r="B126" s="413">
        <f t="shared" ref="B126:D126" si="10">B118</f>
        <v>0.43</v>
      </c>
      <c r="C126" s="351">
        <f t="shared" si="10"/>
        <v>0.06</v>
      </c>
      <c r="D126" s="351">
        <f t="shared" si="10"/>
        <v>2.58E-2</v>
      </c>
      <c r="E126" s="106"/>
    </row>
    <row r="127" spans="1:5" ht="15">
      <c r="A127" s="618" t="s">
        <v>43</v>
      </c>
      <c r="B127" s="413">
        <f t="shared" ref="B127:D127" si="11">B119</f>
        <v>0.09</v>
      </c>
      <c r="C127" s="351">
        <f t="shared" si="11"/>
        <v>6.0999999999999999E-2</v>
      </c>
      <c r="D127" s="351">
        <f t="shared" si="11"/>
        <v>5.4999999999999997E-3</v>
      </c>
      <c r="E127" s="106"/>
    </row>
    <row r="128" spans="1:5" ht="15.75" thickBot="1">
      <c r="A128" s="618" t="s">
        <v>44</v>
      </c>
      <c r="B128" s="413">
        <f>B120</f>
        <v>0.48</v>
      </c>
      <c r="C128" s="414">
        <f>0.103+0.005+0.0125</f>
        <v>0.1205</v>
      </c>
      <c r="D128" s="351">
        <f>ROUND(B128*C128,5)</f>
        <v>5.7840000000000003E-2</v>
      </c>
      <c r="E128" s="106"/>
    </row>
    <row r="129" spans="1:5" ht="16.5" thickTop="1" thickBot="1">
      <c r="A129" s="619"/>
      <c r="B129" s="412"/>
      <c r="C129" s="351" t="s">
        <v>45</v>
      </c>
      <c r="D129" s="416">
        <f>SUM(D126:D128)</f>
        <v>8.9139999999999997E-2</v>
      </c>
      <c r="E129" s="106"/>
    </row>
    <row r="130" spans="1:5" ht="15.75" thickTop="1">
      <c r="A130" s="620"/>
      <c r="B130" s="412"/>
      <c r="C130" s="48" t="s">
        <v>46</v>
      </c>
      <c r="D130" s="350">
        <f>D129/12</f>
        <v>7.4283333333333328E-3</v>
      </c>
      <c r="E130" s="106"/>
    </row>
    <row r="131" spans="1:5" ht="15">
      <c r="A131" s="617"/>
      <c r="B131" s="41"/>
      <c r="C131" s="47"/>
      <c r="D131" s="48"/>
      <c r="E131" s="106"/>
    </row>
    <row r="132" spans="1:5" ht="15.75">
      <c r="A132" s="614" t="s">
        <v>5</v>
      </c>
      <c r="B132" s="106"/>
      <c r="C132" s="106" t="s">
        <v>280</v>
      </c>
      <c r="D132" s="106"/>
      <c r="E132" s="106"/>
    </row>
    <row r="133" spans="1:5" ht="15">
      <c r="A133" s="622"/>
      <c r="B133" s="40" t="s">
        <v>39</v>
      </c>
      <c r="C133" s="40" t="s">
        <v>40</v>
      </c>
      <c r="D133" s="40" t="s">
        <v>41</v>
      </c>
      <c r="E133" s="106"/>
    </row>
    <row r="134" spans="1:5" ht="15">
      <c r="A134" s="618" t="s">
        <v>42</v>
      </c>
      <c r="B134" s="413">
        <f>B118</f>
        <v>0.43</v>
      </c>
      <c r="C134" s="351">
        <f t="shared" ref="C134:D134" si="12">C118</f>
        <v>0.06</v>
      </c>
      <c r="D134" s="351">
        <f t="shared" si="12"/>
        <v>2.58E-2</v>
      </c>
      <c r="E134" s="106"/>
    </row>
    <row r="135" spans="1:5" ht="15">
      <c r="A135" s="618" t="s">
        <v>43</v>
      </c>
      <c r="B135" s="413">
        <f t="shared" ref="B135:D135" si="13">B119</f>
        <v>0.09</v>
      </c>
      <c r="C135" s="351">
        <f t="shared" si="13"/>
        <v>6.0999999999999999E-2</v>
      </c>
      <c r="D135" s="351">
        <f t="shared" si="13"/>
        <v>5.4999999999999997E-3</v>
      </c>
      <c r="E135" s="106"/>
    </row>
    <row r="136" spans="1:5" ht="15.75" thickBot="1">
      <c r="A136" s="618" t="s">
        <v>44</v>
      </c>
      <c r="B136" s="413">
        <f>B120</f>
        <v>0.48</v>
      </c>
      <c r="C136" s="50">
        <f>0.103+0.005+0.0075</f>
        <v>0.11549999999999999</v>
      </c>
      <c r="D136" s="351">
        <f>ROUND(B136*C136,5)</f>
        <v>5.5440000000000003E-2</v>
      </c>
      <c r="E136" s="106"/>
    </row>
    <row r="137" spans="1:5" ht="16.5" thickTop="1" thickBot="1">
      <c r="A137" s="415"/>
      <c r="B137" s="415"/>
      <c r="C137" s="351" t="s">
        <v>45</v>
      </c>
      <c r="D137" s="416">
        <f>SUM(D134:D136)</f>
        <v>8.6740000000000012E-2</v>
      </c>
      <c r="E137" s="106"/>
    </row>
    <row r="138" spans="1:5" ht="15.75" thickTop="1">
      <c r="A138" s="619"/>
      <c r="B138" s="412"/>
      <c r="C138" s="48" t="s">
        <v>46</v>
      </c>
      <c r="D138" s="350">
        <f>D137/12</f>
        <v>7.228333333333334E-3</v>
      </c>
      <c r="E138" s="106"/>
    </row>
    <row r="139" spans="1:5" ht="15">
      <c r="A139" s="616"/>
      <c r="B139" s="41"/>
      <c r="C139" s="45"/>
      <c r="D139" s="46"/>
      <c r="E139" s="106"/>
    </row>
    <row r="140" spans="1:5" ht="15.75">
      <c r="A140" s="614" t="s">
        <v>249</v>
      </c>
      <c r="B140" s="106"/>
      <c r="C140" s="250" t="s">
        <v>280</v>
      </c>
      <c r="D140" s="106"/>
      <c r="E140" s="106"/>
    </row>
    <row r="141" spans="1:5" ht="15">
      <c r="A141" s="622"/>
      <c r="B141" s="40" t="s">
        <v>39</v>
      </c>
      <c r="C141" s="40" t="s">
        <v>40</v>
      </c>
      <c r="D141" s="40" t="s">
        <v>41</v>
      </c>
      <c r="E141" s="106"/>
    </row>
    <row r="142" spans="1:5" ht="15">
      <c r="A142" s="618" t="s">
        <v>42</v>
      </c>
      <c r="B142" s="413">
        <f t="shared" ref="B142:D143" si="14">B118</f>
        <v>0.43</v>
      </c>
      <c r="C142" s="351">
        <f t="shared" si="14"/>
        <v>0.06</v>
      </c>
      <c r="D142" s="351">
        <f t="shared" si="14"/>
        <v>2.58E-2</v>
      </c>
      <c r="E142" s="106"/>
    </row>
    <row r="143" spans="1:5" ht="15">
      <c r="A143" s="618" t="s">
        <v>43</v>
      </c>
      <c r="B143" s="413">
        <f t="shared" si="14"/>
        <v>0.09</v>
      </c>
      <c r="C143" s="351">
        <f t="shared" si="14"/>
        <v>6.0999999999999999E-2</v>
      </c>
      <c r="D143" s="351">
        <f t="shared" si="14"/>
        <v>5.4999999999999997E-3</v>
      </c>
      <c r="E143" s="106"/>
    </row>
    <row r="144" spans="1:5" ht="15.75" thickBot="1">
      <c r="A144" s="618" t="s">
        <v>44</v>
      </c>
      <c r="B144" s="413">
        <f>B120</f>
        <v>0.48</v>
      </c>
      <c r="C144" s="50">
        <f>0.103+0.005</f>
        <v>0.108</v>
      </c>
      <c r="D144" s="351">
        <f>ROUND(B144*C144,5)</f>
        <v>5.1839999999999997E-2</v>
      </c>
      <c r="E144" s="106"/>
    </row>
    <row r="145" spans="1:5" ht="16.5" thickTop="1" thickBot="1">
      <c r="A145" s="619"/>
      <c r="B145" s="412"/>
      <c r="C145" s="351" t="s">
        <v>45</v>
      </c>
      <c r="D145" s="416">
        <f>SUM(D142:D144)</f>
        <v>8.3139999999999992E-2</v>
      </c>
      <c r="E145" s="106"/>
    </row>
    <row r="146" spans="1:5" ht="15.75" thickTop="1">
      <c r="A146" s="620"/>
      <c r="B146" s="412"/>
      <c r="C146" s="48" t="s">
        <v>46</v>
      </c>
      <c r="D146" s="350">
        <f>D145/12</f>
        <v>6.9283333333333324E-3</v>
      </c>
      <c r="E146" s="106"/>
    </row>
    <row r="147" spans="1:5" ht="15">
      <c r="A147" s="720"/>
      <c r="B147" s="721"/>
      <c r="C147" s="721"/>
      <c r="D147" s="721"/>
      <c r="E147" s="106"/>
    </row>
    <row r="148" spans="1:5" ht="15.75">
      <c r="A148" s="614" t="s">
        <v>250</v>
      </c>
      <c r="B148" s="106"/>
      <c r="C148" s="106" t="s">
        <v>280</v>
      </c>
      <c r="D148" s="106"/>
      <c r="E148" s="106"/>
    </row>
    <row r="149" spans="1:5" ht="15">
      <c r="A149" s="622"/>
      <c r="B149" s="40" t="s">
        <v>39</v>
      </c>
      <c r="C149" s="40" t="s">
        <v>40</v>
      </c>
      <c r="D149" s="40" t="s">
        <v>41</v>
      </c>
      <c r="E149" s="106"/>
    </row>
    <row r="150" spans="1:5" ht="15">
      <c r="A150" s="615" t="s">
        <v>42</v>
      </c>
      <c r="B150" s="49">
        <f>B118</f>
        <v>0.43</v>
      </c>
      <c r="C150" s="43">
        <f>C118</f>
        <v>0.06</v>
      </c>
      <c r="D150" s="43">
        <f t="shared" ref="D150" si="15">D142</f>
        <v>2.58E-2</v>
      </c>
      <c r="E150" s="106"/>
    </row>
    <row r="151" spans="1:5" ht="15">
      <c r="A151" s="615" t="s">
        <v>43</v>
      </c>
      <c r="B151" s="49">
        <f>B119</f>
        <v>0.09</v>
      </c>
      <c r="C151" s="43">
        <f>C119</f>
        <v>6.0999999999999999E-2</v>
      </c>
      <c r="D151" s="43">
        <f t="shared" ref="D151" si="16">D143</f>
        <v>5.4999999999999997E-3</v>
      </c>
      <c r="E151" s="106"/>
    </row>
    <row r="152" spans="1:5" ht="15.75" thickBot="1">
      <c r="A152" s="615" t="s">
        <v>44</v>
      </c>
      <c r="B152" s="49">
        <f>B120</f>
        <v>0.48</v>
      </c>
      <c r="C152" s="43">
        <f>C144</f>
        <v>0.108</v>
      </c>
      <c r="D152" s="351">
        <f>ROUND(B152*C152,5)</f>
        <v>5.1839999999999997E-2</v>
      </c>
      <c r="E152" s="106"/>
    </row>
    <row r="153" spans="1:5" ht="16.5" thickTop="1" thickBot="1">
      <c r="A153" s="616"/>
      <c r="B153" s="41"/>
      <c r="C153" s="43" t="s">
        <v>45</v>
      </c>
      <c r="D153" s="44">
        <f>SUM(D150:D152)</f>
        <v>8.3139999999999992E-2</v>
      </c>
      <c r="E153" s="106"/>
    </row>
    <row r="154" spans="1:5" ht="15.75" thickTop="1">
      <c r="A154" s="617"/>
      <c r="B154" s="41"/>
      <c r="C154" s="45" t="s">
        <v>46</v>
      </c>
      <c r="D154" s="46">
        <f>D153/12</f>
        <v>6.9283333333333324E-3</v>
      </c>
      <c r="E154" s="106"/>
    </row>
    <row r="155" spans="1:5" ht="15">
      <c r="A155" s="617"/>
      <c r="B155" s="41"/>
      <c r="C155" s="47"/>
      <c r="D155" s="48"/>
      <c r="E155" s="106"/>
    </row>
    <row r="156" spans="1:5" ht="15.75">
      <c r="A156" s="614" t="s">
        <v>251</v>
      </c>
      <c r="B156" s="106"/>
      <c r="C156" s="106" t="s">
        <v>280</v>
      </c>
      <c r="D156" s="106"/>
      <c r="E156" s="106"/>
    </row>
    <row r="157" spans="1:5" ht="15">
      <c r="A157" s="622"/>
      <c r="B157" s="40" t="s">
        <v>39</v>
      </c>
      <c r="C157" s="40" t="s">
        <v>40</v>
      </c>
      <c r="D157" s="40" t="s">
        <v>41</v>
      </c>
      <c r="E157" s="106"/>
    </row>
    <row r="158" spans="1:5" ht="15">
      <c r="A158" s="615" t="s">
        <v>42</v>
      </c>
      <c r="B158" s="49">
        <f>B118</f>
        <v>0.43</v>
      </c>
      <c r="C158" s="43">
        <f>C118</f>
        <v>0.06</v>
      </c>
      <c r="D158" s="43">
        <f t="shared" ref="D158" si="17">D142</f>
        <v>2.58E-2</v>
      </c>
      <c r="E158" s="106"/>
    </row>
    <row r="159" spans="1:5" ht="15">
      <c r="A159" s="615" t="s">
        <v>43</v>
      </c>
      <c r="B159" s="49">
        <f>B119</f>
        <v>0.09</v>
      </c>
      <c r="C159" s="43">
        <f>C119</f>
        <v>6.0999999999999999E-2</v>
      </c>
      <c r="D159" s="43">
        <f t="shared" ref="D159" si="18">D143</f>
        <v>5.4999999999999997E-3</v>
      </c>
      <c r="E159" s="106"/>
    </row>
    <row r="160" spans="1:5" ht="15.75" thickBot="1">
      <c r="A160" s="615" t="s">
        <v>44</v>
      </c>
      <c r="B160" s="49">
        <f>B120</f>
        <v>0.48</v>
      </c>
      <c r="C160" s="351">
        <f>C144</f>
        <v>0.108</v>
      </c>
      <c r="D160" s="351">
        <f>ROUND(B160*C160,5)</f>
        <v>5.1839999999999997E-2</v>
      </c>
      <c r="E160" s="106"/>
    </row>
    <row r="161" spans="1:5" ht="16.5" thickTop="1" thickBot="1">
      <c r="A161" s="106"/>
      <c r="B161" s="106"/>
      <c r="C161" s="43" t="s">
        <v>45</v>
      </c>
      <c r="D161" s="44">
        <f>SUM(D158:D160)</f>
        <v>8.3139999999999992E-2</v>
      </c>
      <c r="E161" s="106"/>
    </row>
    <row r="162" spans="1:5" ht="15.75" thickTop="1">
      <c r="A162" s="616"/>
      <c r="B162" s="41"/>
      <c r="C162" s="45" t="s">
        <v>46</v>
      </c>
      <c r="D162" s="46">
        <f>D161/12</f>
        <v>6.9283333333333324E-3</v>
      </c>
      <c r="E162" s="106"/>
    </row>
    <row r="163" spans="1:5" ht="15">
      <c r="A163" s="616"/>
      <c r="B163" s="41"/>
      <c r="C163" s="45"/>
      <c r="D163" s="46"/>
      <c r="E163" s="106"/>
    </row>
    <row r="164" spans="1:5" ht="15.75">
      <c r="A164" s="621" t="s">
        <v>287</v>
      </c>
      <c r="B164" s="106"/>
      <c r="C164" s="250" t="s">
        <v>280</v>
      </c>
      <c r="D164" s="106"/>
      <c r="E164" s="106"/>
    </row>
    <row r="165" spans="1:5" ht="15">
      <c r="A165" s="622"/>
      <c r="B165" s="40" t="s">
        <v>39</v>
      </c>
      <c r="C165" s="40" t="s">
        <v>40</v>
      </c>
      <c r="D165" s="40" t="s">
        <v>41</v>
      </c>
      <c r="E165" s="106"/>
    </row>
    <row r="166" spans="1:5" ht="15">
      <c r="A166" s="618" t="s">
        <v>42</v>
      </c>
      <c r="B166" s="413">
        <f t="shared" ref="B166:D167" si="19">B142</f>
        <v>0.43</v>
      </c>
      <c r="C166" s="351">
        <f t="shared" si="19"/>
        <v>0.06</v>
      </c>
      <c r="D166" s="351">
        <f t="shared" si="19"/>
        <v>2.58E-2</v>
      </c>
      <c r="E166" s="106"/>
    </row>
    <row r="167" spans="1:5" ht="15">
      <c r="A167" s="618" t="s">
        <v>43</v>
      </c>
      <c r="B167" s="413">
        <f t="shared" si="19"/>
        <v>0.09</v>
      </c>
      <c r="C167" s="351">
        <f t="shared" si="19"/>
        <v>6.0999999999999999E-2</v>
      </c>
      <c r="D167" s="351">
        <f t="shared" si="19"/>
        <v>5.4999999999999997E-3</v>
      </c>
      <c r="E167" s="106"/>
    </row>
    <row r="168" spans="1:5" ht="15.75" thickBot="1">
      <c r="A168" s="618" t="s">
        <v>44</v>
      </c>
      <c r="B168" s="413">
        <f>B144</f>
        <v>0.48</v>
      </c>
      <c r="C168" s="50">
        <f>0.103+0.005</f>
        <v>0.108</v>
      </c>
      <c r="D168" s="351">
        <f>ROUND(B168*C168,5)</f>
        <v>5.1839999999999997E-2</v>
      </c>
      <c r="E168" s="106"/>
    </row>
    <row r="169" spans="1:5" ht="16.5" thickTop="1" thickBot="1">
      <c r="A169" s="619"/>
      <c r="B169" s="412"/>
      <c r="C169" s="351" t="s">
        <v>45</v>
      </c>
      <c r="D169" s="416">
        <f>SUM(D166:D168)</f>
        <v>8.3139999999999992E-2</v>
      </c>
      <c r="E169" s="106"/>
    </row>
    <row r="170" spans="1:5" ht="15.75" thickTop="1">
      <c r="A170" s="620"/>
      <c r="B170" s="412"/>
      <c r="C170" s="48" t="s">
        <v>46</v>
      </c>
      <c r="D170" s="350">
        <f>D169/12</f>
        <v>6.9283333333333324E-3</v>
      </c>
      <c r="E170" s="106"/>
    </row>
    <row r="171" spans="1:5" ht="15">
      <c r="A171" s="720"/>
      <c r="B171" s="721"/>
      <c r="C171" s="721"/>
      <c r="D171" s="721"/>
      <c r="E171" s="106"/>
    </row>
    <row r="172" spans="1:5" ht="15.75">
      <c r="A172" s="621" t="s">
        <v>288</v>
      </c>
      <c r="B172" s="106"/>
      <c r="C172" s="106" t="s">
        <v>280</v>
      </c>
      <c r="D172" s="106"/>
      <c r="E172" s="106"/>
    </row>
    <row r="173" spans="1:5" ht="15">
      <c r="A173" s="622"/>
      <c r="B173" s="40" t="s">
        <v>39</v>
      </c>
      <c r="C173" s="40" t="s">
        <v>40</v>
      </c>
      <c r="D173" s="40" t="s">
        <v>41</v>
      </c>
      <c r="E173" s="106"/>
    </row>
    <row r="174" spans="1:5" ht="15">
      <c r="A174" s="615" t="s">
        <v>42</v>
      </c>
      <c r="B174" s="49">
        <f>B142</f>
        <v>0.43</v>
      </c>
      <c r="C174" s="43">
        <f>C142</f>
        <v>0.06</v>
      </c>
      <c r="D174" s="43">
        <f t="shared" ref="D174:D175" si="20">D166</f>
        <v>2.58E-2</v>
      </c>
      <c r="E174" s="106"/>
    </row>
    <row r="175" spans="1:5" ht="15">
      <c r="A175" s="615" t="s">
        <v>43</v>
      </c>
      <c r="B175" s="49">
        <f>B143</f>
        <v>0.09</v>
      </c>
      <c r="C175" s="43">
        <f>C143</f>
        <v>6.0999999999999999E-2</v>
      </c>
      <c r="D175" s="43">
        <f t="shared" si="20"/>
        <v>5.4999999999999997E-3</v>
      </c>
      <c r="E175" s="106"/>
    </row>
    <row r="176" spans="1:5" ht="15.75" thickBot="1">
      <c r="A176" s="615" t="s">
        <v>44</v>
      </c>
      <c r="B176" s="49">
        <f>B144</f>
        <v>0.48</v>
      </c>
      <c r="C176" s="43">
        <f>C168</f>
        <v>0.108</v>
      </c>
      <c r="D176" s="351">
        <f>ROUND(B176*C176,5)</f>
        <v>5.1839999999999997E-2</v>
      </c>
      <c r="E176" s="106"/>
    </row>
    <row r="177" spans="1:5" ht="16.5" thickTop="1" thickBot="1">
      <c r="A177" s="616"/>
      <c r="B177" s="41"/>
      <c r="C177" s="43" t="s">
        <v>45</v>
      </c>
      <c r="D177" s="44">
        <f>SUM(D174:D176)</f>
        <v>8.3139999999999992E-2</v>
      </c>
      <c r="E177" s="106"/>
    </row>
    <row r="178" spans="1:5" ht="15.75" thickTop="1">
      <c r="A178" s="617"/>
      <c r="B178" s="41"/>
      <c r="C178" s="45" t="s">
        <v>46</v>
      </c>
      <c r="D178" s="46">
        <f>D177/12</f>
        <v>6.9283333333333324E-3</v>
      </c>
      <c r="E178" s="106"/>
    </row>
    <row r="179" spans="1:5" ht="15">
      <c r="A179" s="617"/>
      <c r="B179" s="41"/>
      <c r="C179" s="47"/>
      <c r="D179" s="48"/>
      <c r="E179" s="106"/>
    </row>
    <row r="180" spans="1:5" ht="15.75">
      <c r="A180" s="621" t="s">
        <v>289</v>
      </c>
      <c r="B180" s="106"/>
      <c r="C180" s="106" t="s">
        <v>280</v>
      </c>
      <c r="D180" s="106"/>
      <c r="E180" s="106"/>
    </row>
    <row r="181" spans="1:5" ht="15">
      <c r="A181" s="622"/>
      <c r="B181" s="40" t="s">
        <v>39</v>
      </c>
      <c r="C181" s="40" t="s">
        <v>40</v>
      </c>
      <c r="D181" s="40" t="s">
        <v>41</v>
      </c>
      <c r="E181" s="106"/>
    </row>
    <row r="182" spans="1:5" ht="15">
      <c r="A182" s="615" t="s">
        <v>42</v>
      </c>
      <c r="B182" s="49">
        <f>B142</f>
        <v>0.43</v>
      </c>
      <c r="C182" s="43">
        <f>C142</f>
        <v>0.06</v>
      </c>
      <c r="D182" s="43">
        <f t="shared" ref="D182:D183" si="21">D166</f>
        <v>2.58E-2</v>
      </c>
      <c r="E182" s="106"/>
    </row>
    <row r="183" spans="1:5" ht="15">
      <c r="A183" s="615" t="s">
        <v>43</v>
      </c>
      <c r="B183" s="49">
        <f>B143</f>
        <v>0.09</v>
      </c>
      <c r="C183" s="43">
        <f>C143</f>
        <v>6.0999999999999999E-2</v>
      </c>
      <c r="D183" s="43">
        <f t="shared" si="21"/>
        <v>5.4999999999999997E-3</v>
      </c>
      <c r="E183" s="106"/>
    </row>
    <row r="184" spans="1:5" ht="15.75" thickBot="1">
      <c r="A184" s="615" t="s">
        <v>44</v>
      </c>
      <c r="B184" s="49">
        <f>B144</f>
        <v>0.48</v>
      </c>
      <c r="C184" s="351">
        <f>C168</f>
        <v>0.108</v>
      </c>
      <c r="D184" s="351">
        <f>ROUND(B184*C184,5)</f>
        <v>5.1839999999999997E-2</v>
      </c>
      <c r="E184" s="106"/>
    </row>
    <row r="185" spans="1:5" ht="16.5" thickTop="1" thickBot="1">
      <c r="A185" s="106"/>
      <c r="B185" s="106"/>
      <c r="C185" s="43" t="s">
        <v>45</v>
      </c>
      <c r="D185" s="44">
        <f>SUM(D182:D184)</f>
        <v>8.3139999999999992E-2</v>
      </c>
      <c r="E185" s="106"/>
    </row>
    <row r="186" spans="1:5" ht="15.75" thickTop="1">
      <c r="A186" s="616"/>
      <c r="B186" s="41"/>
      <c r="C186" s="45" t="s">
        <v>46</v>
      </c>
      <c r="D186" s="46">
        <f>D185/12</f>
        <v>6.9283333333333324E-3</v>
      </c>
      <c r="E186" s="106"/>
    </row>
    <row r="187" spans="1:5">
      <c r="A187" s="106"/>
      <c r="B187" s="106"/>
      <c r="C187" s="106"/>
      <c r="D187" s="106"/>
      <c r="E187" s="106"/>
    </row>
    <row r="188" spans="1:5" ht="15.75">
      <c r="A188" s="621" t="s">
        <v>290</v>
      </c>
      <c r="B188" s="106"/>
      <c r="C188" s="106" t="s">
        <v>280</v>
      </c>
      <c r="D188" s="106"/>
      <c r="E188" s="106"/>
    </row>
    <row r="189" spans="1:5" ht="15">
      <c r="A189" s="622"/>
      <c r="B189" s="40" t="s">
        <v>39</v>
      </c>
      <c r="C189" s="40" t="s">
        <v>40</v>
      </c>
      <c r="D189" s="40" t="s">
        <v>41</v>
      </c>
      <c r="E189" s="106"/>
    </row>
    <row r="190" spans="1:5" ht="15">
      <c r="A190" s="615" t="s">
        <v>42</v>
      </c>
      <c r="B190" s="49">
        <f>B150</f>
        <v>0.43</v>
      </c>
      <c r="C190" s="43">
        <f>C150</f>
        <v>0.06</v>
      </c>
      <c r="D190" s="43">
        <f t="shared" ref="D190:D191" si="22">D174</f>
        <v>2.58E-2</v>
      </c>
      <c r="E190" s="106"/>
    </row>
    <row r="191" spans="1:5" ht="15">
      <c r="A191" s="615" t="s">
        <v>43</v>
      </c>
      <c r="B191" s="49">
        <f>B151</f>
        <v>0.09</v>
      </c>
      <c r="C191" s="43">
        <f>C151</f>
        <v>6.0999999999999999E-2</v>
      </c>
      <c r="D191" s="43">
        <f t="shared" si="22"/>
        <v>5.4999999999999997E-3</v>
      </c>
      <c r="E191" s="106"/>
    </row>
    <row r="192" spans="1:5" ht="15.75" thickBot="1">
      <c r="A192" s="615" t="s">
        <v>44</v>
      </c>
      <c r="B192" s="49">
        <f>B152</f>
        <v>0.48</v>
      </c>
      <c r="C192" s="351">
        <f>C176</f>
        <v>0.108</v>
      </c>
      <c r="D192" s="351">
        <f>ROUND(B192*C192,5)</f>
        <v>5.1839999999999997E-2</v>
      </c>
      <c r="E192" s="106"/>
    </row>
    <row r="193" spans="1:5" ht="16.5" thickTop="1" thickBot="1">
      <c r="A193" s="106"/>
      <c r="B193" s="106"/>
      <c r="C193" s="43" t="s">
        <v>45</v>
      </c>
      <c r="D193" s="44">
        <f>SUM(D190:D192)</f>
        <v>8.3139999999999992E-2</v>
      </c>
      <c r="E193" s="106"/>
    </row>
    <row r="194" spans="1:5" ht="15.75" thickTop="1">
      <c r="A194" s="616"/>
      <c r="B194" s="41"/>
      <c r="C194" s="45" t="s">
        <v>46</v>
      </c>
      <c r="D194" s="46">
        <f>D193/12</f>
        <v>6.9283333333333324E-3</v>
      </c>
      <c r="E194" s="106"/>
    </row>
    <row r="195" spans="1:5">
      <c r="A195" s="106"/>
      <c r="B195" s="106"/>
      <c r="C195" s="106"/>
      <c r="D195" s="106"/>
      <c r="E195" s="106"/>
    </row>
    <row r="196" spans="1:5">
      <c r="A196" s="415"/>
      <c r="B196" s="415"/>
      <c r="C196" s="415"/>
      <c r="D196" s="415"/>
      <c r="E196" s="415"/>
    </row>
  </sheetData>
  <mergeCells count="13">
    <mergeCell ref="A171:D171"/>
    <mergeCell ref="A59:D59"/>
    <mergeCell ref="A5:D5"/>
    <mergeCell ref="A31:D31"/>
    <mergeCell ref="A1:D1"/>
    <mergeCell ref="A2:D2"/>
    <mergeCell ref="A3:D3"/>
    <mergeCell ref="A4:D4"/>
    <mergeCell ref="A114:D114"/>
    <mergeCell ref="A123:D123"/>
    <mergeCell ref="A94:D94"/>
    <mergeCell ref="A147:D147"/>
    <mergeCell ref="A68:D68"/>
  </mergeCells>
  <phoneticPr fontId="4" type="noConversion"/>
  <printOptions horizontalCentered="1"/>
  <pageMargins left="0.7" right="0.7" top="0.75" bottom="0.75" header="0.3" footer="0.3"/>
  <pageSetup scale="77" fitToHeight="0" orientation="portrait" cellComments="asDisplayed" r:id="rId1"/>
  <headerFooter alignWithMargins="0">
    <oddHeader>&amp;RTO9 Annual Update
Attachment 4
WP-Schedule 3-CWIPBA Model
Page &amp;P of &amp;N</oddHeader>
    <oddFooter>&amp;R&amp;A</oddFooter>
  </headerFooter>
  <rowBreaks count="3" manualBreakCount="3">
    <brk id="56" max="7" man="1"/>
    <brk id="110" max="7" man="1"/>
    <brk id="162" max="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6"/>
  </sheetPr>
  <dimension ref="A1:AX46"/>
  <sheetViews>
    <sheetView zoomScaleNormal="100" workbookViewId="0"/>
  </sheetViews>
  <sheetFormatPr defaultRowHeight="12.75" outlineLevelCol="1"/>
  <cols>
    <col min="1" max="1" width="3.85546875" bestFit="1" customWidth="1"/>
    <col min="2" max="2" width="43" bestFit="1" customWidth="1"/>
    <col min="3" max="3" width="7.42578125" customWidth="1" outlineLevel="1"/>
    <col min="4" max="4" width="8.28515625" customWidth="1" outlineLevel="1"/>
    <col min="5" max="25" width="10.28515625" customWidth="1" outlineLevel="1"/>
    <col min="26" max="26" width="10.28515625" customWidth="1"/>
    <col min="27" max="27" width="10.28515625" bestFit="1" customWidth="1" collapsed="1"/>
    <col min="28" max="35" width="10.28515625" bestFit="1" customWidth="1"/>
    <col min="36" max="36" width="10.28515625" bestFit="1" customWidth="1" collapsed="1"/>
    <col min="37" max="40" width="10.28515625" bestFit="1" customWidth="1"/>
    <col min="41" max="50" width="10.28515625" customWidth="1"/>
  </cols>
  <sheetData>
    <row r="1" spans="1:50" ht="15.75">
      <c r="A1" s="597"/>
      <c r="B1" s="597"/>
      <c r="C1" s="628" t="s">
        <v>0</v>
      </c>
      <c r="D1" s="628"/>
      <c r="E1" s="628"/>
      <c r="F1" s="628"/>
      <c r="G1" s="628"/>
      <c r="H1" s="628"/>
      <c r="I1" s="628"/>
      <c r="J1" s="628"/>
      <c r="K1" s="628"/>
      <c r="L1" s="628"/>
      <c r="M1" s="628"/>
      <c r="N1" s="628"/>
      <c r="O1" s="628" t="s">
        <v>0</v>
      </c>
      <c r="P1" s="628"/>
      <c r="Q1" s="628"/>
      <c r="R1" s="628"/>
      <c r="S1" s="628"/>
      <c r="T1" s="628"/>
      <c r="U1" s="628"/>
      <c r="V1" s="628"/>
      <c r="W1" s="628"/>
      <c r="X1" s="628"/>
      <c r="Y1" s="628"/>
      <c r="Z1" s="628"/>
      <c r="AA1" s="628" t="s">
        <v>0</v>
      </c>
      <c r="AB1" s="628"/>
      <c r="AC1" s="628"/>
      <c r="AD1" s="628"/>
      <c r="AE1" s="628"/>
      <c r="AF1" s="628"/>
      <c r="AG1" s="628"/>
      <c r="AH1" s="628"/>
      <c r="AI1" s="628"/>
      <c r="AJ1" s="628"/>
      <c r="AK1" s="628"/>
      <c r="AL1" s="628"/>
      <c r="AM1" s="628" t="s">
        <v>0</v>
      </c>
      <c r="AN1" s="628"/>
      <c r="AO1" s="628"/>
      <c r="AP1" s="628"/>
      <c r="AQ1" s="628"/>
      <c r="AR1" s="628"/>
      <c r="AS1" s="628"/>
      <c r="AT1" s="628"/>
      <c r="AU1" s="628"/>
      <c r="AV1" s="628"/>
      <c r="AW1" s="628"/>
      <c r="AX1" s="628"/>
    </row>
    <row r="2" spans="1:50" ht="15">
      <c r="A2" s="598"/>
      <c r="B2" s="598"/>
      <c r="C2" s="626" t="s">
        <v>6</v>
      </c>
      <c r="D2" s="626"/>
      <c r="E2" s="626"/>
      <c r="F2" s="626"/>
      <c r="G2" s="626"/>
      <c r="H2" s="626"/>
      <c r="I2" s="626"/>
      <c r="J2" s="626"/>
      <c r="K2" s="626"/>
      <c r="L2" s="626"/>
      <c r="M2" s="626"/>
      <c r="N2" s="626"/>
      <c r="O2" s="626" t="s">
        <v>6</v>
      </c>
      <c r="P2" s="626"/>
      <c r="Q2" s="626"/>
      <c r="R2" s="626"/>
      <c r="S2" s="626"/>
      <c r="T2" s="626"/>
      <c r="U2" s="626"/>
      <c r="V2" s="626"/>
      <c r="W2" s="626"/>
      <c r="X2" s="626"/>
      <c r="Y2" s="626"/>
      <c r="Z2" s="626"/>
      <c r="AA2" s="626" t="s">
        <v>6</v>
      </c>
      <c r="AB2" s="626"/>
      <c r="AC2" s="626"/>
      <c r="AD2" s="626"/>
      <c r="AE2" s="626"/>
      <c r="AF2" s="626"/>
      <c r="AG2" s="626"/>
      <c r="AH2" s="626"/>
      <c r="AI2" s="626"/>
      <c r="AJ2" s="626"/>
      <c r="AK2" s="626"/>
      <c r="AL2" s="626"/>
      <c r="AM2" s="626" t="s">
        <v>6</v>
      </c>
      <c r="AN2" s="626"/>
      <c r="AO2" s="626"/>
      <c r="AP2" s="626"/>
      <c r="AQ2" s="626"/>
      <c r="AR2" s="626"/>
      <c r="AS2" s="626"/>
      <c r="AT2" s="626"/>
      <c r="AU2" s="626"/>
      <c r="AV2" s="626"/>
      <c r="AW2" s="626"/>
      <c r="AX2" s="626"/>
    </row>
    <row r="3" spans="1:50" ht="15">
      <c r="A3" s="603"/>
      <c r="B3" s="603"/>
      <c r="C3" s="642" t="s">
        <v>37</v>
      </c>
      <c r="D3" s="642"/>
      <c r="E3" s="642"/>
      <c r="F3" s="642"/>
      <c r="G3" s="642"/>
      <c r="H3" s="642"/>
      <c r="I3" s="642"/>
      <c r="J3" s="642"/>
      <c r="K3" s="642"/>
      <c r="L3" s="642"/>
      <c r="M3" s="642"/>
      <c r="N3" s="642"/>
      <c r="O3" s="642" t="s">
        <v>193</v>
      </c>
      <c r="P3" s="642"/>
      <c r="Q3" s="642"/>
      <c r="R3" s="642"/>
      <c r="S3" s="642"/>
      <c r="T3" s="642"/>
      <c r="U3" s="642"/>
      <c r="V3" s="642"/>
      <c r="W3" s="642"/>
      <c r="X3" s="642"/>
      <c r="Y3" s="642"/>
      <c r="Z3" s="642"/>
      <c r="AA3" s="642" t="s">
        <v>231</v>
      </c>
      <c r="AB3" s="642"/>
      <c r="AC3" s="642"/>
      <c r="AD3" s="642"/>
      <c r="AE3" s="642"/>
      <c r="AF3" s="642"/>
      <c r="AG3" s="642"/>
      <c r="AH3" s="642"/>
      <c r="AI3" s="642"/>
      <c r="AJ3" s="642"/>
      <c r="AK3" s="642"/>
      <c r="AL3" s="642"/>
      <c r="AM3" s="642" t="s">
        <v>274</v>
      </c>
      <c r="AN3" s="642"/>
      <c r="AO3" s="642"/>
      <c r="AP3" s="642"/>
      <c r="AQ3" s="642"/>
      <c r="AR3" s="642"/>
      <c r="AS3" s="642"/>
      <c r="AT3" s="642"/>
      <c r="AU3" s="642"/>
      <c r="AV3" s="642"/>
      <c r="AW3" s="642"/>
      <c r="AX3" s="642"/>
    </row>
    <row r="4" spans="1:50">
      <c r="A4" s="596"/>
      <c r="B4" s="596"/>
      <c r="C4" s="627" t="s">
        <v>1</v>
      </c>
      <c r="D4" s="627"/>
      <c r="E4" s="627"/>
      <c r="F4" s="627"/>
      <c r="G4" s="627"/>
      <c r="H4" s="627"/>
      <c r="I4" s="627"/>
      <c r="J4" s="627"/>
      <c r="K4" s="627"/>
      <c r="L4" s="627"/>
      <c r="M4" s="627"/>
      <c r="N4" s="627"/>
      <c r="O4" s="627" t="s">
        <v>1</v>
      </c>
      <c r="P4" s="627"/>
      <c r="Q4" s="627"/>
      <c r="R4" s="627"/>
      <c r="S4" s="627"/>
      <c r="T4" s="627"/>
      <c r="U4" s="627"/>
      <c r="V4" s="627"/>
      <c r="W4" s="627"/>
      <c r="X4" s="627"/>
      <c r="Y4" s="627"/>
      <c r="Z4" s="627"/>
      <c r="AA4" s="627" t="s">
        <v>1</v>
      </c>
      <c r="AB4" s="627"/>
      <c r="AC4" s="627"/>
      <c r="AD4" s="627"/>
      <c r="AE4" s="627"/>
      <c r="AF4" s="627"/>
      <c r="AG4" s="627"/>
      <c r="AH4" s="627"/>
      <c r="AI4" s="627"/>
      <c r="AJ4" s="627"/>
      <c r="AK4" s="627"/>
      <c r="AL4" s="627"/>
      <c r="AM4" s="627" t="s">
        <v>1</v>
      </c>
      <c r="AN4" s="627"/>
      <c r="AO4" s="627"/>
      <c r="AP4" s="627"/>
      <c r="AQ4" s="627"/>
      <c r="AR4" s="627"/>
      <c r="AS4" s="627"/>
      <c r="AT4" s="627"/>
      <c r="AU4" s="627"/>
      <c r="AV4" s="627"/>
      <c r="AW4" s="627"/>
      <c r="AX4" s="627"/>
    </row>
    <row r="5" spans="1:50" ht="15.75">
      <c r="A5" s="597"/>
      <c r="B5" s="597"/>
      <c r="C5" s="628" t="s">
        <v>7</v>
      </c>
      <c r="D5" s="628"/>
      <c r="E5" s="628"/>
      <c r="F5" s="628"/>
      <c r="G5" s="628"/>
      <c r="H5" s="628"/>
      <c r="I5" s="628"/>
      <c r="J5" s="628"/>
      <c r="K5" s="628"/>
      <c r="L5" s="628"/>
      <c r="M5" s="628"/>
      <c r="N5" s="628"/>
      <c r="O5" s="628" t="s">
        <v>7</v>
      </c>
      <c r="P5" s="628"/>
      <c r="Q5" s="628"/>
      <c r="R5" s="628"/>
      <c r="S5" s="628"/>
      <c r="T5" s="628"/>
      <c r="U5" s="628"/>
      <c r="V5" s="628"/>
      <c r="W5" s="628"/>
      <c r="X5" s="628"/>
      <c r="Y5" s="628"/>
      <c r="Z5" s="628"/>
      <c r="AA5" s="628" t="s">
        <v>7</v>
      </c>
      <c r="AB5" s="628"/>
      <c r="AC5" s="628"/>
      <c r="AD5" s="628"/>
      <c r="AE5" s="628"/>
      <c r="AF5" s="628"/>
      <c r="AG5" s="628"/>
      <c r="AH5" s="628"/>
      <c r="AI5" s="628"/>
      <c r="AJ5" s="628"/>
      <c r="AK5" s="628"/>
      <c r="AL5" s="628"/>
      <c r="AM5" s="628" t="s">
        <v>7</v>
      </c>
      <c r="AN5" s="628"/>
      <c r="AO5" s="628"/>
      <c r="AP5" s="628"/>
      <c r="AQ5" s="628"/>
      <c r="AR5" s="628"/>
      <c r="AS5" s="628"/>
      <c r="AT5" s="628"/>
      <c r="AU5" s="628"/>
      <c r="AV5" s="628"/>
      <c r="AW5" s="628"/>
      <c r="AX5" s="628"/>
    </row>
    <row r="6" spans="1:50" ht="15.75">
      <c r="A6" s="6"/>
      <c r="B6" s="6"/>
      <c r="C6" s="6"/>
      <c r="D6" s="6"/>
      <c r="E6" s="6"/>
    </row>
    <row r="11" spans="1:50">
      <c r="C11" s="631">
        <v>2008</v>
      </c>
      <c r="D11" s="632"/>
      <c r="E11" s="632"/>
      <c r="F11" s="632"/>
      <c r="G11" s="632"/>
      <c r="H11" s="632"/>
      <c r="I11" s="632"/>
      <c r="J11" s="632"/>
      <c r="K11" s="632"/>
      <c r="L11" s="632"/>
      <c r="M11" s="632"/>
      <c r="N11" s="633"/>
      <c r="O11" s="631">
        <v>2009</v>
      </c>
      <c r="P11" s="632"/>
      <c r="Q11" s="632"/>
      <c r="R11" s="632"/>
      <c r="S11" s="632"/>
      <c r="T11" s="632"/>
      <c r="U11" s="632"/>
      <c r="V11" s="632"/>
      <c r="W11" s="632"/>
      <c r="X11" s="632"/>
      <c r="Y11" s="632"/>
      <c r="Z11" s="633"/>
      <c r="AA11" s="631">
        <v>2010</v>
      </c>
      <c r="AB11" s="632"/>
      <c r="AC11" s="632"/>
      <c r="AD11" s="632"/>
      <c r="AE11" s="632"/>
      <c r="AF11" s="632"/>
      <c r="AG11" s="632"/>
      <c r="AH11" s="632"/>
      <c r="AI11" s="632"/>
      <c r="AJ11" s="632"/>
      <c r="AK11" s="632"/>
      <c r="AL11" s="633"/>
      <c r="AM11" s="631">
        <v>2011</v>
      </c>
      <c r="AN11" s="632"/>
      <c r="AO11" s="632"/>
      <c r="AP11" s="632"/>
      <c r="AQ11" s="632"/>
      <c r="AR11" s="632"/>
      <c r="AS11" s="632"/>
      <c r="AT11" s="632"/>
      <c r="AU11" s="632"/>
      <c r="AV11" s="632"/>
      <c r="AW11" s="632"/>
      <c r="AX11" s="633"/>
    </row>
    <row r="12" spans="1:50" ht="24.75" customHeight="1">
      <c r="A12" s="83" t="s">
        <v>2</v>
      </c>
      <c r="C12" s="119" t="s">
        <v>100</v>
      </c>
      <c r="D12" s="119" t="s">
        <v>76</v>
      </c>
      <c r="E12" s="119" t="s">
        <v>77</v>
      </c>
      <c r="F12" s="119" t="s">
        <v>78</v>
      </c>
      <c r="G12" s="119" t="s">
        <v>75</v>
      </c>
      <c r="H12" s="119" t="s">
        <v>79</v>
      </c>
      <c r="I12" s="119" t="s">
        <v>80</v>
      </c>
      <c r="J12" s="119" t="s">
        <v>81</v>
      </c>
      <c r="K12" s="119" t="s">
        <v>82</v>
      </c>
      <c r="L12" s="119" t="s">
        <v>83</v>
      </c>
      <c r="M12" s="119" t="s">
        <v>84</v>
      </c>
      <c r="N12" s="119" t="s">
        <v>101</v>
      </c>
      <c r="O12" s="260" t="s">
        <v>100</v>
      </c>
      <c r="P12" s="260" t="s">
        <v>76</v>
      </c>
      <c r="Q12" s="260" t="s">
        <v>77</v>
      </c>
      <c r="R12" s="119" t="s">
        <v>78</v>
      </c>
      <c r="S12" s="119" t="s">
        <v>75</v>
      </c>
      <c r="T12" s="119" t="s">
        <v>79</v>
      </c>
      <c r="U12" s="119" t="s">
        <v>80</v>
      </c>
      <c r="V12" s="119" t="s">
        <v>81</v>
      </c>
      <c r="W12" s="119" t="s">
        <v>82</v>
      </c>
      <c r="X12" s="119" t="s">
        <v>83</v>
      </c>
      <c r="Y12" s="119" t="s">
        <v>84</v>
      </c>
      <c r="Z12" s="119" t="s">
        <v>101</v>
      </c>
      <c r="AA12" s="260" t="s">
        <v>100</v>
      </c>
      <c r="AB12" s="260" t="s">
        <v>76</v>
      </c>
      <c r="AC12" s="260" t="s">
        <v>77</v>
      </c>
      <c r="AD12" s="119" t="s">
        <v>78</v>
      </c>
      <c r="AE12" s="119" t="s">
        <v>75</v>
      </c>
      <c r="AF12" s="119" t="s">
        <v>79</v>
      </c>
      <c r="AG12" s="119" t="s">
        <v>80</v>
      </c>
      <c r="AH12" s="119" t="s">
        <v>81</v>
      </c>
      <c r="AI12" s="119" t="s">
        <v>82</v>
      </c>
      <c r="AJ12" s="119" t="s">
        <v>83</v>
      </c>
      <c r="AK12" s="119" t="s">
        <v>84</v>
      </c>
      <c r="AL12" s="119" t="s">
        <v>101</v>
      </c>
      <c r="AM12" s="260" t="s">
        <v>100</v>
      </c>
      <c r="AN12" s="260" t="s">
        <v>76</v>
      </c>
      <c r="AO12" s="260" t="s">
        <v>77</v>
      </c>
      <c r="AP12" s="119" t="s">
        <v>78</v>
      </c>
      <c r="AQ12" s="119" t="s">
        <v>75</v>
      </c>
      <c r="AR12" s="119" t="s">
        <v>79</v>
      </c>
      <c r="AS12" s="119" t="s">
        <v>80</v>
      </c>
      <c r="AT12" s="119" t="s">
        <v>81</v>
      </c>
      <c r="AU12" s="119" t="s">
        <v>82</v>
      </c>
      <c r="AV12" s="119" t="s">
        <v>83</v>
      </c>
      <c r="AW12" s="119" t="s">
        <v>84</v>
      </c>
      <c r="AX12" s="119" t="s">
        <v>101</v>
      </c>
    </row>
    <row r="13" spans="1:50" ht="21" customHeight="1">
      <c r="A13" s="84">
        <v>1</v>
      </c>
      <c r="B13" s="67" t="s">
        <v>67</v>
      </c>
    </row>
    <row r="14" spans="1:50">
      <c r="A14" s="84">
        <v>2</v>
      </c>
      <c r="B14" s="68" t="s">
        <v>68</v>
      </c>
    </row>
    <row r="15" spans="1:50" s="202" customFormat="1" ht="24">
      <c r="A15" s="198">
        <v>3</v>
      </c>
      <c r="B15" s="199" t="s">
        <v>171</v>
      </c>
      <c r="C15" s="200">
        <v>0</v>
      </c>
      <c r="D15" s="200">
        <v>0</v>
      </c>
      <c r="E15" s="201">
        <v>45075</v>
      </c>
      <c r="F15" s="201">
        <v>45075</v>
      </c>
      <c r="G15" s="201">
        <v>45075</v>
      </c>
      <c r="H15" s="201">
        <v>45075</v>
      </c>
      <c r="I15" s="201">
        <v>45075</v>
      </c>
      <c r="J15" s="201">
        <v>45075</v>
      </c>
      <c r="K15" s="201">
        <v>45075</v>
      </c>
      <c r="L15" s="201">
        <v>45075</v>
      </c>
      <c r="M15" s="201">
        <v>45075</v>
      </c>
      <c r="N15" s="201">
        <v>45075</v>
      </c>
      <c r="O15" s="243">
        <v>38617</v>
      </c>
      <c r="P15" s="243">
        <v>38617</v>
      </c>
      <c r="Q15" s="243">
        <v>38617</v>
      </c>
      <c r="R15" s="243">
        <v>38617</v>
      </c>
      <c r="S15" s="243">
        <v>38617</v>
      </c>
      <c r="T15" s="243">
        <v>38617</v>
      </c>
      <c r="U15" s="243">
        <v>38617</v>
      </c>
      <c r="V15" s="243">
        <v>38617</v>
      </c>
      <c r="W15" s="243">
        <v>38617</v>
      </c>
      <c r="X15" s="243">
        <v>38617</v>
      </c>
      <c r="Y15" s="243">
        <v>38617</v>
      </c>
      <c r="Z15" s="243">
        <v>38617</v>
      </c>
      <c r="AA15" s="243">
        <v>46196</v>
      </c>
      <c r="AB15" s="243">
        <v>46196</v>
      </c>
      <c r="AC15" s="243">
        <v>38617</v>
      </c>
      <c r="AD15" s="243">
        <v>38617</v>
      </c>
      <c r="AE15" s="243">
        <v>38617</v>
      </c>
      <c r="AF15" s="243">
        <v>46196</v>
      </c>
      <c r="AG15" s="243">
        <v>46196</v>
      </c>
      <c r="AH15" s="243">
        <v>46196</v>
      </c>
      <c r="AI15" s="243">
        <v>46196</v>
      </c>
      <c r="AJ15" s="243">
        <v>46196</v>
      </c>
      <c r="AK15" s="243">
        <v>46196</v>
      </c>
      <c r="AL15" s="243">
        <v>46196</v>
      </c>
      <c r="AM15" s="432">
        <v>46196</v>
      </c>
      <c r="AN15" s="432">
        <v>46196</v>
      </c>
      <c r="AO15" s="432">
        <v>145970</v>
      </c>
      <c r="AP15" s="432">
        <v>145970</v>
      </c>
      <c r="AQ15" s="432">
        <v>145970</v>
      </c>
      <c r="AR15" s="432">
        <v>145970</v>
      </c>
      <c r="AS15" s="432">
        <v>145970</v>
      </c>
      <c r="AT15" s="432">
        <v>145970</v>
      </c>
      <c r="AU15" s="432">
        <v>145970</v>
      </c>
      <c r="AV15" s="432">
        <v>145970</v>
      </c>
      <c r="AW15" s="432">
        <v>145970</v>
      </c>
      <c r="AX15" s="432">
        <v>145970</v>
      </c>
    </row>
    <row r="16" spans="1:50" s="202" customFormat="1" ht="24">
      <c r="A16" s="198">
        <v>4</v>
      </c>
      <c r="B16" s="528" t="s">
        <v>286</v>
      </c>
      <c r="C16" s="200">
        <v>0</v>
      </c>
      <c r="D16" s="200">
        <v>0</v>
      </c>
      <c r="E16" s="201">
        <v>357075</v>
      </c>
      <c r="F16" s="201">
        <v>357075</v>
      </c>
      <c r="G16" s="201">
        <v>357075</v>
      </c>
      <c r="H16" s="201">
        <v>357075</v>
      </c>
      <c r="I16" s="201">
        <v>357075</v>
      </c>
      <c r="J16" s="201">
        <v>357075</v>
      </c>
      <c r="K16" s="201">
        <v>357075</v>
      </c>
      <c r="L16" s="201">
        <v>357075</v>
      </c>
      <c r="M16" s="201">
        <v>357075</v>
      </c>
      <c r="N16" s="201">
        <v>357075</v>
      </c>
      <c r="O16" s="243">
        <v>350617</v>
      </c>
      <c r="P16" s="243">
        <v>350617</v>
      </c>
      <c r="Q16" s="243">
        <v>568312</v>
      </c>
      <c r="R16" s="243">
        <v>568312</v>
      </c>
      <c r="S16" s="243">
        <v>568312</v>
      </c>
      <c r="T16" s="243">
        <v>568312</v>
      </c>
      <c r="U16" s="243">
        <v>568312</v>
      </c>
      <c r="V16" s="243">
        <v>568312</v>
      </c>
      <c r="W16" s="243">
        <v>568312</v>
      </c>
      <c r="X16" s="243">
        <v>486617</v>
      </c>
      <c r="Y16" s="243">
        <v>486617</v>
      </c>
      <c r="Z16" s="243">
        <v>486617</v>
      </c>
      <c r="AA16" s="243">
        <v>494196</v>
      </c>
      <c r="AB16" s="243">
        <v>494196</v>
      </c>
      <c r="AC16" s="243">
        <v>593532</v>
      </c>
      <c r="AD16" s="243">
        <v>593532</v>
      </c>
      <c r="AE16" s="243">
        <v>593532</v>
      </c>
      <c r="AF16" s="243">
        <v>601111</v>
      </c>
      <c r="AG16" s="243">
        <v>601111</v>
      </c>
      <c r="AH16" s="243">
        <v>601111</v>
      </c>
      <c r="AI16" s="243">
        <v>601111</v>
      </c>
      <c r="AJ16" s="243">
        <v>601111</v>
      </c>
      <c r="AK16" s="243">
        <v>601111</v>
      </c>
      <c r="AL16" s="243">
        <v>601111</v>
      </c>
      <c r="AM16" s="432">
        <v>601111</v>
      </c>
      <c r="AN16" s="432">
        <v>601111</v>
      </c>
      <c r="AO16" s="432">
        <v>635970</v>
      </c>
      <c r="AP16" s="432">
        <v>635970</v>
      </c>
      <c r="AQ16" s="432">
        <v>635970</v>
      </c>
      <c r="AR16" s="432">
        <v>635970</v>
      </c>
      <c r="AS16" s="432">
        <v>635970</v>
      </c>
      <c r="AT16" s="432">
        <v>635970</v>
      </c>
      <c r="AU16" s="432">
        <v>635970</v>
      </c>
      <c r="AV16" s="432">
        <v>635970</v>
      </c>
      <c r="AW16" s="432">
        <v>635970</v>
      </c>
      <c r="AX16" s="432">
        <v>635970</v>
      </c>
    </row>
    <row r="17" spans="1:50" ht="15.75" customHeight="1">
      <c r="A17" s="84">
        <v>5</v>
      </c>
      <c r="B17" s="61" t="s">
        <v>170</v>
      </c>
      <c r="C17" s="7"/>
      <c r="D17" s="7"/>
      <c r="E17" s="89">
        <f>E15/E16</f>
        <v>0.12623398445704684</v>
      </c>
      <c r="F17" s="89">
        <f t="shared" ref="F17:L17" si="0">F15/F16</f>
        <v>0.12623398445704684</v>
      </c>
      <c r="G17" s="89">
        <f t="shared" si="0"/>
        <v>0.12623398445704684</v>
      </c>
      <c r="H17" s="89">
        <f t="shared" si="0"/>
        <v>0.12623398445704684</v>
      </c>
      <c r="I17" s="89">
        <v>0.12620000000000001</v>
      </c>
      <c r="J17" s="89">
        <v>0.12620000000000001</v>
      </c>
      <c r="K17" s="89">
        <v>0.12620000000000001</v>
      </c>
      <c r="L17" s="89">
        <f t="shared" si="0"/>
        <v>0.12623398445704684</v>
      </c>
      <c r="M17" s="89">
        <v>0.12620000000000001</v>
      </c>
      <c r="N17" s="89">
        <v>0.12620000000000001</v>
      </c>
      <c r="O17" s="244">
        <v>0.1101</v>
      </c>
      <c r="P17" s="244">
        <v>0.1101</v>
      </c>
      <c r="Q17" s="244">
        <v>8.4500000000000006E-2</v>
      </c>
      <c r="R17" s="244">
        <v>6.8000000000000005E-2</v>
      </c>
      <c r="S17" s="244">
        <v>6.8000000000000005E-2</v>
      </c>
      <c r="T17" s="244">
        <v>6.8000000000000005E-2</v>
      </c>
      <c r="U17" s="244">
        <v>6.8000000000000005E-2</v>
      </c>
      <c r="V17" s="244">
        <v>6.8000000000000005E-2</v>
      </c>
      <c r="W17" s="244">
        <v>6.8000000000000005E-2</v>
      </c>
      <c r="X17" s="244">
        <v>7.2700000000000001E-2</v>
      </c>
      <c r="Y17" s="244">
        <v>7.9399999999999998E-2</v>
      </c>
      <c r="Z17" s="244">
        <v>7.9399999999999998E-2</v>
      </c>
      <c r="AA17" s="244">
        <v>8.48E-2</v>
      </c>
      <c r="AB17" s="244">
        <v>9.35E-2</v>
      </c>
      <c r="AC17" s="244">
        <v>7.8E-2</v>
      </c>
      <c r="AD17" s="244">
        <v>6.5100000000000005E-2</v>
      </c>
      <c r="AE17" s="244">
        <f t="shared" ref="AE17" si="1">AE15/AE16</f>
        <v>6.5063046305843655E-2</v>
      </c>
      <c r="AF17" s="244">
        <v>7.1099999999999997E-2</v>
      </c>
      <c r="AG17" s="244">
        <v>7.6899999999999996E-2</v>
      </c>
      <c r="AH17" s="244">
        <v>7.6899999999999996E-2</v>
      </c>
      <c r="AI17" s="244">
        <v>7.6899999999999996E-2</v>
      </c>
      <c r="AJ17" s="244">
        <v>7.6899999999999996E-2</v>
      </c>
      <c r="AK17" s="244">
        <v>7.6899999999999996E-2</v>
      </c>
      <c r="AL17" s="244">
        <v>7.6899999999999996E-2</v>
      </c>
      <c r="AM17" s="244">
        <v>7.6899999999999996E-2</v>
      </c>
      <c r="AN17" s="244">
        <v>7.6899999999999996E-2</v>
      </c>
      <c r="AO17" s="244">
        <v>0.13700000000000001</v>
      </c>
      <c r="AP17" s="244">
        <v>0.22950000000000001</v>
      </c>
      <c r="AQ17" s="244">
        <v>0.22950000000000001</v>
      </c>
      <c r="AR17" s="244">
        <v>0.22950000000000001</v>
      </c>
      <c r="AS17" s="244">
        <v>0.22950000000000001</v>
      </c>
      <c r="AT17" s="244">
        <v>0.22950000000000001</v>
      </c>
      <c r="AU17" s="244">
        <v>0.22950000000000001</v>
      </c>
      <c r="AV17" s="244">
        <v>0.22950000000000001</v>
      </c>
      <c r="AW17" s="244">
        <v>0.22950000000000001</v>
      </c>
      <c r="AX17" s="244">
        <v>0.22950000000000001</v>
      </c>
    </row>
    <row r="18" spans="1:50" s="202" customFormat="1" ht="24">
      <c r="A18" s="198">
        <v>6</v>
      </c>
      <c r="B18" s="204" t="s">
        <v>172</v>
      </c>
      <c r="C18" s="200"/>
      <c r="D18" s="200"/>
      <c r="E18" s="203">
        <v>12197.2</v>
      </c>
      <c r="F18" s="203">
        <f>24745.59624+3575.0247</f>
        <v>28320.620940000001</v>
      </c>
      <c r="G18" s="203">
        <f>24945.78336+3603.94596</f>
        <v>28549.729320000002</v>
      </c>
      <c r="H18" s="203">
        <f>26393.02845+3813.03112</f>
        <v>30206.059570000001</v>
      </c>
      <c r="I18" s="203">
        <f>31444.29597+4541.39409</f>
        <v>35985.690060000001</v>
      </c>
      <c r="J18" s="203">
        <f>29284.86296+4229.51443</f>
        <v>33514.377390000001</v>
      </c>
      <c r="K18" s="203">
        <f>30267.89852+4371.49095</f>
        <v>34639.389470000002</v>
      </c>
      <c r="L18" s="203">
        <v>32089.104869999999</v>
      </c>
      <c r="M18" s="203">
        <f>22006.95773+3178.39101</f>
        <v>25185.348739999998</v>
      </c>
      <c r="N18" s="203">
        <f>27060.34451+3908.2347</f>
        <v>30968.57921</v>
      </c>
      <c r="O18" s="203">
        <f>25304.08831+3130.6665</f>
        <v>28434.754809999999</v>
      </c>
      <c r="P18" s="203">
        <f>21523.45174+2662.91947</f>
        <v>24186.371210000001</v>
      </c>
      <c r="Q18" s="203">
        <f>31874.08508+2941.95542</f>
        <v>34816.040500000003</v>
      </c>
      <c r="R18" s="203">
        <f>40119.24711+2927.15537</f>
        <v>43046.402479999997</v>
      </c>
      <c r="S18" s="203">
        <f>40637.28265+2964.95195</f>
        <v>43602.234600000003</v>
      </c>
      <c r="T18" s="203">
        <f>44357.68797+3236.39784</f>
        <v>47594.085809999997</v>
      </c>
      <c r="U18" s="203">
        <f>49269.58078+3594.77628</f>
        <v>52864.357059999995</v>
      </c>
      <c r="V18" s="203">
        <f>50085.27874+3654.29072</f>
        <v>53739.569459999999</v>
      </c>
      <c r="W18" s="203">
        <f>52079.72934+3799.80858</f>
        <v>55879.537919999995</v>
      </c>
      <c r="X18" s="203">
        <f>43607.95826+3418.84888</f>
        <v>47026.807139999997</v>
      </c>
      <c r="Y18" s="203">
        <f>32662.51038+2817.07943</f>
        <v>35479.589809999998</v>
      </c>
      <c r="Z18" s="203">
        <f>38135.23157+3289.09123</f>
        <v>41424.322800000002</v>
      </c>
      <c r="AA18" s="203">
        <f>34032.26236+3153.33899</f>
        <v>37185.601349999997</v>
      </c>
      <c r="AB18" s="203">
        <f>31487.17192+3247.71161</f>
        <v>34734.883529999999</v>
      </c>
      <c r="AC18" s="203">
        <f>41424.12455+3504.42702</f>
        <v>44928.551570000003</v>
      </c>
      <c r="AD18" s="203">
        <f>44638.60238+3108.32497</f>
        <v>47746.927349999998</v>
      </c>
      <c r="AE18" s="203">
        <f>41124.64447+2863.63713</f>
        <v>43988.281600000002</v>
      </c>
      <c r="AF18" s="203">
        <f>48082.01762+3680.30084</f>
        <v>51762.318459999995</v>
      </c>
      <c r="AG18" s="203">
        <f>50227.26352+4184.24501</f>
        <v>54411.508529999999</v>
      </c>
      <c r="AH18" s="203">
        <f>55045.40546+4585.62635</f>
        <v>59631.03181</v>
      </c>
      <c r="AI18" s="203">
        <f>53059.62982+4420.19882</f>
        <v>57479.82864</v>
      </c>
      <c r="AJ18" s="203">
        <f>49691.5688599999+4139.61829</f>
        <v>53831.187149999896</v>
      </c>
      <c r="AK18" s="203">
        <f>44675.39153+3721.73937</f>
        <v>48397.130900000004</v>
      </c>
      <c r="AL18" s="203">
        <f>48698.1066+4056.85668</f>
        <v>52754.963279999996</v>
      </c>
      <c r="AM18" s="203">
        <f>46611.14537+3882.99976</f>
        <v>50494.145129999997</v>
      </c>
      <c r="AN18" s="433">
        <f>40154.35675+3345.10891</f>
        <v>43499.465660000002</v>
      </c>
      <c r="AO18" s="433">
        <f>45599.75297+7238.89474</f>
        <v>52838.647710000005</v>
      </c>
      <c r="AP18" s="433">
        <f>38639.69507+11509.1629</f>
        <v>50148.857969999997</v>
      </c>
      <c r="AQ18" s="433">
        <f>39160.17608+11664.19261</f>
        <v>50824.368689999996</v>
      </c>
      <c r="AR18" s="433">
        <f>41471.56506+12352.65955</f>
        <v>53824.224610000005</v>
      </c>
      <c r="AS18" s="433">
        <f>43557.59731+12974.00206</f>
        <v>56531.599369999996</v>
      </c>
      <c r="AT18" s="433">
        <f>50712.86345+15105.25913</f>
        <v>65818.122579999996</v>
      </c>
      <c r="AU18" s="433">
        <f>48676.20734+14498.62373</f>
        <v>63174.83107</v>
      </c>
      <c r="AV18" s="433">
        <f>40149.56126+11958.88944</f>
        <v>52108.450700000001</v>
      </c>
      <c r="AW18" s="433">
        <f>39384.53638+11731.02025</f>
        <v>51115.556629999999</v>
      </c>
      <c r="AX18" s="433">
        <f>42020.01891+12516.02121</f>
        <v>54536.040119999998</v>
      </c>
    </row>
    <row r="19" spans="1:50" s="202" customFormat="1" ht="24">
      <c r="A19" s="198">
        <v>7</v>
      </c>
      <c r="B19" s="206" t="s">
        <v>173</v>
      </c>
      <c r="C19" s="200"/>
      <c r="D19" s="200"/>
      <c r="E19" s="209">
        <f>E18*E17</f>
        <v>1539.7011552194917</v>
      </c>
      <c r="F19" s="209">
        <f t="shared" ref="F19:N19" si="2">F18*F17</f>
        <v>3575.0248235538752</v>
      </c>
      <c r="G19" s="209">
        <f t="shared" si="2"/>
        <v>3603.9460872337745</v>
      </c>
      <c r="H19" s="209">
        <f t="shared" si="2"/>
        <v>3813.0312542680113</v>
      </c>
      <c r="I19" s="209">
        <f t="shared" si="2"/>
        <v>4541.3940855720002</v>
      </c>
      <c r="J19" s="209">
        <f t="shared" si="2"/>
        <v>4229.5144266180005</v>
      </c>
      <c r="K19" s="209">
        <f t="shared" si="2"/>
        <v>4371.4909511140004</v>
      </c>
      <c r="L19" s="209">
        <f t="shared" si="2"/>
        <v>4050.7355654001258</v>
      </c>
      <c r="M19" s="209">
        <f t="shared" si="2"/>
        <v>3178.3910109879998</v>
      </c>
      <c r="N19" s="209">
        <f t="shared" si="2"/>
        <v>3908.234696302</v>
      </c>
      <c r="O19" s="209">
        <f t="shared" ref="O19:Z19" si="3">O18*O17</f>
        <v>3130.666504581</v>
      </c>
      <c r="P19" s="209">
        <f t="shared" si="3"/>
        <v>2662.9194702210002</v>
      </c>
      <c r="Q19" s="209">
        <f t="shared" si="3"/>
        <v>2941.9554222500005</v>
      </c>
      <c r="R19" s="209">
        <f t="shared" si="3"/>
        <v>2927.1553686400002</v>
      </c>
      <c r="S19" s="209">
        <f t="shared" si="3"/>
        <v>2964.9519528000005</v>
      </c>
      <c r="T19" s="209">
        <f t="shared" si="3"/>
        <v>3236.3978350799998</v>
      </c>
      <c r="U19" s="209">
        <f t="shared" si="3"/>
        <v>3594.7762800800001</v>
      </c>
      <c r="V19" s="209">
        <f t="shared" si="3"/>
        <v>3654.2907232800003</v>
      </c>
      <c r="W19" s="209">
        <f t="shared" si="3"/>
        <v>3799.8085785600001</v>
      </c>
      <c r="X19" s="209">
        <f t="shared" si="3"/>
        <v>3418.8488790779998</v>
      </c>
      <c r="Y19" s="209">
        <f t="shared" si="3"/>
        <v>2817.0794309139997</v>
      </c>
      <c r="Z19" s="209">
        <f t="shared" si="3"/>
        <v>3289.0912303200002</v>
      </c>
      <c r="AA19" s="209">
        <f t="shared" ref="AA19:AL19" si="4">AA18*AA17</f>
        <v>3153.3389944799997</v>
      </c>
      <c r="AB19" s="209">
        <f t="shared" si="4"/>
        <v>3247.7116100549997</v>
      </c>
      <c r="AC19" s="209">
        <f t="shared" si="4"/>
        <v>3504.4270224600004</v>
      </c>
      <c r="AD19" s="209">
        <f t="shared" si="4"/>
        <v>3108.324970485</v>
      </c>
      <c r="AE19" s="209">
        <f t="shared" si="4"/>
        <v>2862.0116026552905</v>
      </c>
      <c r="AF19" s="209">
        <f t="shared" si="4"/>
        <v>3680.3008425059993</v>
      </c>
      <c r="AG19" s="209">
        <f t="shared" si="4"/>
        <v>4184.2450059570001</v>
      </c>
      <c r="AH19" s="209">
        <f t="shared" si="4"/>
        <v>4585.6263461889994</v>
      </c>
      <c r="AI19" s="209">
        <f t="shared" si="4"/>
        <v>4420.1988224159995</v>
      </c>
      <c r="AJ19" s="209">
        <f t="shared" si="4"/>
        <v>4139.6182918349914</v>
      </c>
      <c r="AK19" s="209">
        <f t="shared" si="4"/>
        <v>3721.7393662100003</v>
      </c>
      <c r="AL19" s="209">
        <f t="shared" si="4"/>
        <v>4056.8566762319997</v>
      </c>
      <c r="AM19" s="209">
        <f t="shared" ref="AM19:AX19" si="5">AM18*AM17</f>
        <v>3882.9997604969994</v>
      </c>
      <c r="AN19" s="209">
        <f t="shared" si="5"/>
        <v>3345.1089092540001</v>
      </c>
      <c r="AO19" s="209">
        <f>AO18*AO17</f>
        <v>7238.894736270001</v>
      </c>
      <c r="AP19" s="209">
        <f>AP18*AP17</f>
        <v>11509.162904114999</v>
      </c>
      <c r="AQ19" s="209">
        <f>AQ18*AQ17</f>
        <v>11664.192614354999</v>
      </c>
      <c r="AR19" s="209">
        <f t="shared" si="5"/>
        <v>12352.659547995001</v>
      </c>
      <c r="AS19" s="209">
        <f t="shared" si="5"/>
        <v>12974.002055415</v>
      </c>
      <c r="AT19" s="209">
        <f t="shared" si="5"/>
        <v>15105.259132109999</v>
      </c>
      <c r="AU19" s="209">
        <f t="shared" si="5"/>
        <v>14498.623730565001</v>
      </c>
      <c r="AV19" s="209">
        <f t="shared" si="5"/>
        <v>11958.88943565</v>
      </c>
      <c r="AW19" s="209">
        <f t="shared" si="5"/>
        <v>11731.020246585</v>
      </c>
      <c r="AX19" s="209">
        <f t="shared" si="5"/>
        <v>12516.02120754</v>
      </c>
    </row>
    <row r="20" spans="1:50">
      <c r="A20" s="84">
        <v>8</v>
      </c>
      <c r="B20" s="63" t="s">
        <v>158</v>
      </c>
      <c r="C20" s="7"/>
      <c r="D20" s="7"/>
      <c r="E20" s="165">
        <f t="shared" ref="E20:N20" si="6">0.00893+0.00225</f>
        <v>1.1180000000000001E-2</v>
      </c>
      <c r="F20" s="165">
        <f t="shared" si="6"/>
        <v>1.1180000000000001E-2</v>
      </c>
      <c r="G20" s="165">
        <f t="shared" si="6"/>
        <v>1.1180000000000001E-2</v>
      </c>
      <c r="H20" s="165">
        <f t="shared" si="6"/>
        <v>1.1180000000000001E-2</v>
      </c>
      <c r="I20" s="165">
        <f t="shared" si="6"/>
        <v>1.1180000000000001E-2</v>
      </c>
      <c r="J20" s="165">
        <f t="shared" si="6"/>
        <v>1.1180000000000001E-2</v>
      </c>
      <c r="K20" s="165">
        <f t="shared" si="6"/>
        <v>1.1180000000000001E-2</v>
      </c>
      <c r="L20" s="165">
        <f t="shared" si="6"/>
        <v>1.1180000000000001E-2</v>
      </c>
      <c r="M20" s="165">
        <f t="shared" si="6"/>
        <v>1.1180000000000001E-2</v>
      </c>
      <c r="N20" s="165">
        <f t="shared" si="6"/>
        <v>1.1180000000000001E-2</v>
      </c>
      <c r="O20" s="261">
        <f>0.009056+0.0024</f>
        <v>1.1455999999999999E-2</v>
      </c>
      <c r="P20" s="261">
        <f t="shared" ref="P20:AX20" si="7">0.009056+0.0024</f>
        <v>1.1455999999999999E-2</v>
      </c>
      <c r="Q20" s="261">
        <f t="shared" si="7"/>
        <v>1.1455999999999999E-2</v>
      </c>
      <c r="R20" s="261">
        <f t="shared" si="7"/>
        <v>1.1455999999999999E-2</v>
      </c>
      <c r="S20" s="261">
        <f t="shared" si="7"/>
        <v>1.1455999999999999E-2</v>
      </c>
      <c r="T20" s="261">
        <f t="shared" si="7"/>
        <v>1.1455999999999999E-2</v>
      </c>
      <c r="U20" s="261">
        <f t="shared" si="7"/>
        <v>1.1455999999999999E-2</v>
      </c>
      <c r="V20" s="261">
        <f t="shared" si="7"/>
        <v>1.1455999999999999E-2</v>
      </c>
      <c r="W20" s="261">
        <f t="shared" si="7"/>
        <v>1.1455999999999999E-2</v>
      </c>
      <c r="X20" s="261">
        <f t="shared" si="7"/>
        <v>1.1455999999999999E-2</v>
      </c>
      <c r="Y20" s="261">
        <f t="shared" si="7"/>
        <v>1.1455999999999999E-2</v>
      </c>
      <c r="Z20" s="261">
        <f t="shared" si="7"/>
        <v>1.1455999999999999E-2</v>
      </c>
      <c r="AA20" s="261">
        <f>0.009056+0.0024</f>
        <v>1.1455999999999999E-2</v>
      </c>
      <c r="AB20" s="261">
        <f t="shared" si="7"/>
        <v>1.1455999999999999E-2</v>
      </c>
      <c r="AC20" s="261">
        <f t="shared" si="7"/>
        <v>1.1455999999999999E-2</v>
      </c>
      <c r="AD20" s="261">
        <f t="shared" si="7"/>
        <v>1.1455999999999999E-2</v>
      </c>
      <c r="AE20" s="261">
        <f t="shared" si="7"/>
        <v>1.1455999999999999E-2</v>
      </c>
      <c r="AF20" s="261">
        <f t="shared" si="7"/>
        <v>1.1455999999999999E-2</v>
      </c>
      <c r="AG20" s="261">
        <f t="shared" si="7"/>
        <v>1.1455999999999999E-2</v>
      </c>
      <c r="AH20" s="261">
        <f t="shared" si="7"/>
        <v>1.1455999999999999E-2</v>
      </c>
      <c r="AI20" s="261">
        <f t="shared" si="7"/>
        <v>1.1455999999999999E-2</v>
      </c>
      <c r="AJ20" s="261">
        <f t="shared" si="7"/>
        <v>1.1455999999999999E-2</v>
      </c>
      <c r="AK20" s="261">
        <f t="shared" si="7"/>
        <v>1.1455999999999999E-2</v>
      </c>
      <c r="AL20" s="261">
        <f t="shared" si="7"/>
        <v>1.1455999999999999E-2</v>
      </c>
      <c r="AM20" s="261">
        <f>0.009056+0.0024</f>
        <v>1.1455999999999999E-2</v>
      </c>
      <c r="AN20" s="261">
        <f t="shared" si="7"/>
        <v>1.1455999999999999E-2</v>
      </c>
      <c r="AO20" s="261">
        <f t="shared" si="7"/>
        <v>1.1455999999999999E-2</v>
      </c>
      <c r="AP20" s="261">
        <f t="shared" si="7"/>
        <v>1.1455999999999999E-2</v>
      </c>
      <c r="AQ20" s="261">
        <f>0.009056+0.0024</f>
        <v>1.1455999999999999E-2</v>
      </c>
      <c r="AR20" s="261">
        <f t="shared" si="7"/>
        <v>1.1455999999999999E-2</v>
      </c>
      <c r="AS20" s="261">
        <f t="shared" si="7"/>
        <v>1.1455999999999999E-2</v>
      </c>
      <c r="AT20" s="261">
        <f t="shared" si="7"/>
        <v>1.1455999999999999E-2</v>
      </c>
      <c r="AU20" s="261">
        <f t="shared" si="7"/>
        <v>1.1455999999999999E-2</v>
      </c>
      <c r="AV20" s="261">
        <f t="shared" si="7"/>
        <v>1.1455999999999999E-2</v>
      </c>
      <c r="AW20" s="261">
        <f t="shared" si="7"/>
        <v>1.1455999999999999E-2</v>
      </c>
      <c r="AX20" s="261">
        <f t="shared" si="7"/>
        <v>1.1455999999999999E-2</v>
      </c>
    </row>
    <row r="21" spans="1:50">
      <c r="A21" s="84">
        <v>9</v>
      </c>
      <c r="B21" s="163" t="s">
        <v>159</v>
      </c>
      <c r="C21" s="7"/>
      <c r="D21" s="7"/>
      <c r="E21" s="166">
        <f>1-E20</f>
        <v>0.98882000000000003</v>
      </c>
      <c r="F21" s="166">
        <f t="shared" ref="F21:N21" si="8">1-F20</f>
        <v>0.98882000000000003</v>
      </c>
      <c r="G21" s="166">
        <f t="shared" si="8"/>
        <v>0.98882000000000003</v>
      </c>
      <c r="H21" s="166">
        <f t="shared" si="8"/>
        <v>0.98882000000000003</v>
      </c>
      <c r="I21" s="166">
        <f t="shared" si="8"/>
        <v>0.98882000000000003</v>
      </c>
      <c r="J21" s="166">
        <f t="shared" si="8"/>
        <v>0.98882000000000003</v>
      </c>
      <c r="K21" s="166">
        <f t="shared" si="8"/>
        <v>0.98882000000000003</v>
      </c>
      <c r="L21" s="166">
        <f t="shared" si="8"/>
        <v>0.98882000000000003</v>
      </c>
      <c r="M21" s="166">
        <f t="shared" si="8"/>
        <v>0.98882000000000003</v>
      </c>
      <c r="N21" s="166">
        <f t="shared" si="8"/>
        <v>0.98882000000000003</v>
      </c>
      <c r="O21" s="166">
        <f t="shared" ref="O21:Z21" si="9">1-O20</f>
        <v>0.98854399999999998</v>
      </c>
      <c r="P21" s="166">
        <f t="shared" si="9"/>
        <v>0.98854399999999998</v>
      </c>
      <c r="Q21" s="166">
        <f t="shared" si="9"/>
        <v>0.98854399999999998</v>
      </c>
      <c r="R21" s="166">
        <f t="shared" si="9"/>
        <v>0.98854399999999998</v>
      </c>
      <c r="S21" s="166">
        <f t="shared" si="9"/>
        <v>0.98854399999999998</v>
      </c>
      <c r="T21" s="166">
        <f t="shared" si="9"/>
        <v>0.98854399999999998</v>
      </c>
      <c r="U21" s="166">
        <f t="shared" si="9"/>
        <v>0.98854399999999998</v>
      </c>
      <c r="V21" s="166">
        <f t="shared" si="9"/>
        <v>0.98854399999999998</v>
      </c>
      <c r="W21" s="166">
        <f t="shared" si="9"/>
        <v>0.98854399999999998</v>
      </c>
      <c r="X21" s="166">
        <f t="shared" si="9"/>
        <v>0.98854399999999998</v>
      </c>
      <c r="Y21" s="166">
        <f t="shared" si="9"/>
        <v>0.98854399999999998</v>
      </c>
      <c r="Z21" s="166">
        <f t="shared" si="9"/>
        <v>0.98854399999999998</v>
      </c>
      <c r="AA21" s="166">
        <f t="shared" ref="AA21:AL21" si="10">1-AA20</f>
        <v>0.98854399999999998</v>
      </c>
      <c r="AB21" s="166">
        <f t="shared" si="10"/>
        <v>0.98854399999999998</v>
      </c>
      <c r="AC21" s="166">
        <f t="shared" si="10"/>
        <v>0.98854399999999998</v>
      </c>
      <c r="AD21" s="166">
        <f t="shared" si="10"/>
        <v>0.98854399999999998</v>
      </c>
      <c r="AE21" s="166">
        <f t="shared" si="10"/>
        <v>0.98854399999999998</v>
      </c>
      <c r="AF21" s="166">
        <f t="shared" si="10"/>
        <v>0.98854399999999998</v>
      </c>
      <c r="AG21" s="166">
        <f t="shared" si="10"/>
        <v>0.98854399999999998</v>
      </c>
      <c r="AH21" s="166">
        <f t="shared" si="10"/>
        <v>0.98854399999999998</v>
      </c>
      <c r="AI21" s="166">
        <f t="shared" si="10"/>
        <v>0.98854399999999998</v>
      </c>
      <c r="AJ21" s="166">
        <f t="shared" si="10"/>
        <v>0.98854399999999998</v>
      </c>
      <c r="AK21" s="166">
        <f t="shared" si="10"/>
        <v>0.98854399999999998</v>
      </c>
      <c r="AL21" s="166">
        <f t="shared" si="10"/>
        <v>0.98854399999999998</v>
      </c>
      <c r="AM21" s="166">
        <f t="shared" ref="AM21:AX21" si="11">1-AM20</f>
        <v>0.98854399999999998</v>
      </c>
      <c r="AN21" s="166">
        <f t="shared" si="11"/>
        <v>0.98854399999999998</v>
      </c>
      <c r="AO21" s="166">
        <f t="shared" si="11"/>
        <v>0.98854399999999998</v>
      </c>
      <c r="AP21" s="166">
        <f t="shared" si="11"/>
        <v>0.98854399999999998</v>
      </c>
      <c r="AQ21" s="166">
        <f t="shared" si="11"/>
        <v>0.98854399999999998</v>
      </c>
      <c r="AR21" s="166">
        <f t="shared" si="11"/>
        <v>0.98854399999999998</v>
      </c>
      <c r="AS21" s="166">
        <f t="shared" si="11"/>
        <v>0.98854399999999998</v>
      </c>
      <c r="AT21" s="166">
        <f t="shared" si="11"/>
        <v>0.98854399999999998</v>
      </c>
      <c r="AU21" s="166">
        <f t="shared" si="11"/>
        <v>0.98854399999999998</v>
      </c>
      <c r="AV21" s="166">
        <f t="shared" si="11"/>
        <v>0.98854399999999998</v>
      </c>
      <c r="AW21" s="166">
        <f t="shared" si="11"/>
        <v>0.98854399999999998</v>
      </c>
      <c r="AX21" s="166">
        <f t="shared" si="11"/>
        <v>0.98854399999999998</v>
      </c>
    </row>
    <row r="22" spans="1:50" s="192" customFormat="1" ht="47.25" customHeight="1" thickBot="1">
      <c r="A22" s="207">
        <v>10</v>
      </c>
      <c r="B22" s="208" t="s">
        <v>320</v>
      </c>
      <c r="C22" s="205">
        <v>0</v>
      </c>
      <c r="D22" s="205">
        <v>0</v>
      </c>
      <c r="E22" s="210">
        <f>E19*E21</f>
        <v>1522.4872963041378</v>
      </c>
      <c r="F22" s="210">
        <f t="shared" ref="F22:N22" si="12">F19*F21</f>
        <v>3535.0560460265428</v>
      </c>
      <c r="G22" s="210">
        <f t="shared" si="12"/>
        <v>3563.6539699785012</v>
      </c>
      <c r="H22" s="210">
        <f t="shared" si="12"/>
        <v>3770.4015648452951</v>
      </c>
      <c r="I22" s="210">
        <f t="shared" si="12"/>
        <v>4490.6212996953054</v>
      </c>
      <c r="J22" s="210">
        <f t="shared" si="12"/>
        <v>4182.2284553284117</v>
      </c>
      <c r="K22" s="210">
        <f t="shared" si="12"/>
        <v>4322.6176822805464</v>
      </c>
      <c r="L22" s="210">
        <f t="shared" si="12"/>
        <v>4005.4483417789525</v>
      </c>
      <c r="M22" s="210">
        <f t="shared" si="12"/>
        <v>3142.8565994851542</v>
      </c>
      <c r="N22" s="210">
        <f t="shared" si="12"/>
        <v>3864.5406323973439</v>
      </c>
      <c r="O22" s="210">
        <f t="shared" ref="O22:Z22" si="13">O19*O21</f>
        <v>3094.8015891045202</v>
      </c>
      <c r="P22" s="210">
        <f t="shared" si="13"/>
        <v>2632.4130647701486</v>
      </c>
      <c r="Q22" s="210">
        <f t="shared" si="13"/>
        <v>2908.2523809327045</v>
      </c>
      <c r="R22" s="210">
        <f t="shared" si="13"/>
        <v>2893.6218767368605</v>
      </c>
      <c r="S22" s="210">
        <f t="shared" si="13"/>
        <v>2930.9854632287238</v>
      </c>
      <c r="T22" s="210">
        <f t="shared" si="13"/>
        <v>3199.3216614813232</v>
      </c>
      <c r="U22" s="210">
        <f t="shared" si="13"/>
        <v>3553.5945230154034</v>
      </c>
      <c r="V22" s="210">
        <f t="shared" si="13"/>
        <v>3612.4271687541045</v>
      </c>
      <c r="W22" s="210">
        <f t="shared" si="13"/>
        <v>3756.2779714840167</v>
      </c>
      <c r="X22" s="210">
        <f t="shared" si="13"/>
        <v>3379.6825463192822</v>
      </c>
      <c r="Y22" s="210">
        <f t="shared" si="13"/>
        <v>2784.8069689534486</v>
      </c>
      <c r="Z22" s="210">
        <f t="shared" si="13"/>
        <v>3251.4114011854545</v>
      </c>
      <c r="AA22" s="210">
        <f t="shared" ref="AA22:AL22" si="14">AA19*AA21</f>
        <v>3117.2143429592365</v>
      </c>
      <c r="AB22" s="210">
        <f t="shared" si="14"/>
        <v>3210.5058258502095</v>
      </c>
      <c r="AC22" s="210">
        <f t="shared" si="14"/>
        <v>3464.2803064906984</v>
      </c>
      <c r="AD22" s="210">
        <f t="shared" si="14"/>
        <v>3072.7159996231239</v>
      </c>
      <c r="AE22" s="210">
        <f t="shared" si="14"/>
        <v>2829.2243977352714</v>
      </c>
      <c r="AF22" s="210">
        <f t="shared" si="14"/>
        <v>3638.1393160542507</v>
      </c>
      <c r="AG22" s="210">
        <f t="shared" si="14"/>
        <v>4136.310295168757</v>
      </c>
      <c r="AH22" s="210">
        <f t="shared" si="14"/>
        <v>4533.0934107670582</v>
      </c>
      <c r="AI22" s="210">
        <f t="shared" si="14"/>
        <v>4369.5610247064014</v>
      </c>
      <c r="AJ22" s="210">
        <f t="shared" si="14"/>
        <v>4092.1948246837296</v>
      </c>
      <c r="AK22" s="210">
        <f t="shared" si="14"/>
        <v>3679.1031200306984</v>
      </c>
      <c r="AL22" s="210">
        <f t="shared" si="14"/>
        <v>4010.3813261490859</v>
      </c>
      <c r="AM22" s="210">
        <f t="shared" ref="AM22:AX22" si="15">AM19*AM21</f>
        <v>3838.5161152407459</v>
      </c>
      <c r="AN22" s="210">
        <f t="shared" si="15"/>
        <v>3306.787341589586</v>
      </c>
      <c r="AO22" s="210">
        <f>AO19*AO21</f>
        <v>7155.9659581712913</v>
      </c>
      <c r="AP22" s="210">
        <f>AP19*AP21</f>
        <v>11377.313933885458</v>
      </c>
      <c r="AQ22" s="210">
        <f>AQ19*AQ21</f>
        <v>11530.567623764948</v>
      </c>
      <c r="AR22" s="210">
        <f t="shared" si="15"/>
        <v>12211.147480213171</v>
      </c>
      <c r="AS22" s="210">
        <f t="shared" si="15"/>
        <v>12825.371887868165</v>
      </c>
      <c r="AT22" s="210">
        <f t="shared" si="15"/>
        <v>14932.213283492547</v>
      </c>
      <c r="AU22" s="210">
        <f t="shared" si="15"/>
        <v>14332.527497107649</v>
      </c>
      <c r="AV22" s="210">
        <f t="shared" si="15"/>
        <v>11821.888398275194</v>
      </c>
      <c r="AW22" s="210">
        <f>(AW19*AW21)-5296.7535+64.86</f>
        <v>6364.7361786401216</v>
      </c>
      <c r="AX22" s="210">
        <f t="shared" si="15"/>
        <v>12372.637668586422</v>
      </c>
    </row>
    <row r="23" spans="1:50" ht="13.5" thickTop="1">
      <c r="A23" s="82"/>
    </row>
    <row r="24" spans="1:50">
      <c r="A24" s="82"/>
    </row>
    <row r="25" spans="1:50">
      <c r="A25" s="82"/>
    </row>
    <row r="26" spans="1:50">
      <c r="A26" s="82"/>
    </row>
    <row r="27" spans="1:50">
      <c r="A27" s="82"/>
    </row>
    <row r="28" spans="1:50">
      <c r="A28" s="82"/>
      <c r="AA28" s="244"/>
    </row>
    <row r="29" spans="1:50">
      <c r="A29" s="82"/>
    </row>
    <row r="30" spans="1:50">
      <c r="A30" s="82"/>
    </row>
    <row r="31" spans="1:50">
      <c r="A31" s="82"/>
    </row>
    <row r="32" spans="1:50">
      <c r="A32" s="82"/>
    </row>
    <row r="33" spans="1:1">
      <c r="A33" s="82"/>
    </row>
    <row r="34" spans="1:1">
      <c r="A34" s="82"/>
    </row>
    <row r="35" spans="1:1">
      <c r="A35" s="82"/>
    </row>
    <row r="36" spans="1:1">
      <c r="A36" s="82"/>
    </row>
    <row r="37" spans="1:1">
      <c r="A37" s="82"/>
    </row>
    <row r="38" spans="1:1">
      <c r="A38" s="82"/>
    </row>
    <row r="39" spans="1:1">
      <c r="A39" s="82"/>
    </row>
    <row r="40" spans="1:1">
      <c r="A40" s="82"/>
    </row>
    <row r="41" spans="1:1">
      <c r="A41" s="82"/>
    </row>
    <row r="42" spans="1:1">
      <c r="A42" s="82"/>
    </row>
    <row r="43" spans="1:1">
      <c r="A43" s="82"/>
    </row>
    <row r="44" spans="1:1">
      <c r="A44" s="82"/>
    </row>
    <row r="45" spans="1:1">
      <c r="A45" s="82"/>
    </row>
    <row r="46" spans="1:1">
      <c r="A46" s="82"/>
    </row>
  </sheetData>
  <mergeCells count="24">
    <mergeCell ref="AM11:AX11"/>
    <mergeCell ref="AA11:AL11"/>
    <mergeCell ref="O11:Z11"/>
    <mergeCell ref="C11:N11"/>
    <mergeCell ref="C1:N1"/>
    <mergeCell ref="C2:N2"/>
    <mergeCell ref="C3:N3"/>
    <mergeCell ref="C4:N4"/>
    <mergeCell ref="C5:N5"/>
    <mergeCell ref="O1:Z1"/>
    <mergeCell ref="O2:Z2"/>
    <mergeCell ref="O3:Z3"/>
    <mergeCell ref="O4:Z4"/>
    <mergeCell ref="O5:Z5"/>
    <mergeCell ref="AA1:AL1"/>
    <mergeCell ref="AA2:AL2"/>
    <mergeCell ref="AA3:AL3"/>
    <mergeCell ref="AA4:AL4"/>
    <mergeCell ref="AA5:AL5"/>
    <mergeCell ref="AM1:AX1"/>
    <mergeCell ref="AM2:AX2"/>
    <mergeCell ref="AM3:AX3"/>
    <mergeCell ref="AM4:AX4"/>
    <mergeCell ref="AM5:AX5"/>
  </mergeCells>
  <phoneticPr fontId="4" type="noConversion"/>
  <printOptions horizontalCentered="1"/>
  <pageMargins left="0.47" right="0.28000000000000003" top="1" bottom="1" header="0.5" footer="0.5"/>
  <pageSetup scale="78" orientation="landscape" cellComments="asDisplayed" r:id="rId1"/>
  <headerFooter alignWithMargins="0">
    <oddHeader>&amp;RTO9 Annual Update
Attachment 4
WP-Schedule 3-CWIPBA Model
Page &amp;P of &amp;N</oddHeader>
    <oddFooter>&amp;R&amp;A</oddFooter>
  </headerFooter>
  <colBreaks count="3" manualBreakCount="3">
    <brk id="14" max="21" man="1"/>
    <brk id="26" max="21" man="1"/>
    <brk id="38" max="21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zoomScaleNormal="100" zoomScaleSheetLayoutView="70" workbookViewId="0">
      <selection sqref="A1:L1"/>
    </sheetView>
  </sheetViews>
  <sheetFormatPr defaultRowHeight="12.75"/>
  <cols>
    <col min="1" max="1" width="5.42578125" customWidth="1"/>
    <col min="2" max="2" width="31.140625" customWidth="1"/>
    <col min="3" max="5" width="13.7109375" bestFit="1" customWidth="1"/>
    <col min="6" max="6" width="14.28515625" customWidth="1"/>
    <col min="7" max="7" width="15.42578125" customWidth="1"/>
    <col min="8" max="8" width="13.85546875" customWidth="1"/>
    <col min="9" max="9" width="15.140625" customWidth="1"/>
    <col min="10" max="10" width="14.7109375" customWidth="1"/>
    <col min="11" max="12" width="14.28515625" customWidth="1"/>
  </cols>
  <sheetData>
    <row r="1" spans="1:12" ht="15.75">
      <c r="A1" s="628" t="s">
        <v>0</v>
      </c>
      <c r="B1" s="628"/>
      <c r="C1" s="628"/>
      <c r="D1" s="628"/>
      <c r="E1" s="628"/>
      <c r="F1" s="628"/>
      <c r="G1" s="628"/>
      <c r="H1" s="628"/>
      <c r="I1" s="628"/>
      <c r="J1" s="628"/>
      <c r="K1" s="628"/>
      <c r="L1" s="628"/>
    </row>
    <row r="2" spans="1:12" ht="15">
      <c r="A2" s="626" t="s">
        <v>24</v>
      </c>
      <c r="B2" s="626"/>
      <c r="C2" s="626"/>
      <c r="D2" s="626"/>
      <c r="E2" s="626"/>
      <c r="F2" s="626"/>
      <c r="G2" s="626"/>
      <c r="H2" s="626"/>
      <c r="I2" s="626"/>
      <c r="J2" s="626"/>
      <c r="K2" s="626"/>
      <c r="L2" s="626"/>
    </row>
    <row r="3" spans="1:12" ht="15">
      <c r="A3" s="626" t="s">
        <v>25</v>
      </c>
      <c r="B3" s="626"/>
      <c r="C3" s="626"/>
      <c r="D3" s="626"/>
      <c r="E3" s="626"/>
      <c r="F3" s="626"/>
      <c r="G3" s="626"/>
      <c r="H3" s="626"/>
      <c r="I3" s="626"/>
      <c r="J3" s="626"/>
      <c r="K3" s="626"/>
      <c r="L3" s="626"/>
    </row>
    <row r="4" spans="1:12" ht="15.75">
      <c r="A4" s="729" t="s">
        <v>37</v>
      </c>
      <c r="B4" s="730"/>
      <c r="C4" s="730"/>
      <c r="D4" s="730"/>
      <c r="E4" s="730"/>
    </row>
    <row r="5" spans="1:12" ht="20.25">
      <c r="A5" s="728" t="s">
        <v>99</v>
      </c>
      <c r="B5" s="728"/>
      <c r="C5" s="728"/>
      <c r="D5" s="728"/>
      <c r="E5" s="728"/>
    </row>
    <row r="6" spans="1:12" ht="16.5" thickBot="1">
      <c r="A6" s="17"/>
      <c r="B6" s="18"/>
      <c r="C6" s="2"/>
      <c r="D6" s="2"/>
      <c r="E6" s="2"/>
    </row>
    <row r="7" spans="1:12" ht="26.25" thickBot="1">
      <c r="A7" s="19" t="s">
        <v>2</v>
      </c>
      <c r="B7" s="20"/>
      <c r="C7" s="21" t="s">
        <v>3</v>
      </c>
      <c r="D7" s="22" t="s">
        <v>4</v>
      </c>
      <c r="E7" s="23" t="s">
        <v>26</v>
      </c>
    </row>
    <row r="10" spans="1:12" ht="15.75">
      <c r="A10" s="84">
        <v>1</v>
      </c>
      <c r="B10" s="24" t="s">
        <v>27</v>
      </c>
      <c r="C10" s="25"/>
      <c r="D10" s="2"/>
      <c r="E10" s="2"/>
    </row>
    <row r="11" spans="1:12" ht="15.75">
      <c r="A11" s="84">
        <v>2</v>
      </c>
      <c r="B11" s="26" t="s">
        <v>28</v>
      </c>
      <c r="C11" s="25"/>
      <c r="D11" s="2"/>
      <c r="E11" s="2"/>
    </row>
    <row r="12" spans="1:12" ht="15">
      <c r="A12" s="84">
        <v>3</v>
      </c>
      <c r="B12" s="27" t="s">
        <v>29</v>
      </c>
      <c r="C12" s="28">
        <v>4.0920000000000002E-3</v>
      </c>
      <c r="D12" s="29">
        <f>+E12</f>
        <v>4.0920000000000002E-3</v>
      </c>
      <c r="E12" s="29">
        <f>+C12</f>
        <v>4.0920000000000002E-3</v>
      </c>
    </row>
    <row r="13" spans="1:12" ht="15">
      <c r="A13" s="84">
        <v>4</v>
      </c>
      <c r="B13" s="10" t="s">
        <v>30</v>
      </c>
      <c r="C13" s="30">
        <v>2.5339999999999998E-3</v>
      </c>
      <c r="D13" s="31">
        <f>+E13</f>
        <v>2.5339999999999998E-3</v>
      </c>
      <c r="E13" s="31">
        <f>+C13</f>
        <v>2.5339999999999998E-3</v>
      </c>
    </row>
    <row r="14" spans="1:12" ht="15">
      <c r="A14" s="84">
        <v>5</v>
      </c>
      <c r="B14" s="32" t="s">
        <v>31</v>
      </c>
      <c r="C14" s="33">
        <f>SUM(C12:C13)</f>
        <v>6.6259999999999999E-3</v>
      </c>
      <c r="D14" s="33">
        <f>SUM(D12:D13)</f>
        <v>6.6259999999999999E-3</v>
      </c>
      <c r="E14" s="33">
        <f>SUM(E12:E13)</f>
        <v>6.6259999999999999E-3</v>
      </c>
    </row>
    <row r="15" spans="1:12" ht="15">
      <c r="A15" s="84">
        <v>6</v>
      </c>
      <c r="B15" s="26" t="s">
        <v>32</v>
      </c>
      <c r="C15" s="28">
        <v>7.9347000000000001E-2</v>
      </c>
      <c r="D15" s="29">
        <f>+E15</f>
        <v>7.9347000000000001E-2</v>
      </c>
      <c r="E15" s="29">
        <f>+C15</f>
        <v>7.9347000000000001E-2</v>
      </c>
    </row>
    <row r="16" spans="1:12" ht="15">
      <c r="A16" s="84">
        <v>7</v>
      </c>
      <c r="B16" s="26" t="s">
        <v>33</v>
      </c>
      <c r="C16" s="34">
        <f>C14+C15</f>
        <v>8.5972999999999994E-2</v>
      </c>
      <c r="D16" s="34">
        <f>D14+D15</f>
        <v>8.5972999999999994E-2</v>
      </c>
      <c r="E16" s="34">
        <f>E14+E15</f>
        <v>8.5972999999999994E-2</v>
      </c>
    </row>
    <row r="17" spans="1:5" ht="15">
      <c r="A17" s="84">
        <v>8</v>
      </c>
      <c r="B17" s="35" t="s">
        <v>34</v>
      </c>
      <c r="C17" s="36">
        <v>0.35</v>
      </c>
      <c r="D17" s="36">
        <v>0.35</v>
      </c>
      <c r="E17" s="36">
        <v>0.35</v>
      </c>
    </row>
    <row r="18" spans="1:5" ht="15">
      <c r="A18" s="84">
        <v>9</v>
      </c>
      <c r="B18" s="32" t="s">
        <v>35</v>
      </c>
      <c r="C18" s="37">
        <v>-3.0089999999999999E-2</v>
      </c>
      <c r="D18" s="37">
        <v>-3.0089999999999999E-2</v>
      </c>
      <c r="E18" s="37">
        <v>-3.0089999999999999E-2</v>
      </c>
    </row>
    <row r="19" spans="1:5" ht="15">
      <c r="A19" s="84">
        <v>10</v>
      </c>
      <c r="B19" s="32" t="s">
        <v>36</v>
      </c>
      <c r="C19" s="34">
        <f>SUM(C16:C18)</f>
        <v>0.40588299999999994</v>
      </c>
      <c r="D19" s="34">
        <f>SUM(D16:D18)</f>
        <v>0.40588299999999994</v>
      </c>
      <c r="E19" s="34">
        <f>SUM(E16:E18)</f>
        <v>0.40588299999999994</v>
      </c>
    </row>
    <row r="21" spans="1:5" ht="15.75">
      <c r="A21" s="729" t="s">
        <v>193</v>
      </c>
      <c r="B21" s="730"/>
      <c r="C21" s="730"/>
      <c r="D21" s="730"/>
      <c r="E21" s="730"/>
    </row>
    <row r="22" spans="1:5" ht="20.25">
      <c r="A22" s="728" t="s">
        <v>99</v>
      </c>
      <c r="B22" s="728"/>
      <c r="C22" s="728"/>
      <c r="D22" s="728"/>
      <c r="E22" s="728"/>
    </row>
    <row r="23" spans="1:5" ht="16.5" thickBot="1">
      <c r="A23" s="17"/>
      <c r="B23" s="18"/>
      <c r="C23" s="2"/>
      <c r="D23" s="2"/>
      <c r="E23" s="2"/>
    </row>
    <row r="24" spans="1:5" ht="26.25" thickBot="1">
      <c r="A24" s="19" t="s">
        <v>2</v>
      </c>
      <c r="B24" s="20"/>
      <c r="C24" s="21" t="s">
        <v>3</v>
      </c>
      <c r="D24" s="22" t="s">
        <v>4</v>
      </c>
      <c r="E24" s="23" t="s">
        <v>26</v>
      </c>
    </row>
    <row r="27" spans="1:5" ht="15.75">
      <c r="A27" s="84">
        <v>1</v>
      </c>
      <c r="B27" s="24" t="s">
        <v>27</v>
      </c>
      <c r="C27" s="25"/>
      <c r="D27" s="2"/>
      <c r="E27" s="2"/>
    </row>
    <row r="28" spans="1:5" ht="15.75">
      <c r="A28" s="84">
        <v>2</v>
      </c>
      <c r="B28" s="26" t="s">
        <v>28</v>
      </c>
      <c r="C28" s="25"/>
      <c r="D28" s="2"/>
      <c r="E28" s="2"/>
    </row>
    <row r="29" spans="1:5" ht="15">
      <c r="A29" s="84">
        <v>3</v>
      </c>
      <c r="B29" s="27" t="s">
        <v>29</v>
      </c>
      <c r="C29" s="28">
        <v>1.60264E-3</v>
      </c>
      <c r="D29" s="29">
        <f>+E29</f>
        <v>1.60264E-3</v>
      </c>
      <c r="E29" s="29">
        <f>+C29</f>
        <v>1.60264E-3</v>
      </c>
    </row>
    <row r="30" spans="1:5" ht="15">
      <c r="A30" s="84">
        <v>4</v>
      </c>
      <c r="B30" s="10" t="s">
        <v>30</v>
      </c>
      <c r="C30" s="30">
        <v>7.6000000000000004E-4</v>
      </c>
      <c r="D30" s="31">
        <f>+E30</f>
        <v>7.6000000000000004E-4</v>
      </c>
      <c r="E30" s="31">
        <f>+C30</f>
        <v>7.6000000000000004E-4</v>
      </c>
    </row>
    <row r="31" spans="1:5" ht="15">
      <c r="A31" s="84">
        <v>5</v>
      </c>
      <c r="B31" s="32" t="s">
        <v>31</v>
      </c>
      <c r="C31" s="33">
        <f>SUM(C29:C30)</f>
        <v>2.3626400000000001E-3</v>
      </c>
      <c r="D31" s="33">
        <f>SUM(D29:D30)</f>
        <v>2.3626400000000001E-3</v>
      </c>
      <c r="E31" s="33">
        <f>SUM(E29:E30)</f>
        <v>2.3626400000000001E-3</v>
      </c>
    </row>
    <row r="32" spans="1:5" ht="15">
      <c r="A32" s="84">
        <v>6</v>
      </c>
      <c r="B32" s="26" t="s">
        <v>32</v>
      </c>
      <c r="C32" s="28">
        <v>8.4868129299999998E-2</v>
      </c>
      <c r="D32" s="29">
        <f>+E32</f>
        <v>8.4868129299999998E-2</v>
      </c>
      <c r="E32" s="29">
        <f>+C32</f>
        <v>8.4868129299999998E-2</v>
      </c>
    </row>
    <row r="33" spans="1:8" ht="15">
      <c r="A33" s="84">
        <v>7</v>
      </c>
      <c r="B33" s="26" t="s">
        <v>33</v>
      </c>
      <c r="C33" s="34">
        <f>C31+C32</f>
        <v>8.7230769299999997E-2</v>
      </c>
      <c r="D33" s="34">
        <f>D31+D32</f>
        <v>8.7230769299999997E-2</v>
      </c>
      <c r="E33" s="34">
        <f>E31+E32</f>
        <v>8.7230769299999997E-2</v>
      </c>
    </row>
    <row r="34" spans="1:8" ht="15">
      <c r="A34" s="84">
        <v>8</v>
      </c>
      <c r="B34" s="35" t="s">
        <v>34</v>
      </c>
      <c r="C34" s="36">
        <v>0.35</v>
      </c>
      <c r="D34" s="36">
        <v>0.35</v>
      </c>
      <c r="E34" s="36">
        <v>0.35</v>
      </c>
    </row>
    <row r="35" spans="1:8" ht="15">
      <c r="A35" s="84">
        <v>9</v>
      </c>
      <c r="B35" s="32" t="s">
        <v>35</v>
      </c>
      <c r="C35" s="37">
        <v>-3.0530999999999999E-2</v>
      </c>
      <c r="D35" s="37">
        <v>-3.0530999999999999E-2</v>
      </c>
      <c r="E35" s="37">
        <v>-3.0530999999999999E-2</v>
      </c>
    </row>
    <row r="36" spans="1:8" ht="15">
      <c r="A36" s="84">
        <v>10</v>
      </c>
      <c r="B36" s="32" t="s">
        <v>36</v>
      </c>
      <c r="C36" s="34">
        <f>SUM(C33:C35)</f>
        <v>0.40669976930000001</v>
      </c>
      <c r="D36" s="34">
        <f>SUM(D33:D35)</f>
        <v>0.40669976930000001</v>
      </c>
      <c r="E36" s="34">
        <f>SUM(E33:E35)</f>
        <v>0.40669976930000001</v>
      </c>
    </row>
    <row r="39" spans="1:8" ht="15.75">
      <c r="A39" s="729" t="s">
        <v>231</v>
      </c>
      <c r="B39" s="729"/>
      <c r="C39" s="729"/>
      <c r="D39" s="729"/>
      <c r="E39" s="729"/>
      <c r="F39" s="729"/>
      <c r="G39" s="729"/>
      <c r="H39" s="729"/>
    </row>
    <row r="40" spans="1:8" ht="20.25">
      <c r="A40" s="728" t="s">
        <v>99</v>
      </c>
      <c r="B40" s="728"/>
      <c r="C40" s="728"/>
      <c r="D40" s="728"/>
      <c r="E40" s="728"/>
      <c r="F40" s="728"/>
      <c r="G40" s="728"/>
      <c r="H40" s="728"/>
    </row>
    <row r="41" spans="1:8" ht="16.5" thickBot="1">
      <c r="A41" s="17"/>
      <c r="B41" s="18"/>
      <c r="C41" s="2"/>
      <c r="D41" s="2"/>
      <c r="E41" s="2"/>
    </row>
    <row r="42" spans="1:8" ht="26.25" thickBot="1">
      <c r="A42" s="19" t="s">
        <v>2</v>
      </c>
      <c r="B42" s="20"/>
      <c r="C42" s="21" t="s">
        <v>3</v>
      </c>
      <c r="D42" s="22" t="s">
        <v>4</v>
      </c>
      <c r="E42" s="23" t="s">
        <v>26</v>
      </c>
      <c r="F42" s="390" t="s">
        <v>265</v>
      </c>
      <c r="G42" s="22" t="s">
        <v>250</v>
      </c>
      <c r="H42" s="23" t="s">
        <v>251</v>
      </c>
    </row>
    <row r="45" spans="1:8" ht="15.75">
      <c r="A45" s="84">
        <v>1</v>
      </c>
      <c r="B45" s="24" t="s">
        <v>27</v>
      </c>
      <c r="C45" s="25"/>
      <c r="D45" s="2"/>
      <c r="E45" s="2"/>
      <c r="F45" s="25"/>
      <c r="G45" s="2"/>
      <c r="H45" s="2"/>
    </row>
    <row r="46" spans="1:8" ht="15.75">
      <c r="A46" s="84">
        <v>2</v>
      </c>
      <c r="B46" s="26" t="s">
        <v>28</v>
      </c>
      <c r="C46" s="25"/>
      <c r="D46" s="2"/>
      <c r="E46" s="2"/>
      <c r="F46" s="25"/>
      <c r="G46" s="2"/>
      <c r="H46" s="2"/>
    </row>
    <row r="47" spans="1:8" ht="15">
      <c r="A47" s="84">
        <v>3</v>
      </c>
      <c r="B47" s="27" t="s">
        <v>29</v>
      </c>
      <c r="C47" s="28">
        <v>1.57E-3</v>
      </c>
      <c r="D47" s="29">
        <f>+C47</f>
        <v>1.57E-3</v>
      </c>
      <c r="E47" s="29">
        <f>+C47</f>
        <v>1.57E-3</v>
      </c>
      <c r="F47" s="29">
        <f>+C47</f>
        <v>1.57E-3</v>
      </c>
      <c r="G47" s="29">
        <f>+C47</f>
        <v>1.57E-3</v>
      </c>
      <c r="H47" s="29">
        <f>+C47</f>
        <v>1.57E-3</v>
      </c>
    </row>
    <row r="48" spans="1:8" ht="15">
      <c r="A48" s="84">
        <v>4</v>
      </c>
      <c r="B48" s="10" t="s">
        <v>30</v>
      </c>
      <c r="C48" s="301">
        <v>7.2000000000000005E-4</v>
      </c>
      <c r="D48" s="33">
        <f>+C48</f>
        <v>7.2000000000000005E-4</v>
      </c>
      <c r="E48" s="33">
        <f>+C48</f>
        <v>7.2000000000000005E-4</v>
      </c>
      <c r="F48" s="33">
        <f>+C48</f>
        <v>7.2000000000000005E-4</v>
      </c>
      <c r="G48" s="33">
        <f>+C48</f>
        <v>7.2000000000000005E-4</v>
      </c>
      <c r="H48" s="33">
        <f>+C48</f>
        <v>7.2000000000000005E-4</v>
      </c>
    </row>
    <row r="49" spans="1:12" ht="15">
      <c r="A49" s="84">
        <v>5</v>
      </c>
      <c r="B49" s="10" t="s">
        <v>232</v>
      </c>
      <c r="C49" s="30">
        <v>6.0000000000000002E-5</v>
      </c>
      <c r="D49" s="31">
        <f>+C49</f>
        <v>6.0000000000000002E-5</v>
      </c>
      <c r="E49" s="31">
        <f>+C49</f>
        <v>6.0000000000000002E-5</v>
      </c>
      <c r="F49" s="31">
        <f t="shared" ref="F49" si="0">+E49</f>
        <v>6.0000000000000002E-5</v>
      </c>
      <c r="G49" s="31">
        <f t="shared" ref="G49" si="1">+E49</f>
        <v>6.0000000000000002E-5</v>
      </c>
      <c r="H49" s="31">
        <f t="shared" ref="H49" si="2">+G49</f>
        <v>6.0000000000000002E-5</v>
      </c>
    </row>
    <row r="50" spans="1:12" ht="15">
      <c r="A50" s="84">
        <v>6</v>
      </c>
      <c r="B50" s="32" t="s">
        <v>31</v>
      </c>
      <c r="C50" s="33">
        <f t="shared" ref="C50:H50" si="3">SUM(C47:C49)</f>
        <v>2.3500000000000001E-3</v>
      </c>
      <c r="D50" s="33">
        <f t="shared" si="3"/>
        <v>2.3500000000000001E-3</v>
      </c>
      <c r="E50" s="33">
        <f t="shared" si="3"/>
        <v>2.3500000000000001E-3</v>
      </c>
      <c r="F50" s="33">
        <f t="shared" si="3"/>
        <v>2.3500000000000001E-3</v>
      </c>
      <c r="G50" s="33">
        <f t="shared" si="3"/>
        <v>2.3500000000000001E-3</v>
      </c>
      <c r="H50" s="33">
        <f t="shared" si="3"/>
        <v>2.3500000000000001E-3</v>
      </c>
    </row>
    <row r="51" spans="1:12" ht="15">
      <c r="A51" s="84">
        <v>7</v>
      </c>
      <c r="B51" s="26" t="s">
        <v>32</v>
      </c>
      <c r="C51" s="28">
        <v>8.5599999999999996E-2</v>
      </c>
      <c r="D51" s="29">
        <f>+E51</f>
        <v>8.5599999999999996E-2</v>
      </c>
      <c r="E51" s="29">
        <f>+C51</f>
        <v>8.5599999999999996E-2</v>
      </c>
      <c r="F51" s="29">
        <v>8.5599999999999996E-2</v>
      </c>
      <c r="G51" s="29">
        <f>+H51</f>
        <v>8.5599999999999996E-2</v>
      </c>
      <c r="H51" s="29">
        <f>+F51</f>
        <v>8.5599999999999996E-2</v>
      </c>
    </row>
    <row r="52" spans="1:12" ht="15">
      <c r="A52" s="84">
        <v>8</v>
      </c>
      <c r="B52" s="26" t="s">
        <v>33</v>
      </c>
      <c r="C52" s="34">
        <f t="shared" ref="C52:H52" si="4">C50+C51</f>
        <v>8.795E-2</v>
      </c>
      <c r="D52" s="34">
        <f t="shared" si="4"/>
        <v>8.795E-2</v>
      </c>
      <c r="E52" s="34">
        <f t="shared" si="4"/>
        <v>8.795E-2</v>
      </c>
      <c r="F52" s="34">
        <f t="shared" si="4"/>
        <v>8.795E-2</v>
      </c>
      <c r="G52" s="34">
        <f t="shared" si="4"/>
        <v>8.795E-2</v>
      </c>
      <c r="H52" s="34">
        <f t="shared" si="4"/>
        <v>8.795E-2</v>
      </c>
    </row>
    <row r="53" spans="1:12" ht="15">
      <c r="A53" s="84">
        <v>9</v>
      </c>
      <c r="B53" s="35" t="s">
        <v>34</v>
      </c>
      <c r="C53" s="36">
        <v>0.35</v>
      </c>
      <c r="D53" s="36">
        <v>0.35</v>
      </c>
      <c r="E53" s="36">
        <v>0.35</v>
      </c>
      <c r="F53" s="36">
        <v>0.35</v>
      </c>
      <c r="G53" s="36">
        <v>0.35</v>
      </c>
      <c r="H53" s="36">
        <v>0.35</v>
      </c>
    </row>
    <row r="54" spans="1:12" ht="15">
      <c r="A54" s="84">
        <v>10</v>
      </c>
      <c r="B54" s="32" t="s">
        <v>35</v>
      </c>
      <c r="C54" s="37">
        <v>-3.0779999999999998E-2</v>
      </c>
      <c r="D54" s="37">
        <v>-3.0779999999999998E-2</v>
      </c>
      <c r="E54" s="37">
        <v>-3.0779999999999998E-2</v>
      </c>
      <c r="F54" s="37">
        <v>-3.0779999999999998E-2</v>
      </c>
      <c r="G54" s="37">
        <v>-3.0779999999999998E-2</v>
      </c>
      <c r="H54" s="37">
        <v>-3.0779999999999998E-2</v>
      </c>
    </row>
    <row r="55" spans="1:12" ht="15">
      <c r="A55" s="84">
        <v>11</v>
      </c>
      <c r="B55" s="32" t="s">
        <v>36</v>
      </c>
      <c r="C55" s="302">
        <f t="shared" ref="C55:H55" si="5">SUM(C52:C54)</f>
        <v>0.40716999999999998</v>
      </c>
      <c r="D55" s="302">
        <f t="shared" si="5"/>
        <v>0.40716999999999998</v>
      </c>
      <c r="E55" s="302">
        <f t="shared" si="5"/>
        <v>0.40716999999999998</v>
      </c>
      <c r="F55" s="302">
        <f t="shared" si="5"/>
        <v>0.40716999999999998</v>
      </c>
      <c r="G55" s="302">
        <f t="shared" si="5"/>
        <v>0.40716999999999998</v>
      </c>
      <c r="H55" s="302">
        <f t="shared" si="5"/>
        <v>0.40716999999999998</v>
      </c>
    </row>
    <row r="56" spans="1:12" ht="15">
      <c r="A56" s="303">
        <v>12</v>
      </c>
      <c r="B56" s="32" t="s">
        <v>233</v>
      </c>
      <c r="C56" s="33">
        <f t="shared" ref="C56:H56" si="6">ROUND(SUM(C52:C54),4)</f>
        <v>0.40720000000000001</v>
      </c>
      <c r="D56" s="33">
        <f t="shared" si="6"/>
        <v>0.40720000000000001</v>
      </c>
      <c r="E56" s="33">
        <f t="shared" si="6"/>
        <v>0.40720000000000001</v>
      </c>
      <c r="F56" s="33">
        <f t="shared" si="6"/>
        <v>0.40720000000000001</v>
      </c>
      <c r="G56" s="33">
        <f t="shared" si="6"/>
        <v>0.40720000000000001</v>
      </c>
      <c r="H56" s="33">
        <f t="shared" si="6"/>
        <v>0.40720000000000001</v>
      </c>
    </row>
    <row r="59" spans="1:12" ht="15.75">
      <c r="A59" s="729" t="s">
        <v>274</v>
      </c>
      <c r="B59" s="729"/>
      <c r="C59" s="729"/>
      <c r="D59" s="729"/>
      <c r="E59" s="729"/>
      <c r="F59" s="729"/>
      <c r="G59" s="729"/>
      <c r="H59" s="729"/>
      <c r="I59" s="729"/>
      <c r="J59" s="729"/>
      <c r="K59" s="729"/>
      <c r="L59" s="729"/>
    </row>
    <row r="60" spans="1:12" ht="20.25">
      <c r="A60" s="728" t="s">
        <v>99</v>
      </c>
      <c r="B60" s="728"/>
      <c r="C60" s="728"/>
      <c r="D60" s="728"/>
      <c r="E60" s="728"/>
      <c r="F60" s="728"/>
      <c r="G60" s="728"/>
      <c r="H60" s="728"/>
      <c r="I60" s="728"/>
      <c r="J60" s="728"/>
      <c r="K60" s="728"/>
      <c r="L60" s="728"/>
    </row>
    <row r="61" spans="1:12" ht="16.5" thickBot="1">
      <c r="A61" s="17"/>
      <c r="B61" s="18"/>
      <c r="C61" s="2"/>
      <c r="D61" s="2"/>
      <c r="E61" s="2"/>
    </row>
    <row r="62" spans="1:12" ht="26.25" thickBot="1">
      <c r="A62" s="19" t="s">
        <v>2</v>
      </c>
      <c r="B62" s="20"/>
      <c r="C62" s="21" t="s">
        <v>3</v>
      </c>
      <c r="D62" s="22" t="s">
        <v>4</v>
      </c>
      <c r="E62" s="23" t="s">
        <v>26</v>
      </c>
      <c r="F62" s="390" t="s">
        <v>265</v>
      </c>
      <c r="G62" s="22" t="s">
        <v>250</v>
      </c>
      <c r="H62" s="23" t="s">
        <v>251</v>
      </c>
      <c r="I62" s="548" t="s">
        <v>287</v>
      </c>
      <c r="J62" s="549" t="s">
        <v>288</v>
      </c>
      <c r="K62" s="550" t="s">
        <v>299</v>
      </c>
      <c r="L62" s="548" t="s">
        <v>300</v>
      </c>
    </row>
    <row r="65" spans="1:12" ht="15.75">
      <c r="A65" s="84">
        <v>1</v>
      </c>
      <c r="B65" s="24" t="s">
        <v>27</v>
      </c>
      <c r="C65" s="25"/>
      <c r="D65" s="2"/>
      <c r="E65" s="2"/>
      <c r="F65" s="25"/>
      <c r="G65" s="2"/>
      <c r="H65" s="2"/>
      <c r="I65" s="2"/>
      <c r="J65" s="25"/>
      <c r="K65" s="2"/>
      <c r="L65" s="2"/>
    </row>
    <row r="66" spans="1:12" ht="15.75">
      <c r="A66" s="84">
        <v>2</v>
      </c>
      <c r="B66" s="26" t="s">
        <v>28</v>
      </c>
      <c r="C66" s="25"/>
      <c r="D66" s="2"/>
      <c r="E66" s="2"/>
      <c r="F66" s="25"/>
      <c r="G66" s="2"/>
      <c r="H66" s="2"/>
      <c r="I66" s="2"/>
      <c r="J66" s="25"/>
      <c r="K66" s="2"/>
      <c r="L66" s="2"/>
    </row>
    <row r="67" spans="1:12" ht="15">
      <c r="A67" s="84">
        <v>3</v>
      </c>
      <c r="B67" s="27" t="s">
        <v>29</v>
      </c>
      <c r="C67" s="519">
        <v>2.5699999999999998E-3</v>
      </c>
      <c r="D67" s="520">
        <f>+C67</f>
        <v>2.5699999999999998E-3</v>
      </c>
      <c r="E67" s="520">
        <f>+C67</f>
        <v>2.5699999999999998E-3</v>
      </c>
      <c r="F67" s="520">
        <f>+C67</f>
        <v>2.5699999999999998E-3</v>
      </c>
      <c r="G67" s="520">
        <f>+C67</f>
        <v>2.5699999999999998E-3</v>
      </c>
      <c r="H67" s="520">
        <f>+C67</f>
        <v>2.5699999999999998E-3</v>
      </c>
      <c r="I67" s="520">
        <f>+G67</f>
        <v>2.5699999999999998E-3</v>
      </c>
      <c r="J67" s="520">
        <f>+G67</f>
        <v>2.5699999999999998E-3</v>
      </c>
      <c r="K67" s="520">
        <f>+G67</f>
        <v>2.5699999999999998E-3</v>
      </c>
      <c r="L67" s="520">
        <f>+G67</f>
        <v>2.5699999999999998E-3</v>
      </c>
    </row>
    <row r="68" spans="1:12" ht="15">
      <c r="A68" s="84">
        <v>4</v>
      </c>
      <c r="B68" s="10" t="s">
        <v>30</v>
      </c>
      <c r="C68" s="521">
        <v>3.1E-4</v>
      </c>
      <c r="D68" s="522">
        <f>+C68</f>
        <v>3.1E-4</v>
      </c>
      <c r="E68" s="522">
        <f>+C68</f>
        <v>3.1E-4</v>
      </c>
      <c r="F68" s="522">
        <f>+C68</f>
        <v>3.1E-4</v>
      </c>
      <c r="G68" s="522">
        <f>+C68</f>
        <v>3.1E-4</v>
      </c>
      <c r="H68" s="522">
        <f>+C68</f>
        <v>3.1E-4</v>
      </c>
      <c r="I68" s="522">
        <f>+G68</f>
        <v>3.1E-4</v>
      </c>
      <c r="J68" s="522">
        <f>+G68</f>
        <v>3.1E-4</v>
      </c>
      <c r="K68" s="522">
        <f>+G68</f>
        <v>3.1E-4</v>
      </c>
      <c r="L68" s="522">
        <f>+G68</f>
        <v>3.1E-4</v>
      </c>
    </row>
    <row r="69" spans="1:12" ht="15">
      <c r="A69" s="84">
        <v>5</v>
      </c>
      <c r="B69" s="10" t="s">
        <v>232</v>
      </c>
      <c r="C69" s="523">
        <v>1.0000000000000001E-5</v>
      </c>
      <c r="D69" s="524">
        <f>+C69</f>
        <v>1.0000000000000001E-5</v>
      </c>
      <c r="E69" s="524">
        <f>+C69</f>
        <v>1.0000000000000001E-5</v>
      </c>
      <c r="F69" s="524">
        <f>+C69</f>
        <v>1.0000000000000001E-5</v>
      </c>
      <c r="G69" s="524">
        <f>+C69</f>
        <v>1.0000000000000001E-5</v>
      </c>
      <c r="H69" s="524">
        <f>+C69</f>
        <v>1.0000000000000001E-5</v>
      </c>
      <c r="I69" s="524">
        <f>+G69</f>
        <v>1.0000000000000001E-5</v>
      </c>
      <c r="J69" s="524">
        <f>+G69</f>
        <v>1.0000000000000001E-5</v>
      </c>
      <c r="K69" s="524">
        <f>+G69</f>
        <v>1.0000000000000001E-5</v>
      </c>
      <c r="L69" s="524">
        <f>+G69</f>
        <v>1.0000000000000001E-5</v>
      </c>
    </row>
    <row r="70" spans="1:12" ht="15">
      <c r="A70" s="84">
        <v>6</v>
      </c>
      <c r="B70" s="32" t="s">
        <v>31</v>
      </c>
      <c r="C70" s="522">
        <f t="shared" ref="C70:H70" si="7">SUM(C67:C69)</f>
        <v>2.8899999999999998E-3</v>
      </c>
      <c r="D70" s="522">
        <f t="shared" si="7"/>
        <v>2.8899999999999998E-3</v>
      </c>
      <c r="E70" s="522">
        <f t="shared" si="7"/>
        <v>2.8899999999999998E-3</v>
      </c>
      <c r="F70" s="522">
        <f t="shared" si="7"/>
        <v>2.8899999999999998E-3</v>
      </c>
      <c r="G70" s="522">
        <f t="shared" si="7"/>
        <v>2.8899999999999998E-3</v>
      </c>
      <c r="H70" s="522">
        <f t="shared" si="7"/>
        <v>2.8899999999999998E-3</v>
      </c>
      <c r="I70" s="522">
        <f t="shared" ref="I70:L70" si="8">SUM(I67:I69)</f>
        <v>2.8899999999999998E-3</v>
      </c>
      <c r="J70" s="522">
        <f t="shared" si="8"/>
        <v>2.8899999999999998E-3</v>
      </c>
      <c r="K70" s="522">
        <f t="shared" si="8"/>
        <v>2.8899999999999998E-3</v>
      </c>
      <c r="L70" s="522">
        <f t="shared" si="8"/>
        <v>2.8899999999999998E-3</v>
      </c>
    </row>
    <row r="71" spans="1:12" ht="15">
      <c r="A71" s="84">
        <v>7</v>
      </c>
      <c r="B71" s="26" t="s">
        <v>32</v>
      </c>
      <c r="C71" s="519">
        <v>8.5440000000000002E-2</v>
      </c>
      <c r="D71" s="520">
        <f>+C71</f>
        <v>8.5440000000000002E-2</v>
      </c>
      <c r="E71" s="520">
        <f>+C71</f>
        <v>8.5440000000000002E-2</v>
      </c>
      <c r="F71" s="520">
        <f>C71</f>
        <v>8.5440000000000002E-2</v>
      </c>
      <c r="G71" s="520">
        <f>+C71</f>
        <v>8.5440000000000002E-2</v>
      </c>
      <c r="H71" s="520">
        <f>+C71</f>
        <v>8.5440000000000002E-2</v>
      </c>
      <c r="I71" s="520">
        <f>+G71</f>
        <v>8.5440000000000002E-2</v>
      </c>
      <c r="J71" s="520">
        <f>G71</f>
        <v>8.5440000000000002E-2</v>
      </c>
      <c r="K71" s="520">
        <f>+G71</f>
        <v>8.5440000000000002E-2</v>
      </c>
      <c r="L71" s="520">
        <f>+G71</f>
        <v>8.5440000000000002E-2</v>
      </c>
    </row>
    <row r="72" spans="1:12" ht="15">
      <c r="A72" s="84">
        <v>8</v>
      </c>
      <c r="B72" s="26" t="s">
        <v>33</v>
      </c>
      <c r="C72" s="525">
        <f t="shared" ref="C72:H72" si="9">SUM(C70:C71)</f>
        <v>8.8330000000000006E-2</v>
      </c>
      <c r="D72" s="525">
        <f t="shared" si="9"/>
        <v>8.8330000000000006E-2</v>
      </c>
      <c r="E72" s="525">
        <f t="shared" si="9"/>
        <v>8.8330000000000006E-2</v>
      </c>
      <c r="F72" s="525">
        <f t="shared" si="9"/>
        <v>8.8330000000000006E-2</v>
      </c>
      <c r="G72" s="525">
        <f t="shared" si="9"/>
        <v>8.8330000000000006E-2</v>
      </c>
      <c r="H72" s="525">
        <f t="shared" si="9"/>
        <v>8.8330000000000006E-2</v>
      </c>
      <c r="I72" s="525">
        <f t="shared" ref="I72:L72" si="10">SUM(I70:I71)</f>
        <v>8.8330000000000006E-2</v>
      </c>
      <c r="J72" s="525">
        <f t="shared" si="10"/>
        <v>8.8330000000000006E-2</v>
      </c>
      <c r="K72" s="525">
        <f t="shared" si="10"/>
        <v>8.8330000000000006E-2</v>
      </c>
      <c r="L72" s="525">
        <f t="shared" si="10"/>
        <v>8.8330000000000006E-2</v>
      </c>
    </row>
    <row r="73" spans="1:12" ht="15">
      <c r="A73" s="84">
        <v>9</v>
      </c>
      <c r="B73" s="35" t="s">
        <v>34</v>
      </c>
      <c r="C73" s="526">
        <v>0.35</v>
      </c>
      <c r="D73" s="624">
        <f>+C73</f>
        <v>0.35</v>
      </c>
      <c r="E73" s="624">
        <f>+C73</f>
        <v>0.35</v>
      </c>
      <c r="F73" s="624">
        <f>+C73</f>
        <v>0.35</v>
      </c>
      <c r="G73" s="624">
        <f>+C73</f>
        <v>0.35</v>
      </c>
      <c r="H73" s="624">
        <f>+C73</f>
        <v>0.35</v>
      </c>
      <c r="I73" s="624">
        <f>+G73</f>
        <v>0.35</v>
      </c>
      <c r="J73" s="624">
        <f>+G73</f>
        <v>0.35</v>
      </c>
      <c r="K73" s="624">
        <f>+G73</f>
        <v>0.35</v>
      </c>
      <c r="L73" s="624">
        <f>+G73</f>
        <v>0.35</v>
      </c>
    </row>
    <row r="74" spans="1:12" ht="15">
      <c r="A74" s="84">
        <v>10</v>
      </c>
      <c r="B74" s="32" t="s">
        <v>35</v>
      </c>
      <c r="C74" s="527">
        <v>-3.091E-2</v>
      </c>
      <c r="D74" s="625">
        <f>C74</f>
        <v>-3.091E-2</v>
      </c>
      <c r="E74" s="625">
        <f>C74</f>
        <v>-3.091E-2</v>
      </c>
      <c r="F74" s="625">
        <f>C74</f>
        <v>-3.091E-2</v>
      </c>
      <c r="G74" s="625">
        <f>C74</f>
        <v>-3.091E-2</v>
      </c>
      <c r="H74" s="625">
        <f>C74</f>
        <v>-3.091E-2</v>
      </c>
      <c r="I74" s="625">
        <f>G74</f>
        <v>-3.091E-2</v>
      </c>
      <c r="J74" s="625">
        <f>G74</f>
        <v>-3.091E-2</v>
      </c>
      <c r="K74" s="625">
        <f>G74</f>
        <v>-3.091E-2</v>
      </c>
      <c r="L74" s="625">
        <f>G74</f>
        <v>-3.091E-2</v>
      </c>
    </row>
    <row r="75" spans="1:12" ht="15">
      <c r="A75" s="84">
        <v>11</v>
      </c>
      <c r="B75" s="32" t="s">
        <v>36</v>
      </c>
      <c r="C75" s="525">
        <f t="shared" ref="C75:H75" si="11">SUM(C72:C74)</f>
        <v>0.40742</v>
      </c>
      <c r="D75" s="525">
        <f t="shared" si="11"/>
        <v>0.40742</v>
      </c>
      <c r="E75" s="525">
        <f t="shared" si="11"/>
        <v>0.40742</v>
      </c>
      <c r="F75" s="525">
        <f t="shared" si="11"/>
        <v>0.40742</v>
      </c>
      <c r="G75" s="525">
        <f t="shared" si="11"/>
        <v>0.40742</v>
      </c>
      <c r="H75" s="525">
        <f t="shared" si="11"/>
        <v>0.40742</v>
      </c>
      <c r="I75" s="525">
        <f t="shared" ref="I75:L75" si="12">SUM(I72:I74)</f>
        <v>0.40742</v>
      </c>
      <c r="J75" s="525">
        <f t="shared" si="12"/>
        <v>0.40742</v>
      </c>
      <c r="K75" s="525">
        <f t="shared" si="12"/>
        <v>0.40742</v>
      </c>
      <c r="L75" s="525">
        <f t="shared" si="12"/>
        <v>0.40742</v>
      </c>
    </row>
    <row r="76" spans="1:12" ht="15">
      <c r="A76" s="303">
        <v>12</v>
      </c>
      <c r="B76" s="32" t="s">
        <v>233</v>
      </c>
      <c r="C76" s="522">
        <f t="shared" ref="C76:H76" si="13">ROUND(SUM(C72:C74),4)</f>
        <v>0.40739999999999998</v>
      </c>
      <c r="D76" s="522">
        <f t="shared" si="13"/>
        <v>0.40739999999999998</v>
      </c>
      <c r="E76" s="522">
        <f t="shared" si="13"/>
        <v>0.40739999999999998</v>
      </c>
      <c r="F76" s="522">
        <f t="shared" si="13"/>
        <v>0.40739999999999998</v>
      </c>
      <c r="G76" s="522">
        <f t="shared" si="13"/>
        <v>0.40739999999999998</v>
      </c>
      <c r="H76" s="522">
        <f t="shared" si="13"/>
        <v>0.40739999999999998</v>
      </c>
      <c r="I76" s="522">
        <f t="shared" ref="I76:L76" si="14">ROUND(SUM(I72:I74),4)</f>
        <v>0.40739999999999998</v>
      </c>
      <c r="J76" s="522">
        <f t="shared" si="14"/>
        <v>0.40739999999999998</v>
      </c>
      <c r="K76" s="522">
        <f t="shared" si="14"/>
        <v>0.40739999999999998</v>
      </c>
      <c r="L76" s="522">
        <f t="shared" si="14"/>
        <v>0.40739999999999998</v>
      </c>
    </row>
  </sheetData>
  <mergeCells count="11">
    <mergeCell ref="A1:L1"/>
    <mergeCell ref="A2:L2"/>
    <mergeCell ref="A3:L3"/>
    <mergeCell ref="A21:E21"/>
    <mergeCell ref="A22:E22"/>
    <mergeCell ref="A5:E5"/>
    <mergeCell ref="A40:H40"/>
    <mergeCell ref="A59:L59"/>
    <mergeCell ref="A60:L60"/>
    <mergeCell ref="A4:E4"/>
    <mergeCell ref="A39:H39"/>
  </mergeCells>
  <phoneticPr fontId="4" type="noConversion"/>
  <printOptions horizontalCentered="1"/>
  <pageMargins left="0.75" right="0.75" top="1" bottom="1" header="0.5" footer="0.5"/>
  <pageSetup scale="50" orientation="portrait" r:id="rId1"/>
  <headerFooter alignWithMargins="0">
    <oddHeader>&amp;RTO9 Annual Update
Attachment 4
WP-Schedule 3-CWIPBA Model
Page &amp;P of &amp;N</oddHead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4"/>
  </sheetPr>
  <dimension ref="A1:AX73"/>
  <sheetViews>
    <sheetView topLeftCell="AM1" zoomScaleNormal="100" workbookViewId="0">
      <selection activeCell="AM1" sqref="AM1:AX1"/>
    </sheetView>
  </sheetViews>
  <sheetFormatPr defaultRowHeight="12.75"/>
  <cols>
    <col min="1" max="1" width="5.28515625" style="74" customWidth="1"/>
    <col min="2" max="2" width="47.5703125" customWidth="1"/>
    <col min="3" max="3" width="7.42578125" customWidth="1"/>
    <col min="4" max="4" width="8.28515625" customWidth="1"/>
    <col min="5" max="9" width="9.28515625" customWidth="1"/>
    <col min="10" max="10" width="9.42578125" customWidth="1"/>
    <col min="11" max="11" width="10.140625" customWidth="1"/>
    <col min="12" max="13" width="9.42578125" customWidth="1"/>
    <col min="14" max="15" width="9.5703125" customWidth="1"/>
    <col min="16" max="17" width="9.28515625" customWidth="1"/>
    <col min="18" max="18" width="9.5703125" customWidth="1"/>
    <col min="19" max="19" width="9.42578125" customWidth="1"/>
    <col min="20" max="21" width="9.7109375" customWidth="1"/>
    <col min="22" max="22" width="9.5703125" customWidth="1"/>
    <col min="23" max="23" width="10" customWidth="1"/>
    <col min="24" max="24" width="9.7109375" customWidth="1"/>
    <col min="25" max="26" width="9.42578125" customWidth="1"/>
    <col min="27" max="27" width="9.28515625" customWidth="1" collapsed="1"/>
    <col min="28" max="34" width="9.28515625" customWidth="1"/>
    <col min="35" max="35" width="10" customWidth="1"/>
    <col min="36" max="37" width="9.28515625" customWidth="1"/>
    <col min="38" max="38" width="9.42578125" customWidth="1"/>
    <col min="39" max="46" width="9.28515625" bestFit="1" customWidth="1"/>
    <col min="47" max="47" width="10" bestFit="1" customWidth="1"/>
    <col min="48" max="48" width="9.28515625" bestFit="1" customWidth="1"/>
    <col min="49" max="49" width="10.28515625" bestFit="1" customWidth="1"/>
    <col min="50" max="50" width="10.42578125" customWidth="1"/>
  </cols>
  <sheetData>
    <row r="1" spans="1:50" ht="15.75">
      <c r="A1" s="597"/>
      <c r="B1" s="597"/>
      <c r="C1" s="628" t="s">
        <v>0</v>
      </c>
      <c r="D1" s="628"/>
      <c r="E1" s="628"/>
      <c r="F1" s="628"/>
      <c r="G1" s="628"/>
      <c r="H1" s="628"/>
      <c r="I1" s="628"/>
      <c r="J1" s="628"/>
      <c r="K1" s="628"/>
      <c r="L1" s="628"/>
      <c r="M1" s="628"/>
      <c r="N1" s="628"/>
      <c r="O1" s="628" t="s">
        <v>0</v>
      </c>
      <c r="P1" s="628"/>
      <c r="Q1" s="628"/>
      <c r="R1" s="628"/>
      <c r="S1" s="628"/>
      <c r="T1" s="628"/>
      <c r="U1" s="628"/>
      <c r="V1" s="628"/>
      <c r="W1" s="628"/>
      <c r="X1" s="628"/>
      <c r="Y1" s="628"/>
      <c r="Z1" s="628"/>
      <c r="AA1" s="628" t="s">
        <v>0</v>
      </c>
      <c r="AB1" s="628"/>
      <c r="AC1" s="628"/>
      <c r="AD1" s="628"/>
      <c r="AE1" s="628"/>
      <c r="AF1" s="628"/>
      <c r="AG1" s="628"/>
      <c r="AH1" s="628"/>
      <c r="AI1" s="628"/>
      <c r="AJ1" s="628"/>
      <c r="AK1" s="628"/>
      <c r="AL1" s="628"/>
      <c r="AM1" s="628" t="s">
        <v>0</v>
      </c>
      <c r="AN1" s="628"/>
      <c r="AO1" s="628"/>
      <c r="AP1" s="628"/>
      <c r="AQ1" s="628"/>
      <c r="AR1" s="628"/>
      <c r="AS1" s="628"/>
      <c r="AT1" s="628"/>
      <c r="AU1" s="628"/>
      <c r="AV1" s="628"/>
      <c r="AW1" s="628"/>
      <c r="AX1" s="628"/>
    </row>
    <row r="2" spans="1:50" ht="15">
      <c r="A2" s="598"/>
      <c r="B2" s="598"/>
      <c r="C2" s="626" t="s">
        <v>6</v>
      </c>
      <c r="D2" s="626"/>
      <c r="E2" s="626"/>
      <c r="F2" s="626"/>
      <c r="G2" s="626"/>
      <c r="H2" s="626"/>
      <c r="I2" s="626"/>
      <c r="J2" s="626"/>
      <c r="K2" s="626"/>
      <c r="L2" s="626"/>
      <c r="M2" s="626"/>
      <c r="N2" s="626"/>
      <c r="O2" s="626" t="s">
        <v>6</v>
      </c>
      <c r="P2" s="626"/>
      <c r="Q2" s="626"/>
      <c r="R2" s="626"/>
      <c r="S2" s="626"/>
      <c r="T2" s="626"/>
      <c r="U2" s="626"/>
      <c r="V2" s="626"/>
      <c r="W2" s="626"/>
      <c r="X2" s="626"/>
      <c r="Y2" s="626"/>
      <c r="Z2" s="626"/>
      <c r="AA2" s="626" t="s">
        <v>6</v>
      </c>
      <c r="AB2" s="626"/>
      <c r="AC2" s="626"/>
      <c r="AD2" s="626"/>
      <c r="AE2" s="626"/>
      <c r="AF2" s="626"/>
      <c r="AG2" s="626"/>
      <c r="AH2" s="626"/>
      <c r="AI2" s="626"/>
      <c r="AJ2" s="626"/>
      <c r="AK2" s="626"/>
      <c r="AL2" s="626"/>
      <c r="AM2" s="626" t="s">
        <v>6</v>
      </c>
      <c r="AN2" s="626"/>
      <c r="AO2" s="626"/>
      <c r="AP2" s="626"/>
      <c r="AQ2" s="626"/>
      <c r="AR2" s="626"/>
      <c r="AS2" s="626"/>
      <c r="AT2" s="626"/>
      <c r="AU2" s="626"/>
      <c r="AV2" s="626"/>
      <c r="AW2" s="626"/>
      <c r="AX2" s="626"/>
    </row>
    <row r="3" spans="1:50" ht="15">
      <c r="A3" s="598"/>
      <c r="B3" s="598"/>
      <c r="C3" s="626">
        <v>2008</v>
      </c>
      <c r="D3" s="626"/>
      <c r="E3" s="626"/>
      <c r="F3" s="626"/>
      <c r="G3" s="626"/>
      <c r="H3" s="626"/>
      <c r="I3" s="626"/>
      <c r="J3" s="626"/>
      <c r="K3" s="626"/>
      <c r="L3" s="626"/>
      <c r="M3" s="626"/>
      <c r="N3" s="626"/>
      <c r="O3" s="626">
        <v>2009</v>
      </c>
      <c r="P3" s="626"/>
      <c r="Q3" s="626"/>
      <c r="R3" s="626"/>
      <c r="S3" s="626"/>
      <c r="T3" s="626"/>
      <c r="U3" s="626"/>
      <c r="V3" s="626"/>
      <c r="W3" s="626"/>
      <c r="X3" s="626"/>
      <c r="Y3" s="626"/>
      <c r="Z3" s="626"/>
      <c r="AA3" s="626">
        <v>2010</v>
      </c>
      <c r="AB3" s="626"/>
      <c r="AC3" s="626"/>
      <c r="AD3" s="626"/>
      <c r="AE3" s="626"/>
      <c r="AF3" s="626"/>
      <c r="AG3" s="626"/>
      <c r="AH3" s="626"/>
      <c r="AI3" s="626"/>
      <c r="AJ3" s="626"/>
      <c r="AK3" s="626"/>
      <c r="AL3" s="626"/>
      <c r="AM3" s="626">
        <v>2011</v>
      </c>
      <c r="AN3" s="626"/>
      <c r="AO3" s="626"/>
      <c r="AP3" s="626"/>
      <c r="AQ3" s="626"/>
      <c r="AR3" s="626"/>
      <c r="AS3" s="626"/>
      <c r="AT3" s="626"/>
      <c r="AU3" s="626"/>
      <c r="AV3" s="626"/>
      <c r="AW3" s="626"/>
      <c r="AX3" s="626"/>
    </row>
    <row r="4" spans="1:50">
      <c r="A4" s="596"/>
      <c r="B4" s="596"/>
      <c r="C4" s="627" t="s">
        <v>1</v>
      </c>
      <c r="D4" s="627"/>
      <c r="E4" s="627"/>
      <c r="F4" s="627"/>
      <c r="G4" s="627"/>
      <c r="H4" s="627"/>
      <c r="I4" s="627"/>
      <c r="J4" s="627"/>
      <c r="K4" s="627"/>
      <c r="L4" s="627"/>
      <c r="M4" s="627"/>
      <c r="N4" s="627"/>
      <c r="O4" s="627" t="s">
        <v>1</v>
      </c>
      <c r="P4" s="627"/>
      <c r="Q4" s="627"/>
      <c r="R4" s="627"/>
      <c r="S4" s="627"/>
      <c r="T4" s="627"/>
      <c r="U4" s="627"/>
      <c r="V4" s="627"/>
      <c r="W4" s="627"/>
      <c r="X4" s="627"/>
      <c r="Y4" s="627"/>
      <c r="Z4" s="627"/>
      <c r="AA4" s="627" t="s">
        <v>1</v>
      </c>
      <c r="AB4" s="627"/>
      <c r="AC4" s="627"/>
      <c r="AD4" s="627"/>
      <c r="AE4" s="627"/>
      <c r="AF4" s="627"/>
      <c r="AG4" s="627"/>
      <c r="AH4" s="627"/>
      <c r="AI4" s="627"/>
      <c r="AJ4" s="627"/>
      <c r="AK4" s="627"/>
      <c r="AL4" s="627"/>
      <c r="AM4" s="627" t="s">
        <v>1</v>
      </c>
      <c r="AN4" s="627"/>
      <c r="AO4" s="627"/>
      <c r="AP4" s="627"/>
      <c r="AQ4" s="627"/>
      <c r="AR4" s="627"/>
      <c r="AS4" s="627"/>
      <c r="AT4" s="627"/>
      <c r="AU4" s="627"/>
      <c r="AV4" s="627"/>
      <c r="AW4" s="627"/>
      <c r="AX4" s="627"/>
    </row>
    <row r="5" spans="1:50" ht="15.75">
      <c r="A5" s="597"/>
      <c r="B5" s="597"/>
      <c r="C5" s="628" t="s">
        <v>7</v>
      </c>
      <c r="D5" s="628"/>
      <c r="E5" s="628"/>
      <c r="F5" s="628"/>
      <c r="G5" s="628"/>
      <c r="H5" s="628"/>
      <c r="I5" s="628"/>
      <c r="J5" s="628"/>
      <c r="K5" s="628"/>
      <c r="L5" s="628"/>
      <c r="M5" s="628"/>
      <c r="N5" s="628"/>
      <c r="O5" s="628" t="s">
        <v>7</v>
      </c>
      <c r="P5" s="628"/>
      <c r="Q5" s="628"/>
      <c r="R5" s="628"/>
      <c r="S5" s="628"/>
      <c r="T5" s="628"/>
      <c r="U5" s="628"/>
      <c r="V5" s="628"/>
      <c r="W5" s="628"/>
      <c r="X5" s="628"/>
      <c r="Y5" s="628"/>
      <c r="Z5" s="628"/>
      <c r="AA5" s="628" t="s">
        <v>7</v>
      </c>
      <c r="AB5" s="628"/>
      <c r="AC5" s="628"/>
      <c r="AD5" s="628"/>
      <c r="AE5" s="628"/>
      <c r="AF5" s="628"/>
      <c r="AG5" s="628"/>
      <c r="AH5" s="628"/>
      <c r="AI5" s="628"/>
      <c r="AJ5" s="628"/>
      <c r="AK5" s="628"/>
      <c r="AL5" s="628"/>
      <c r="AM5" s="628" t="s">
        <v>7</v>
      </c>
      <c r="AN5" s="628"/>
      <c r="AO5" s="628"/>
      <c r="AP5" s="628"/>
      <c r="AQ5" s="628"/>
      <c r="AR5" s="628"/>
      <c r="AS5" s="628"/>
      <c r="AT5" s="628"/>
      <c r="AU5" s="628"/>
      <c r="AV5" s="628"/>
      <c r="AW5" s="628"/>
      <c r="AX5" s="628"/>
    </row>
    <row r="6" spans="1:50">
      <c r="A6" s="72"/>
    </row>
    <row r="7" spans="1:50">
      <c r="A7" s="72"/>
    </row>
    <row r="8" spans="1:50">
      <c r="A8" s="75" t="s">
        <v>2</v>
      </c>
      <c r="B8" s="3"/>
    </row>
    <row r="9" spans="1:50">
      <c r="A9" s="72">
        <v>1</v>
      </c>
      <c r="B9" s="67" t="s">
        <v>110</v>
      </c>
    </row>
    <row r="10" spans="1:50">
      <c r="A10" s="73">
        <v>2</v>
      </c>
      <c r="B10" t="s">
        <v>61</v>
      </c>
    </row>
    <row r="11" spans="1:50" ht="15.75">
      <c r="A11" s="72">
        <v>3</v>
      </c>
      <c r="B11" s="1" t="s">
        <v>95</v>
      </c>
    </row>
    <row r="12" spans="1:50">
      <c r="A12" s="73">
        <v>4</v>
      </c>
    </row>
    <row r="13" spans="1:50">
      <c r="A13" s="72">
        <v>5</v>
      </c>
      <c r="B13" s="64" t="s">
        <v>62</v>
      </c>
    </row>
    <row r="14" spans="1:50" ht="15.75">
      <c r="A14" s="73">
        <v>6</v>
      </c>
      <c r="B14" s="1" t="s">
        <v>66</v>
      </c>
    </row>
    <row r="15" spans="1:50">
      <c r="A15" s="72">
        <v>7</v>
      </c>
      <c r="B15" s="64"/>
    </row>
    <row r="16" spans="1:50" ht="15.75">
      <c r="A16" s="73">
        <v>8</v>
      </c>
      <c r="B16" s="81" t="s">
        <v>97</v>
      </c>
      <c r="C16" s="631">
        <v>2008</v>
      </c>
      <c r="D16" s="632"/>
      <c r="E16" s="632"/>
      <c r="F16" s="632"/>
      <c r="G16" s="632"/>
      <c r="H16" s="632"/>
      <c r="I16" s="632"/>
      <c r="J16" s="632"/>
      <c r="K16" s="632"/>
      <c r="L16" s="632"/>
      <c r="M16" s="632"/>
      <c r="N16" s="633"/>
      <c r="O16" s="631">
        <v>2009</v>
      </c>
      <c r="P16" s="632"/>
      <c r="Q16" s="632"/>
      <c r="R16" s="632"/>
      <c r="S16" s="632"/>
      <c r="T16" s="632"/>
      <c r="U16" s="632"/>
      <c r="V16" s="632"/>
      <c r="W16" s="632"/>
      <c r="X16" s="632"/>
      <c r="Y16" s="632"/>
      <c r="Z16" s="633"/>
      <c r="AA16" s="643">
        <v>2010</v>
      </c>
      <c r="AB16" s="644"/>
      <c r="AC16" s="644"/>
      <c r="AD16" s="644"/>
      <c r="AE16" s="644"/>
      <c r="AF16" s="644"/>
      <c r="AG16" s="644"/>
      <c r="AH16" s="644"/>
      <c r="AI16" s="644"/>
      <c r="AJ16" s="644"/>
      <c r="AK16" s="644"/>
      <c r="AL16" s="645"/>
      <c r="AM16" s="643">
        <v>2011</v>
      </c>
      <c r="AN16" s="644"/>
      <c r="AO16" s="644"/>
      <c r="AP16" s="644"/>
      <c r="AQ16" s="644"/>
      <c r="AR16" s="644"/>
      <c r="AS16" s="644"/>
      <c r="AT16" s="644"/>
      <c r="AU16" s="644"/>
      <c r="AV16" s="644"/>
      <c r="AW16" s="644"/>
      <c r="AX16" s="645"/>
    </row>
    <row r="17" spans="1:50" ht="21" thickBot="1">
      <c r="A17" s="72">
        <v>9</v>
      </c>
      <c r="B17" s="102" t="s">
        <v>327</v>
      </c>
      <c r="C17" s="119" t="s">
        <v>100</v>
      </c>
      <c r="D17" s="119" t="s">
        <v>76</v>
      </c>
      <c r="E17" s="119" t="s">
        <v>77</v>
      </c>
      <c r="F17" s="119" t="s">
        <v>78</v>
      </c>
      <c r="G17" s="119" t="s">
        <v>75</v>
      </c>
      <c r="H17" s="119" t="s">
        <v>79</v>
      </c>
      <c r="I17" s="119" t="s">
        <v>80</v>
      </c>
      <c r="J17" s="119" t="s">
        <v>81</v>
      </c>
      <c r="K17" s="119" t="s">
        <v>82</v>
      </c>
      <c r="L17" s="119" t="s">
        <v>83</v>
      </c>
      <c r="M17" s="119" t="s">
        <v>84</v>
      </c>
      <c r="N17" s="119" t="s">
        <v>101</v>
      </c>
      <c r="O17" s="119" t="s">
        <v>100</v>
      </c>
      <c r="P17" s="119" t="s">
        <v>76</v>
      </c>
      <c r="Q17" s="119" t="s">
        <v>77</v>
      </c>
      <c r="R17" s="119" t="s">
        <v>78</v>
      </c>
      <c r="S17" s="119" t="s">
        <v>75</v>
      </c>
      <c r="T17" s="119" t="s">
        <v>79</v>
      </c>
      <c r="U17" s="119" t="s">
        <v>80</v>
      </c>
      <c r="V17" s="119" t="s">
        <v>81</v>
      </c>
      <c r="W17" s="119" t="s">
        <v>82</v>
      </c>
      <c r="X17" s="119" t="s">
        <v>83</v>
      </c>
      <c r="Y17" s="119" t="s">
        <v>84</v>
      </c>
      <c r="Z17" s="119" t="s">
        <v>101</v>
      </c>
      <c r="AA17" s="260" t="s">
        <v>100</v>
      </c>
      <c r="AB17" s="260" t="s">
        <v>76</v>
      </c>
      <c r="AC17" s="260" t="s">
        <v>77</v>
      </c>
      <c r="AD17" s="260" t="s">
        <v>78</v>
      </c>
      <c r="AE17" s="260" t="s">
        <v>75</v>
      </c>
      <c r="AF17" s="260" t="s">
        <v>79</v>
      </c>
      <c r="AG17" s="260" t="s">
        <v>80</v>
      </c>
      <c r="AH17" s="260" t="s">
        <v>81</v>
      </c>
      <c r="AI17" s="260" t="s">
        <v>82</v>
      </c>
      <c r="AJ17" s="260" t="s">
        <v>83</v>
      </c>
      <c r="AK17" s="260" t="s">
        <v>84</v>
      </c>
      <c r="AL17" s="260" t="s">
        <v>101</v>
      </c>
      <c r="AM17" s="260" t="s">
        <v>100</v>
      </c>
      <c r="AN17" s="260" t="s">
        <v>76</v>
      </c>
      <c r="AO17" s="260" t="s">
        <v>77</v>
      </c>
      <c r="AP17" s="260" t="s">
        <v>78</v>
      </c>
      <c r="AQ17" s="260" t="s">
        <v>75</v>
      </c>
      <c r="AR17" s="260" t="s">
        <v>79</v>
      </c>
      <c r="AS17" s="260" t="s">
        <v>80</v>
      </c>
      <c r="AT17" s="260" t="s">
        <v>81</v>
      </c>
      <c r="AU17" s="260" t="s">
        <v>82</v>
      </c>
      <c r="AV17" s="260" t="s">
        <v>83</v>
      </c>
      <c r="AW17" s="260" t="s">
        <v>84</v>
      </c>
      <c r="AX17" s="260" t="s">
        <v>101</v>
      </c>
    </row>
    <row r="18" spans="1:50" ht="42" thickTop="1">
      <c r="A18" s="73">
        <v>10</v>
      </c>
      <c r="B18" s="52" t="s">
        <v>17</v>
      </c>
      <c r="C18" s="4"/>
    </row>
    <row r="19" spans="1:50">
      <c r="A19" s="72">
        <v>11</v>
      </c>
      <c r="B19" s="5" t="s">
        <v>146</v>
      </c>
      <c r="C19" s="7"/>
      <c r="D19" s="7"/>
      <c r="E19" s="164">
        <f>'DPV2 CWIP Balance'!E17+'Def Tax'!F126</f>
        <v>22323.840566838931</v>
      </c>
      <c r="F19" s="164">
        <f>E20</f>
        <v>22425.348351078352</v>
      </c>
      <c r="G19" s="164">
        <f>F20</f>
        <v>22909.584350549769</v>
      </c>
      <c r="H19" s="164">
        <f t="shared" ref="H19:N19" si="0">IF(H20=0,0,G20)</f>
        <v>23254.373456153287</v>
      </c>
      <c r="I19" s="164">
        <f t="shared" si="0"/>
        <v>23793.011037262564</v>
      </c>
      <c r="J19" s="164">
        <f t="shared" si="0"/>
        <v>24030.135293705171</v>
      </c>
      <c r="K19" s="164">
        <f t="shared" si="0"/>
        <v>24406.300005058307</v>
      </c>
      <c r="L19" s="164">
        <f t="shared" si="0"/>
        <v>25104.931245572971</v>
      </c>
      <c r="M19" s="164">
        <f t="shared" si="0"/>
        <v>25441.7369211394</v>
      </c>
      <c r="N19" s="164">
        <f t="shared" si="0"/>
        <v>25597.089561853543</v>
      </c>
      <c r="O19" s="164">
        <f t="shared" ref="O19:Z19" si="1">IF(O20=0,0,N20)</f>
        <v>26692.906511853544</v>
      </c>
      <c r="P19" s="164">
        <f t="shared" si="1"/>
        <v>27121.795981171981</v>
      </c>
      <c r="Q19" s="164">
        <f t="shared" si="1"/>
        <v>27565.553686960135</v>
      </c>
      <c r="R19" s="164">
        <f t="shared" si="1"/>
        <v>28631.296390125994</v>
      </c>
      <c r="S19" s="164">
        <f t="shared" si="1"/>
        <v>29822.893223382576</v>
      </c>
      <c r="T19" s="164">
        <f t="shared" si="1"/>
        <v>32214.829738637851</v>
      </c>
      <c r="U19" s="164">
        <f t="shared" si="1"/>
        <v>31808.586523064958</v>
      </c>
      <c r="V19" s="164">
        <f t="shared" si="1"/>
        <v>34903.010684569032</v>
      </c>
      <c r="W19" s="164">
        <f t="shared" si="1"/>
        <v>37664.236428749507</v>
      </c>
      <c r="X19" s="164">
        <f t="shared" si="1"/>
        <v>40654.175276541944</v>
      </c>
      <c r="Y19" s="164">
        <f t="shared" si="1"/>
        <v>38790.261482664922</v>
      </c>
      <c r="Z19" s="164">
        <f t="shared" si="1"/>
        <v>36655.899152003243</v>
      </c>
      <c r="AA19" s="164">
        <f t="shared" ref="AA19:AX19" si="2">IF(AA20=0,0,Z20)</f>
        <v>39694.362572003243</v>
      </c>
      <c r="AB19" s="164">
        <f t="shared" si="2"/>
        <v>39588.70492363313</v>
      </c>
      <c r="AC19" s="164">
        <f t="shared" si="2"/>
        <v>39775.378144731199</v>
      </c>
      <c r="AD19" s="164">
        <f t="shared" si="2"/>
        <v>41063.073573774505</v>
      </c>
      <c r="AE19" s="164">
        <f t="shared" si="2"/>
        <v>41944.341734004476</v>
      </c>
      <c r="AF19" s="164">
        <f t="shared" si="2"/>
        <v>43341.944878717804</v>
      </c>
      <c r="AG19" s="164">
        <f t="shared" si="2"/>
        <v>36307.83043803343</v>
      </c>
      <c r="AH19" s="164">
        <f t="shared" si="2"/>
        <v>37276.030325587519</v>
      </c>
      <c r="AI19" s="164">
        <f t="shared" si="2"/>
        <v>38503.837684355618</v>
      </c>
      <c r="AJ19" s="164">
        <f t="shared" si="2"/>
        <v>40426.920260564053</v>
      </c>
      <c r="AK19" s="164">
        <f t="shared" si="2"/>
        <v>44105.158343642688</v>
      </c>
      <c r="AL19" s="164">
        <f t="shared" si="2"/>
        <v>44835.730426197377</v>
      </c>
      <c r="AM19" s="434">
        <f t="shared" si="2"/>
        <v>47694.175186197383</v>
      </c>
      <c r="AN19" s="434">
        <f t="shared" si="2"/>
        <v>49061.206941265722</v>
      </c>
      <c r="AO19" s="434">
        <f t="shared" si="2"/>
        <v>51012.721744839757</v>
      </c>
      <c r="AP19" s="434">
        <f t="shared" si="2"/>
        <v>54133.308881261437</v>
      </c>
      <c r="AQ19" s="434">
        <f t="shared" si="2"/>
        <v>55937.790904877838</v>
      </c>
      <c r="AR19" s="434">
        <f t="shared" si="2"/>
        <v>58819.044731192014</v>
      </c>
      <c r="AS19" s="434">
        <f t="shared" si="2"/>
        <v>64419.375527236851</v>
      </c>
      <c r="AT19" s="434">
        <f t="shared" si="2"/>
        <v>68938.397323827274</v>
      </c>
      <c r="AU19" s="434">
        <f t="shared" si="2"/>
        <v>75579.579091400563</v>
      </c>
      <c r="AV19" s="434">
        <f t="shared" si="2"/>
        <v>88548.823530901427</v>
      </c>
      <c r="AW19" s="434">
        <f t="shared" si="2"/>
        <v>104291.56625499789</v>
      </c>
      <c r="AX19" s="434">
        <f t="shared" si="2"/>
        <v>127806.23710677199</v>
      </c>
    </row>
    <row r="20" spans="1:50">
      <c r="A20" s="73">
        <v>12</v>
      </c>
      <c r="B20" s="5" t="s">
        <v>147</v>
      </c>
      <c r="C20" s="8"/>
      <c r="D20" s="8"/>
      <c r="E20" s="196">
        <f>'DPV2 CWIP Balance'!E18+'Def Tax'!F127</f>
        <v>22425.348351078352</v>
      </c>
      <c r="F20" s="196">
        <f>'DPV2 CWIP Balance'!E19+'Def Tax'!F128</f>
        <v>22909.584350549769</v>
      </c>
      <c r="G20" s="196">
        <f>'DPV2 CWIP Balance'!E20+'Def Tax'!F129</f>
        <v>23254.373456153287</v>
      </c>
      <c r="H20" s="196">
        <f>'DPV2 CWIP Balance'!E21+'Def Tax'!F130</f>
        <v>23793.011037262564</v>
      </c>
      <c r="I20" s="196">
        <f>'DPV2 CWIP Balance'!E22+'Def Tax'!F131</f>
        <v>24030.135293705171</v>
      </c>
      <c r="J20" s="196">
        <f>'DPV2 CWIP Balance'!E23+'Def Tax'!F132</f>
        <v>24406.300005058307</v>
      </c>
      <c r="K20" s="196">
        <f>'DPV2 CWIP Balance'!E24+'Def Tax'!F133</f>
        <v>25104.931245572971</v>
      </c>
      <c r="L20" s="196">
        <f>'DPV2 CWIP Balance'!E25+'Def Tax'!F134</f>
        <v>25441.7369211394</v>
      </c>
      <c r="M20" s="196">
        <f>'DPV2 CWIP Balance'!E26+'Def Tax'!F135</f>
        <v>25597.089561853543</v>
      </c>
      <c r="N20" s="196">
        <f>'DPV2 CWIP Balance'!E27+'Def Tax'!F136</f>
        <v>26692.906511853544</v>
      </c>
      <c r="O20" s="196">
        <f>'DPV2 CWIP Balance'!E28+'Def Tax'!F139</f>
        <v>27121.795981171981</v>
      </c>
      <c r="P20" s="196">
        <f>'DPV2 CWIP Balance'!E29+'Def Tax'!F140</f>
        <v>27565.553686960135</v>
      </c>
      <c r="Q20" s="196">
        <f>'DPV2 CWIP Balance'!E30+'Def Tax'!F141</f>
        <v>28631.296390125994</v>
      </c>
      <c r="R20" s="196">
        <f>'DPV2 CWIP Balance'!E31+'Def Tax'!F142</f>
        <v>29822.893223382576</v>
      </c>
      <c r="S20" s="196">
        <f>'DPV2 CWIP Balance'!E32+'Def Tax'!F143</f>
        <v>32214.829738637851</v>
      </c>
      <c r="T20" s="317">
        <f>'DPV2 CWIP Balance'!E33+'Def Tax'!F147</f>
        <v>31808.586523064958</v>
      </c>
      <c r="U20" s="196">
        <f>'DPV2 CWIP Balance'!E34+'Def Tax'!F149</f>
        <v>34903.010684569032</v>
      </c>
      <c r="V20" s="196">
        <f>'DPV2 CWIP Balance'!E35+'Def Tax'!F150</f>
        <v>37664.236428749507</v>
      </c>
      <c r="W20" s="196">
        <f>'DPV2 CWIP Balance'!E36+'Def Tax'!F151</f>
        <v>40654.175276541944</v>
      </c>
      <c r="X20" s="317">
        <f>'DPV2 CWIP Balance'!E37+'Def Tax'!F155</f>
        <v>38790.261482664922</v>
      </c>
      <c r="Y20" s="317">
        <f>'DPV2 CWIP Balance'!E38+'Def Tax'!F159</f>
        <v>36655.899152003243</v>
      </c>
      <c r="Z20" s="196">
        <f>'DPV2 CWIP Balance'!E39+'Def Tax'!F161</f>
        <v>39694.362572003243</v>
      </c>
      <c r="AA20" s="317">
        <f>'DPV2 CWIP Balance'!E40+'Def Tax'!F164</f>
        <v>39588.70492363313</v>
      </c>
      <c r="AB20" s="317">
        <f>'DPV2 CWIP Balance'!E41+'Def Tax'!F165</f>
        <v>39775.378144731199</v>
      </c>
      <c r="AC20" s="317">
        <f>'DPV2 CWIP Balance'!E42+'Def Tax'!F166</f>
        <v>41063.073573774505</v>
      </c>
      <c r="AD20" s="317">
        <f>'DPV2 CWIP Balance'!E43+'Def Tax'!F167</f>
        <v>41944.341734004476</v>
      </c>
      <c r="AE20" s="317">
        <f>'DPV2 CWIP Balance'!E44+'Def Tax'!F168</f>
        <v>43341.944878717804</v>
      </c>
      <c r="AF20" s="317">
        <f>'DPV2 CWIP Balance'!E45+'Def Tax'!F170</f>
        <v>36307.83043803343</v>
      </c>
      <c r="AG20" s="317">
        <f>'DPV2 CWIP Balance'!E46+'Def Tax'!F174</f>
        <v>37276.030325587519</v>
      </c>
      <c r="AH20" s="317">
        <f>'DPV2 CWIP Balance'!E47+'Def Tax'!F175</f>
        <v>38503.837684355618</v>
      </c>
      <c r="AI20" s="317">
        <f>'DPV2 CWIP Balance'!E48+'Def Tax'!F176</f>
        <v>40426.920260564053</v>
      </c>
      <c r="AJ20" s="317">
        <f>'DPV2 CWIP Balance'!E49+'Def Tax'!F177</f>
        <v>44105.158343642688</v>
      </c>
      <c r="AK20" s="317">
        <f>'DPV2 CWIP Balance'!E50+'Def Tax'!F178</f>
        <v>44835.730426197377</v>
      </c>
      <c r="AL20" s="317">
        <f>'DPV2 CWIP Balance'!E51+'Def Tax'!F179</f>
        <v>47694.175186197383</v>
      </c>
      <c r="AM20" s="317">
        <f>'DPV2 CWIP Balance'!$E$52+'Def Tax'!$F$182</f>
        <v>49061.206941265722</v>
      </c>
      <c r="AN20" s="317">
        <f>'DPV2 CWIP Balance'!$E$53+'Def Tax'!$F$183</f>
        <v>51012.721744839757</v>
      </c>
      <c r="AO20" s="317">
        <f>'DPV2 CWIP Balance'!$E$54+'Def Tax'!$F$184</f>
        <v>54133.308881261437</v>
      </c>
      <c r="AP20" s="317">
        <f>'DPV2 CWIP Balance'!$E$55+'Def Tax'!$F$186</f>
        <v>55937.790904877838</v>
      </c>
      <c r="AQ20" s="317">
        <f>'DPV2 CWIP Balance'!$E$56+'Def Tax'!$F$190</f>
        <v>58819.044731192014</v>
      </c>
      <c r="AR20" s="317">
        <f>'DPV2 CWIP Balance'!$E$57+'Def Tax'!$F$191</f>
        <v>64419.375527236851</v>
      </c>
      <c r="AS20" s="317">
        <f>'DPV2 CWIP Balance'!$E$58+'Def Tax'!$F$192</f>
        <v>68938.397323827274</v>
      </c>
      <c r="AT20" s="317">
        <f>'DPV2 CWIP Balance'!$E$59+'Def Tax'!$F$193</f>
        <v>75579.579091400563</v>
      </c>
      <c r="AU20" s="317">
        <f>'DPV2 CWIP Balance'!$E$60+'Def Tax'!$F$194</f>
        <v>88548.823530901427</v>
      </c>
      <c r="AV20" s="317">
        <f>'DPV2 CWIP Balance'!$E$61+'Def Tax'!$F$195</f>
        <v>104291.56625499789</v>
      </c>
      <c r="AW20" s="317">
        <f>'DPV2 CWIP Balance'!$E$62+'Def Tax'!$F$196</f>
        <v>127806.23710677199</v>
      </c>
      <c r="AX20" s="317">
        <f>'DPV2 CWIP Balance'!$E$63+'Def Tax'!$F$197</f>
        <v>153238.10871677197</v>
      </c>
    </row>
    <row r="21" spans="1:50">
      <c r="A21" s="72">
        <v>13</v>
      </c>
      <c r="B21" s="5" t="s">
        <v>12</v>
      </c>
      <c r="C21" s="9"/>
      <c r="D21" s="9"/>
      <c r="E21" s="9">
        <f t="shared" ref="E21:N21" si="3">SUM(E19:E20)</f>
        <v>44749.188917917287</v>
      </c>
      <c r="F21" s="9">
        <f t="shared" si="3"/>
        <v>45334.932701628117</v>
      </c>
      <c r="G21" s="9">
        <f t="shared" si="3"/>
        <v>46163.957806703052</v>
      </c>
      <c r="H21" s="9">
        <f t="shared" si="3"/>
        <v>47047.384493415855</v>
      </c>
      <c r="I21" s="9">
        <f t="shared" si="3"/>
        <v>47823.146330967735</v>
      </c>
      <c r="J21" s="9">
        <f t="shared" si="3"/>
        <v>48436.435298763477</v>
      </c>
      <c r="K21" s="9">
        <f t="shared" si="3"/>
        <v>49511.231250631274</v>
      </c>
      <c r="L21" s="9">
        <f t="shared" si="3"/>
        <v>50546.66816671237</v>
      </c>
      <c r="M21" s="9">
        <f t="shared" si="3"/>
        <v>51038.826482992939</v>
      </c>
      <c r="N21" s="9">
        <f t="shared" si="3"/>
        <v>52289.996073707087</v>
      </c>
      <c r="O21" s="9">
        <f t="shared" ref="O21:Z21" si="4">SUM(O19:O20)</f>
        <v>53814.702493025528</v>
      </c>
      <c r="P21" s="9">
        <f t="shared" si="4"/>
        <v>54687.349668132112</v>
      </c>
      <c r="Q21" s="9">
        <f t="shared" si="4"/>
        <v>56196.850077086128</v>
      </c>
      <c r="R21" s="9">
        <f t="shared" si="4"/>
        <v>58454.18961350857</v>
      </c>
      <c r="S21" s="9">
        <f t="shared" si="4"/>
        <v>62037.722962020431</v>
      </c>
      <c r="T21" s="9">
        <f t="shared" si="4"/>
        <v>64023.416261702805</v>
      </c>
      <c r="U21" s="9">
        <f t="shared" si="4"/>
        <v>66711.597207633982</v>
      </c>
      <c r="V21" s="9">
        <f t="shared" si="4"/>
        <v>72567.247113318532</v>
      </c>
      <c r="W21" s="9">
        <f t="shared" si="4"/>
        <v>78318.411705291452</v>
      </c>
      <c r="X21" s="9">
        <f t="shared" si="4"/>
        <v>79444.436759206874</v>
      </c>
      <c r="Y21" s="9">
        <f t="shared" si="4"/>
        <v>75446.160634668166</v>
      </c>
      <c r="Z21" s="9">
        <f t="shared" si="4"/>
        <v>76350.261724006486</v>
      </c>
      <c r="AA21" s="9">
        <f t="shared" ref="AA21:AL21" si="5">SUM(AA19:AA20)</f>
        <v>79283.06749563638</v>
      </c>
      <c r="AB21" s="9">
        <f t="shared" si="5"/>
        <v>79364.083068364329</v>
      </c>
      <c r="AC21" s="9">
        <f t="shared" si="5"/>
        <v>80838.451718505705</v>
      </c>
      <c r="AD21" s="9">
        <f t="shared" si="5"/>
        <v>83007.415307778982</v>
      </c>
      <c r="AE21" s="9">
        <f t="shared" si="5"/>
        <v>85286.286612722281</v>
      </c>
      <c r="AF21" s="9">
        <f t="shared" si="5"/>
        <v>79649.775316751242</v>
      </c>
      <c r="AG21" s="9">
        <f t="shared" si="5"/>
        <v>73583.860763620949</v>
      </c>
      <c r="AH21" s="9">
        <f t="shared" si="5"/>
        <v>75779.868009943137</v>
      </c>
      <c r="AI21" s="9">
        <f t="shared" si="5"/>
        <v>78930.757944919664</v>
      </c>
      <c r="AJ21" s="9">
        <f t="shared" si="5"/>
        <v>84532.078604206734</v>
      </c>
      <c r="AK21" s="9">
        <f t="shared" si="5"/>
        <v>88940.888769840065</v>
      </c>
      <c r="AL21" s="9">
        <f t="shared" si="5"/>
        <v>92529.905612394767</v>
      </c>
      <c r="AM21" s="435">
        <f t="shared" ref="AM21:AX21" si="6">SUM(AM19:AM20)</f>
        <v>96755.382127463105</v>
      </c>
      <c r="AN21" s="435">
        <f t="shared" si="6"/>
        <v>100073.92868610547</v>
      </c>
      <c r="AO21" s="435">
        <f t="shared" si="6"/>
        <v>105146.03062610119</v>
      </c>
      <c r="AP21" s="435">
        <f t="shared" si="6"/>
        <v>110071.09978613927</v>
      </c>
      <c r="AQ21" s="435">
        <f t="shared" si="6"/>
        <v>114756.83563606985</v>
      </c>
      <c r="AR21" s="435">
        <f t="shared" si="6"/>
        <v>123238.42025842887</v>
      </c>
      <c r="AS21" s="435">
        <f t="shared" si="6"/>
        <v>133357.77285106413</v>
      </c>
      <c r="AT21" s="435">
        <f t="shared" si="6"/>
        <v>144517.97641522784</v>
      </c>
      <c r="AU21" s="435">
        <f t="shared" si="6"/>
        <v>164128.402622302</v>
      </c>
      <c r="AV21" s="435">
        <f t="shared" si="6"/>
        <v>192840.38978589932</v>
      </c>
      <c r="AW21" s="435">
        <f t="shared" si="6"/>
        <v>232097.80336176988</v>
      </c>
      <c r="AX21" s="435">
        <f t="shared" si="6"/>
        <v>281044.34582354396</v>
      </c>
    </row>
    <row r="22" spans="1:50">
      <c r="A22" s="73">
        <v>14</v>
      </c>
      <c r="B22" s="61" t="s">
        <v>13</v>
      </c>
      <c r="C22" s="62"/>
      <c r="D22" s="62"/>
      <c r="E22" s="62">
        <f t="shared" ref="E22:N22" si="7">E21/2</f>
        <v>22374.594458958643</v>
      </c>
      <c r="F22" s="62">
        <f t="shared" si="7"/>
        <v>22667.466350814058</v>
      </c>
      <c r="G22" s="62">
        <f t="shared" si="7"/>
        <v>23081.978903351526</v>
      </c>
      <c r="H22" s="62">
        <f t="shared" si="7"/>
        <v>23523.692246707928</v>
      </c>
      <c r="I22" s="62">
        <f t="shared" si="7"/>
        <v>23911.573165483867</v>
      </c>
      <c r="J22" s="62">
        <f t="shared" si="7"/>
        <v>24218.217649381739</v>
      </c>
      <c r="K22" s="62">
        <f t="shared" si="7"/>
        <v>24755.615625315637</v>
      </c>
      <c r="L22" s="62">
        <f t="shared" si="7"/>
        <v>25273.334083356185</v>
      </c>
      <c r="M22" s="62">
        <f t="shared" si="7"/>
        <v>25519.41324149647</v>
      </c>
      <c r="N22" s="62">
        <f t="shared" si="7"/>
        <v>26144.998036853543</v>
      </c>
      <c r="O22" s="62">
        <f t="shared" ref="O22:Z22" si="8">O21/2</f>
        <v>26907.351246512764</v>
      </c>
      <c r="P22" s="62">
        <f t="shared" si="8"/>
        <v>27343.674834066056</v>
      </c>
      <c r="Q22" s="62">
        <f t="shared" si="8"/>
        <v>28098.425038543064</v>
      </c>
      <c r="R22" s="62">
        <f t="shared" si="8"/>
        <v>29227.094806754285</v>
      </c>
      <c r="S22" s="62">
        <f t="shared" si="8"/>
        <v>31018.861481010215</v>
      </c>
      <c r="T22" s="62">
        <f t="shared" si="8"/>
        <v>32011.708130851403</v>
      </c>
      <c r="U22" s="62">
        <f t="shared" si="8"/>
        <v>33355.798603816991</v>
      </c>
      <c r="V22" s="62">
        <f t="shared" si="8"/>
        <v>36283.623556659266</v>
      </c>
      <c r="W22" s="62">
        <f t="shared" si="8"/>
        <v>39159.205852645726</v>
      </c>
      <c r="X22" s="62">
        <f t="shared" si="8"/>
        <v>39722.218379603437</v>
      </c>
      <c r="Y22" s="62">
        <f t="shared" si="8"/>
        <v>37723.080317334083</v>
      </c>
      <c r="Z22" s="62">
        <f t="shared" si="8"/>
        <v>38175.130862003243</v>
      </c>
      <c r="AA22" s="62">
        <f t="shared" ref="AA22:AX22" si="9">AA21/2</f>
        <v>39641.53374781819</v>
      </c>
      <c r="AB22" s="62">
        <f t="shared" si="9"/>
        <v>39682.041534182164</v>
      </c>
      <c r="AC22" s="62">
        <f t="shared" si="9"/>
        <v>40419.225859252852</v>
      </c>
      <c r="AD22" s="62">
        <f t="shared" si="9"/>
        <v>41503.707653889491</v>
      </c>
      <c r="AE22" s="62">
        <f t="shared" si="9"/>
        <v>42643.14330636114</v>
      </c>
      <c r="AF22" s="62">
        <f t="shared" si="9"/>
        <v>39824.887658375621</v>
      </c>
      <c r="AG22" s="62">
        <f t="shared" si="9"/>
        <v>36791.930381810475</v>
      </c>
      <c r="AH22" s="62">
        <f t="shared" si="9"/>
        <v>37889.934004971568</v>
      </c>
      <c r="AI22" s="62">
        <f t="shared" si="9"/>
        <v>39465.378972459832</v>
      </c>
      <c r="AJ22" s="62">
        <f t="shared" si="9"/>
        <v>42266.039302103367</v>
      </c>
      <c r="AK22" s="62">
        <f t="shared" si="9"/>
        <v>44470.444384920032</v>
      </c>
      <c r="AL22" s="62">
        <f t="shared" si="9"/>
        <v>46264.952806197383</v>
      </c>
      <c r="AM22" s="440">
        <f t="shared" si="9"/>
        <v>48377.691063731552</v>
      </c>
      <c r="AN22" s="440">
        <f t="shared" si="9"/>
        <v>50036.964343052736</v>
      </c>
      <c r="AO22" s="440">
        <f t="shared" si="9"/>
        <v>52573.015313050593</v>
      </c>
      <c r="AP22" s="440">
        <f t="shared" si="9"/>
        <v>55035.549893069634</v>
      </c>
      <c r="AQ22" s="440">
        <f t="shared" si="9"/>
        <v>57378.417818034926</v>
      </c>
      <c r="AR22" s="440">
        <f t="shared" si="9"/>
        <v>61619.210129214436</v>
      </c>
      <c r="AS22" s="440">
        <f t="shared" si="9"/>
        <v>66678.886425532066</v>
      </c>
      <c r="AT22" s="440">
        <f t="shared" si="9"/>
        <v>72258.988207613918</v>
      </c>
      <c r="AU22" s="440">
        <f t="shared" si="9"/>
        <v>82064.201311151002</v>
      </c>
      <c r="AV22" s="440">
        <f t="shared" si="9"/>
        <v>96420.194892949658</v>
      </c>
      <c r="AW22" s="440">
        <f t="shared" si="9"/>
        <v>116048.90168088494</v>
      </c>
      <c r="AX22" s="440">
        <f t="shared" si="9"/>
        <v>140522.17291177198</v>
      </c>
    </row>
    <row r="23" spans="1:50">
      <c r="A23" s="72">
        <v>15</v>
      </c>
      <c r="B23" s="5"/>
      <c r="Z23" s="543"/>
      <c r="AA23" s="543"/>
      <c r="AB23" s="543"/>
      <c r="AC23" s="543"/>
      <c r="AD23" s="543"/>
      <c r="AE23" s="543"/>
      <c r="AF23" s="543"/>
      <c r="AG23" s="543"/>
      <c r="AH23" s="543"/>
      <c r="AI23" s="543"/>
      <c r="AJ23" s="543"/>
      <c r="AK23" s="543"/>
      <c r="AL23" s="543"/>
    </row>
    <row r="24" spans="1:50" ht="28.5">
      <c r="A24" s="73">
        <v>16</v>
      </c>
      <c r="B24" s="52" t="s">
        <v>14</v>
      </c>
    </row>
    <row r="25" spans="1:50">
      <c r="A25" s="72">
        <v>17</v>
      </c>
      <c r="B25" s="51" t="s">
        <v>47</v>
      </c>
      <c r="C25" s="89"/>
      <c r="D25" s="89"/>
      <c r="E25" s="89">
        <f>'Cost of Capital'!$D$12</f>
        <v>9.1139999999999999E-2</v>
      </c>
      <c r="F25" s="89">
        <f>'Cost of Capital'!$D$12</f>
        <v>9.1139999999999999E-2</v>
      </c>
      <c r="G25" s="89">
        <f>'Cost of Capital'!$D$12</f>
        <v>9.1139999999999999E-2</v>
      </c>
      <c r="H25" s="89">
        <f>'Cost of Capital'!$D$12</f>
        <v>9.1139999999999999E-2</v>
      </c>
      <c r="I25" s="89">
        <f>'Cost of Capital'!$D$12</f>
        <v>9.1139999999999999E-2</v>
      </c>
      <c r="J25" s="89">
        <f>'Cost of Capital'!$D$12</f>
        <v>9.1139999999999999E-2</v>
      </c>
      <c r="K25" s="89">
        <f>'Cost of Capital'!$D$12</f>
        <v>9.1139999999999999E-2</v>
      </c>
      <c r="L25" s="89">
        <f>'Cost of Capital'!$D$12</f>
        <v>9.1139999999999999E-2</v>
      </c>
      <c r="M25" s="89">
        <f>'Cost of Capital'!$D$12</f>
        <v>9.1139999999999999E-2</v>
      </c>
      <c r="N25" s="89">
        <f>'Cost of Capital'!$D$12</f>
        <v>9.1139999999999999E-2</v>
      </c>
      <c r="O25" s="89">
        <f>'Cost of Capital'!$D$38</f>
        <v>9.0090000000000003E-2</v>
      </c>
      <c r="P25" s="89">
        <f>'Cost of Capital'!$D$38</f>
        <v>9.0090000000000003E-2</v>
      </c>
      <c r="Q25" s="89">
        <f>'Cost of Capital'!$D$38</f>
        <v>9.0090000000000003E-2</v>
      </c>
      <c r="R25" s="89">
        <f>'Cost of Capital'!$D$38</f>
        <v>9.0090000000000003E-2</v>
      </c>
      <c r="S25" s="89">
        <f>'Cost of Capital'!$D$38</f>
        <v>9.0090000000000003E-2</v>
      </c>
      <c r="T25" s="89">
        <f>'Cost of Capital'!$D$38</f>
        <v>9.0090000000000003E-2</v>
      </c>
      <c r="U25" s="89">
        <f>'Cost of Capital'!$D$38</f>
        <v>9.0090000000000003E-2</v>
      </c>
      <c r="V25" s="89">
        <f>'Cost of Capital'!$D$38</f>
        <v>9.0090000000000003E-2</v>
      </c>
      <c r="W25" s="89">
        <f>'Cost of Capital'!$D$38</f>
        <v>9.0090000000000003E-2</v>
      </c>
      <c r="X25" s="89">
        <f>'Cost of Capital'!$D$38</f>
        <v>9.0090000000000003E-2</v>
      </c>
      <c r="Y25" s="89">
        <f>'Cost of Capital'!$D$38</f>
        <v>9.0090000000000003E-2</v>
      </c>
      <c r="Z25" s="89">
        <f>'Cost of Capital'!$D$38</f>
        <v>9.0090000000000003E-2</v>
      </c>
      <c r="AA25" s="308">
        <f>'Cost of Capital'!$D$38</f>
        <v>9.0090000000000003E-2</v>
      </c>
      <c r="AB25" s="89">
        <f>'Cost of Capital'!$D$38</f>
        <v>9.0090000000000003E-2</v>
      </c>
      <c r="AC25" s="89">
        <f>'Cost of Capital'!$D$38</f>
        <v>9.0090000000000003E-2</v>
      </c>
      <c r="AD25" s="89">
        <f>'Cost of Capital'!$D$38</f>
        <v>9.0090000000000003E-2</v>
      </c>
      <c r="AE25" s="89">
        <f>'Cost of Capital'!$D$38</f>
        <v>9.0090000000000003E-2</v>
      </c>
      <c r="AF25" s="89">
        <f>'Cost of Capital'!$D$66</f>
        <v>8.9079999999999993E-2</v>
      </c>
      <c r="AG25" s="89">
        <f>'Cost of Capital'!$D$66</f>
        <v>8.9079999999999993E-2</v>
      </c>
      <c r="AH25" s="89">
        <f>'Cost of Capital'!$D$66</f>
        <v>8.9079999999999993E-2</v>
      </c>
      <c r="AI25" s="89">
        <f>'Cost of Capital'!$D$66</f>
        <v>8.9079999999999993E-2</v>
      </c>
      <c r="AJ25" s="89">
        <f>'Cost of Capital'!$D$66</f>
        <v>8.9079999999999993E-2</v>
      </c>
      <c r="AK25" s="89">
        <f>'Cost of Capital'!$D$66</f>
        <v>8.9079999999999993E-2</v>
      </c>
      <c r="AL25" s="89">
        <f>'Cost of Capital'!$D$66</f>
        <v>8.9079999999999993E-2</v>
      </c>
      <c r="AM25" s="375">
        <f>'Cost of Capital'!$D$121</f>
        <v>8.7940000000000004E-2</v>
      </c>
      <c r="AN25" s="375">
        <f>'Cost of Capital'!$D$121</f>
        <v>8.7940000000000004E-2</v>
      </c>
      <c r="AO25" s="375">
        <f>'Cost of Capital'!$D$121</f>
        <v>8.7940000000000004E-2</v>
      </c>
      <c r="AP25" s="375">
        <f>'Cost of Capital'!$D$121</f>
        <v>8.7940000000000004E-2</v>
      </c>
      <c r="AQ25" s="375">
        <f>'Cost of Capital'!$D$121</f>
        <v>8.7940000000000004E-2</v>
      </c>
      <c r="AR25" s="375">
        <f>'Cost of Capital'!$D$121</f>
        <v>8.7940000000000004E-2</v>
      </c>
      <c r="AS25" s="375">
        <f>'Cost of Capital'!$D$121</f>
        <v>8.7940000000000004E-2</v>
      </c>
      <c r="AT25" s="375">
        <f>'Cost of Capital'!$D$121</f>
        <v>8.7940000000000004E-2</v>
      </c>
      <c r="AU25" s="375">
        <f>'Cost of Capital'!$D$121</f>
        <v>8.7940000000000004E-2</v>
      </c>
      <c r="AV25" s="375">
        <f>'Cost of Capital'!$D$121</f>
        <v>8.7940000000000004E-2</v>
      </c>
      <c r="AW25" s="375">
        <f>'Cost of Capital'!$D$121</f>
        <v>8.7940000000000004E-2</v>
      </c>
      <c r="AX25" s="375">
        <f>'Cost of Capital'!$D$121</f>
        <v>8.7940000000000004E-2</v>
      </c>
    </row>
    <row r="26" spans="1:50">
      <c r="A26" s="73">
        <v>18</v>
      </c>
      <c r="B26" s="61" t="s">
        <v>48</v>
      </c>
      <c r="C26" s="85"/>
      <c r="D26" s="85"/>
      <c r="E26" s="85">
        <f>'Cost of Capital'!$D$13</f>
        <v>7.5950000000000002E-3</v>
      </c>
      <c r="F26" s="85">
        <f>'Cost of Capital'!$D$13</f>
        <v>7.5950000000000002E-3</v>
      </c>
      <c r="G26" s="85">
        <f>'Cost of Capital'!$D$13</f>
        <v>7.5950000000000002E-3</v>
      </c>
      <c r="H26" s="85">
        <f>'Cost of Capital'!$D$13</f>
        <v>7.5950000000000002E-3</v>
      </c>
      <c r="I26" s="85">
        <f>'Cost of Capital'!$D$13</f>
        <v>7.5950000000000002E-3</v>
      </c>
      <c r="J26" s="85">
        <f>'Cost of Capital'!$D$13</f>
        <v>7.5950000000000002E-3</v>
      </c>
      <c r="K26" s="85">
        <f>'Cost of Capital'!$D$13</f>
        <v>7.5950000000000002E-3</v>
      </c>
      <c r="L26" s="85">
        <f>'Cost of Capital'!$D$13</f>
        <v>7.5950000000000002E-3</v>
      </c>
      <c r="M26" s="85">
        <f>'Cost of Capital'!$D$13</f>
        <v>7.5950000000000002E-3</v>
      </c>
      <c r="N26" s="85">
        <f>'Cost of Capital'!$D$13</f>
        <v>7.5950000000000002E-3</v>
      </c>
      <c r="O26" s="85">
        <f>'Cost of Capital'!$D$39</f>
        <v>7.5075000000000003E-3</v>
      </c>
      <c r="P26" s="85">
        <f>'Cost of Capital'!$D$39</f>
        <v>7.5075000000000003E-3</v>
      </c>
      <c r="Q26" s="85">
        <f>'Cost of Capital'!$D$39</f>
        <v>7.5075000000000003E-3</v>
      </c>
      <c r="R26" s="85">
        <f>'Cost of Capital'!$D$39</f>
        <v>7.5075000000000003E-3</v>
      </c>
      <c r="S26" s="85">
        <f>'Cost of Capital'!$D$39</f>
        <v>7.5075000000000003E-3</v>
      </c>
      <c r="T26" s="85">
        <f>'Cost of Capital'!$D$39</f>
        <v>7.5075000000000003E-3</v>
      </c>
      <c r="U26" s="85">
        <f>'Cost of Capital'!$D$39</f>
        <v>7.5075000000000003E-3</v>
      </c>
      <c r="V26" s="85">
        <f>'Cost of Capital'!$D$39</f>
        <v>7.5075000000000003E-3</v>
      </c>
      <c r="W26" s="85">
        <f>'Cost of Capital'!$D$39</f>
        <v>7.5075000000000003E-3</v>
      </c>
      <c r="X26" s="85">
        <f>'Cost of Capital'!$D$39</f>
        <v>7.5075000000000003E-3</v>
      </c>
      <c r="Y26" s="85">
        <f>'Cost of Capital'!$D$39</f>
        <v>7.5075000000000003E-3</v>
      </c>
      <c r="Z26" s="85">
        <f>'Cost of Capital'!$D$39</f>
        <v>7.5075000000000003E-3</v>
      </c>
      <c r="AA26" s="85">
        <f>'Cost of Capital'!$D$39</f>
        <v>7.5075000000000003E-3</v>
      </c>
      <c r="AB26" s="85">
        <f>'Cost of Capital'!$D$39</f>
        <v>7.5075000000000003E-3</v>
      </c>
      <c r="AC26" s="85">
        <f>'Cost of Capital'!$D$39</f>
        <v>7.5075000000000003E-3</v>
      </c>
      <c r="AD26" s="85">
        <f>'Cost of Capital'!$D$39</f>
        <v>7.5075000000000003E-3</v>
      </c>
      <c r="AE26" s="85">
        <f>'Cost of Capital'!$D$39</f>
        <v>7.5075000000000003E-3</v>
      </c>
      <c r="AF26" s="85">
        <f>'Cost of Capital'!$D$67</f>
        <v>7.423333333333333E-3</v>
      </c>
      <c r="AG26" s="85">
        <f>'Cost of Capital'!$D$67</f>
        <v>7.423333333333333E-3</v>
      </c>
      <c r="AH26" s="85">
        <f>'Cost of Capital'!$D$67</f>
        <v>7.423333333333333E-3</v>
      </c>
      <c r="AI26" s="85">
        <f>'Cost of Capital'!$D$67</f>
        <v>7.423333333333333E-3</v>
      </c>
      <c r="AJ26" s="85">
        <f>'Cost of Capital'!$D$67</f>
        <v>7.423333333333333E-3</v>
      </c>
      <c r="AK26" s="85">
        <f>'Cost of Capital'!$D$67</f>
        <v>7.423333333333333E-3</v>
      </c>
      <c r="AL26" s="85">
        <f>'Cost of Capital'!$D$67</f>
        <v>7.423333333333333E-3</v>
      </c>
      <c r="AM26" s="441">
        <f>'Cost of Capital'!$D$122</f>
        <v>7.3283333333333334E-3</v>
      </c>
      <c r="AN26" s="441">
        <f>'Cost of Capital'!$D$122</f>
        <v>7.3283333333333334E-3</v>
      </c>
      <c r="AO26" s="441">
        <f>'Cost of Capital'!$D$122</f>
        <v>7.3283333333333334E-3</v>
      </c>
      <c r="AP26" s="441">
        <f>'Cost of Capital'!$D$122</f>
        <v>7.3283333333333334E-3</v>
      </c>
      <c r="AQ26" s="441">
        <f>'Cost of Capital'!$D$122</f>
        <v>7.3283333333333334E-3</v>
      </c>
      <c r="AR26" s="441">
        <f>'Cost of Capital'!$D$122</f>
        <v>7.3283333333333334E-3</v>
      </c>
      <c r="AS26" s="441">
        <f>'Cost of Capital'!$D$122</f>
        <v>7.3283333333333334E-3</v>
      </c>
      <c r="AT26" s="441">
        <f>'Cost of Capital'!$D$122</f>
        <v>7.3283333333333334E-3</v>
      </c>
      <c r="AU26" s="441">
        <f>'Cost of Capital'!$D$122</f>
        <v>7.3283333333333334E-3</v>
      </c>
      <c r="AV26" s="441">
        <f>'Cost of Capital'!$D$122</f>
        <v>7.3283333333333334E-3</v>
      </c>
      <c r="AW26" s="441">
        <f>'Cost of Capital'!$D$122</f>
        <v>7.3283333333333334E-3</v>
      </c>
      <c r="AX26" s="441">
        <f>'Cost of Capital'!$D$122</f>
        <v>7.3283333333333334E-3</v>
      </c>
    </row>
    <row r="27" spans="1:50">
      <c r="A27" s="72">
        <v>19</v>
      </c>
      <c r="B27" s="5"/>
    </row>
    <row r="28" spans="1:50" ht="15.75">
      <c r="A28" s="73">
        <v>20</v>
      </c>
      <c r="B28" s="53" t="s">
        <v>65</v>
      </c>
    </row>
    <row r="29" spans="1:50">
      <c r="A29" s="72">
        <v>21</v>
      </c>
      <c r="B29" s="86" t="s">
        <v>91</v>
      </c>
    </row>
    <row r="30" spans="1:50">
      <c r="A30" s="73">
        <v>22</v>
      </c>
      <c r="B30" s="11" t="s">
        <v>15</v>
      </c>
    </row>
    <row r="31" spans="1:50" ht="25.5">
      <c r="A31" s="72">
        <v>23</v>
      </c>
      <c r="B31" s="13" t="s">
        <v>92</v>
      </c>
    </row>
    <row r="32" spans="1:50" ht="25.5">
      <c r="A32" s="73">
        <v>24</v>
      </c>
      <c r="B32" s="12" t="s">
        <v>19</v>
      </c>
    </row>
    <row r="33" spans="1:50">
      <c r="A33" s="72">
        <v>25</v>
      </c>
      <c r="B33" s="5" t="s">
        <v>20</v>
      </c>
      <c r="C33" s="87"/>
      <c r="D33" s="87"/>
      <c r="E33" s="87">
        <f>'Cost of Capital'!$D$9</f>
        <v>2.6699999999999998E-2</v>
      </c>
      <c r="F33" s="87">
        <f>'Cost of Capital'!$D$9</f>
        <v>2.6699999999999998E-2</v>
      </c>
      <c r="G33" s="87">
        <f>'Cost of Capital'!$D$9</f>
        <v>2.6699999999999998E-2</v>
      </c>
      <c r="H33" s="87">
        <f>'Cost of Capital'!$D$9</f>
        <v>2.6699999999999998E-2</v>
      </c>
      <c r="I33" s="87">
        <f>'Cost of Capital'!$D$9</f>
        <v>2.6699999999999998E-2</v>
      </c>
      <c r="J33" s="87">
        <f>'Cost of Capital'!$D$9</f>
        <v>2.6699999999999998E-2</v>
      </c>
      <c r="K33" s="87">
        <f>'Cost of Capital'!$D$9</f>
        <v>2.6699999999999998E-2</v>
      </c>
      <c r="L33" s="87">
        <f>'Cost of Capital'!$D$9</f>
        <v>2.6699999999999998E-2</v>
      </c>
      <c r="M33" s="87">
        <f>'Cost of Capital'!$D$9</f>
        <v>2.6699999999999998E-2</v>
      </c>
      <c r="N33" s="87">
        <f>'Cost of Capital'!$D$9</f>
        <v>2.6699999999999998E-2</v>
      </c>
      <c r="O33" s="87">
        <f>'Cost of Capital'!$D$35</f>
        <v>2.76E-2</v>
      </c>
      <c r="P33" s="87">
        <f>'Cost of Capital'!$D$35</f>
        <v>2.76E-2</v>
      </c>
      <c r="Q33" s="87">
        <f>'Cost of Capital'!$D$35</f>
        <v>2.76E-2</v>
      </c>
      <c r="R33" s="87">
        <f>'Cost of Capital'!$D$35</f>
        <v>2.76E-2</v>
      </c>
      <c r="S33" s="87">
        <f>'Cost of Capital'!$D$35</f>
        <v>2.76E-2</v>
      </c>
      <c r="T33" s="87">
        <f>'Cost of Capital'!$D$35</f>
        <v>2.76E-2</v>
      </c>
      <c r="U33" s="87">
        <f>'Cost of Capital'!$D$35</f>
        <v>2.76E-2</v>
      </c>
      <c r="V33" s="87">
        <f>'Cost of Capital'!$D$35</f>
        <v>2.76E-2</v>
      </c>
      <c r="W33" s="87">
        <f>'Cost of Capital'!$D$35</f>
        <v>2.76E-2</v>
      </c>
      <c r="X33" s="87">
        <f>'Cost of Capital'!$D$35</f>
        <v>2.76E-2</v>
      </c>
      <c r="Y33" s="87">
        <f>'Cost of Capital'!$D$35</f>
        <v>2.76E-2</v>
      </c>
      <c r="Z33" s="87">
        <f>'Cost of Capital'!$D$35</f>
        <v>2.76E-2</v>
      </c>
      <c r="AA33" s="309">
        <f>'Cost of Capital'!$D$35</f>
        <v>2.76E-2</v>
      </c>
      <c r="AB33" s="309">
        <f>'Cost of Capital'!$D$35</f>
        <v>2.76E-2</v>
      </c>
      <c r="AC33" s="309">
        <f>'Cost of Capital'!$D$35</f>
        <v>2.76E-2</v>
      </c>
      <c r="AD33" s="309">
        <f>'Cost of Capital'!$D$35</f>
        <v>2.76E-2</v>
      </c>
      <c r="AE33" s="309">
        <f>'Cost of Capital'!$D$35</f>
        <v>2.76E-2</v>
      </c>
      <c r="AF33" s="309">
        <f>'Cost of Capital'!$D$63</f>
        <v>2.6700000000000002E-2</v>
      </c>
      <c r="AG33" s="309">
        <f>'Cost of Capital'!$D$63</f>
        <v>2.6700000000000002E-2</v>
      </c>
      <c r="AH33" s="309">
        <f>'Cost of Capital'!$D$63</f>
        <v>2.6700000000000002E-2</v>
      </c>
      <c r="AI33" s="309">
        <f>'Cost of Capital'!$D$63</f>
        <v>2.6700000000000002E-2</v>
      </c>
      <c r="AJ33" s="309">
        <f>'Cost of Capital'!$D$63</f>
        <v>2.6700000000000002E-2</v>
      </c>
      <c r="AK33" s="309">
        <f>'Cost of Capital'!$D$63</f>
        <v>2.6700000000000002E-2</v>
      </c>
      <c r="AL33" s="309">
        <f>'Cost of Capital'!$D$63</f>
        <v>2.6700000000000002E-2</v>
      </c>
      <c r="AM33" s="436">
        <f>'Cost of Capital'!$D$118</f>
        <v>2.58E-2</v>
      </c>
      <c r="AN33" s="436">
        <f>'Cost of Capital'!$D$118</f>
        <v>2.58E-2</v>
      </c>
      <c r="AO33" s="436">
        <f>'Cost of Capital'!$D$118</f>
        <v>2.58E-2</v>
      </c>
      <c r="AP33" s="436">
        <f>'Cost of Capital'!$D$118</f>
        <v>2.58E-2</v>
      </c>
      <c r="AQ33" s="436">
        <f>'Cost of Capital'!$D$118</f>
        <v>2.58E-2</v>
      </c>
      <c r="AR33" s="436">
        <f>'Cost of Capital'!$D$118</f>
        <v>2.58E-2</v>
      </c>
      <c r="AS33" s="436">
        <f>'Cost of Capital'!$D$118</f>
        <v>2.58E-2</v>
      </c>
      <c r="AT33" s="436">
        <f>'Cost of Capital'!$D$118</f>
        <v>2.58E-2</v>
      </c>
      <c r="AU33" s="436">
        <f>'Cost of Capital'!$D$118</f>
        <v>2.58E-2</v>
      </c>
      <c r="AV33" s="436">
        <f>'Cost of Capital'!$D$118</f>
        <v>2.58E-2</v>
      </c>
      <c r="AW33" s="436">
        <f>'Cost of Capital'!$D$118</f>
        <v>2.58E-2</v>
      </c>
      <c r="AX33" s="436">
        <f>'Cost of Capital'!$D$118</f>
        <v>2.58E-2</v>
      </c>
    </row>
    <row r="34" spans="1:50">
      <c r="A34" s="73">
        <v>26</v>
      </c>
      <c r="B34" s="5" t="s">
        <v>21</v>
      </c>
      <c r="C34" s="99"/>
      <c r="D34" s="99"/>
      <c r="E34" s="99">
        <f t="shared" ref="E34:N34" si="10">E33/12</f>
        <v>2.225E-3</v>
      </c>
      <c r="F34" s="99">
        <f t="shared" si="10"/>
        <v>2.225E-3</v>
      </c>
      <c r="G34" s="99">
        <f t="shared" si="10"/>
        <v>2.225E-3</v>
      </c>
      <c r="H34" s="99">
        <f t="shared" si="10"/>
        <v>2.225E-3</v>
      </c>
      <c r="I34" s="99">
        <f t="shared" si="10"/>
        <v>2.225E-3</v>
      </c>
      <c r="J34" s="99">
        <f t="shared" si="10"/>
        <v>2.225E-3</v>
      </c>
      <c r="K34" s="99">
        <f t="shared" si="10"/>
        <v>2.225E-3</v>
      </c>
      <c r="L34" s="99">
        <f t="shared" si="10"/>
        <v>2.225E-3</v>
      </c>
      <c r="M34" s="99">
        <f t="shared" si="10"/>
        <v>2.225E-3</v>
      </c>
      <c r="N34" s="99">
        <f t="shared" si="10"/>
        <v>2.225E-3</v>
      </c>
      <c r="O34" s="99">
        <f t="shared" ref="O34:Z34" si="11">O33/12</f>
        <v>2.3E-3</v>
      </c>
      <c r="P34" s="99">
        <f t="shared" si="11"/>
        <v>2.3E-3</v>
      </c>
      <c r="Q34" s="99">
        <f t="shared" si="11"/>
        <v>2.3E-3</v>
      </c>
      <c r="R34" s="99">
        <f t="shared" si="11"/>
        <v>2.3E-3</v>
      </c>
      <c r="S34" s="99">
        <f t="shared" si="11"/>
        <v>2.3E-3</v>
      </c>
      <c r="T34" s="99">
        <f t="shared" si="11"/>
        <v>2.3E-3</v>
      </c>
      <c r="U34" s="99">
        <f t="shared" si="11"/>
        <v>2.3E-3</v>
      </c>
      <c r="V34" s="99">
        <f t="shared" si="11"/>
        <v>2.3E-3</v>
      </c>
      <c r="W34" s="99">
        <f t="shared" si="11"/>
        <v>2.3E-3</v>
      </c>
      <c r="X34" s="99">
        <f t="shared" si="11"/>
        <v>2.3E-3</v>
      </c>
      <c r="Y34" s="99">
        <f t="shared" si="11"/>
        <v>2.3E-3</v>
      </c>
      <c r="Z34" s="99">
        <f t="shared" si="11"/>
        <v>2.3E-3</v>
      </c>
      <c r="AA34" s="99">
        <f t="shared" ref="AA34:AX34" si="12">AA33/12</f>
        <v>2.3E-3</v>
      </c>
      <c r="AB34" s="99">
        <f t="shared" si="12"/>
        <v>2.3E-3</v>
      </c>
      <c r="AC34" s="99">
        <f t="shared" si="12"/>
        <v>2.3E-3</v>
      </c>
      <c r="AD34" s="99">
        <f t="shared" si="12"/>
        <v>2.3E-3</v>
      </c>
      <c r="AE34" s="99">
        <f t="shared" si="12"/>
        <v>2.3E-3</v>
      </c>
      <c r="AF34" s="442">
        <f t="shared" si="12"/>
        <v>2.225E-3</v>
      </c>
      <c r="AG34" s="442">
        <f t="shared" si="12"/>
        <v>2.225E-3</v>
      </c>
      <c r="AH34" s="442">
        <f t="shared" si="12"/>
        <v>2.225E-3</v>
      </c>
      <c r="AI34" s="442">
        <f t="shared" si="12"/>
        <v>2.225E-3</v>
      </c>
      <c r="AJ34" s="442">
        <f t="shared" si="12"/>
        <v>2.225E-3</v>
      </c>
      <c r="AK34" s="442">
        <f t="shared" si="12"/>
        <v>2.225E-3</v>
      </c>
      <c r="AL34" s="442">
        <f t="shared" si="12"/>
        <v>2.225E-3</v>
      </c>
      <c r="AM34" s="442">
        <f>AM33/12</f>
        <v>2.15E-3</v>
      </c>
      <c r="AN34" s="442">
        <f t="shared" si="12"/>
        <v>2.15E-3</v>
      </c>
      <c r="AO34" s="442">
        <f t="shared" si="12"/>
        <v>2.15E-3</v>
      </c>
      <c r="AP34" s="442">
        <f t="shared" si="12"/>
        <v>2.15E-3</v>
      </c>
      <c r="AQ34" s="442">
        <f t="shared" si="12"/>
        <v>2.15E-3</v>
      </c>
      <c r="AR34" s="442">
        <f t="shared" si="12"/>
        <v>2.15E-3</v>
      </c>
      <c r="AS34" s="442">
        <f t="shared" si="12"/>
        <v>2.15E-3</v>
      </c>
      <c r="AT34" s="442">
        <f t="shared" si="12"/>
        <v>2.15E-3</v>
      </c>
      <c r="AU34" s="442">
        <f t="shared" si="12"/>
        <v>2.15E-3</v>
      </c>
      <c r="AV34" s="442">
        <f t="shared" si="12"/>
        <v>2.15E-3</v>
      </c>
      <c r="AW34" s="442">
        <f t="shared" si="12"/>
        <v>2.15E-3</v>
      </c>
      <c r="AX34" s="442">
        <f t="shared" si="12"/>
        <v>2.15E-3</v>
      </c>
    </row>
    <row r="35" spans="1:50" ht="25.5">
      <c r="A35" s="72">
        <v>27</v>
      </c>
      <c r="B35" s="12" t="s">
        <v>22</v>
      </c>
    </row>
    <row r="36" spans="1:50">
      <c r="A36" s="73">
        <v>28</v>
      </c>
      <c r="B36" s="5" t="s">
        <v>18</v>
      </c>
      <c r="C36" s="158"/>
      <c r="D36" s="158"/>
      <c r="E36" s="158">
        <f>'Def Tax'!E44</f>
        <v>108.9427388005</v>
      </c>
      <c r="F36" s="158">
        <f>'Def Tax'!$E45</f>
        <v>97.144569265335619</v>
      </c>
      <c r="G36" s="158">
        <f>'Def Tax'!$E46</f>
        <v>99.688751699468426</v>
      </c>
      <c r="H36" s="158">
        <f>'Def Tax'!$E47</f>
        <v>101.61776230725765</v>
      </c>
      <c r="I36" s="158">
        <f>'Def Tax'!$E48</f>
        <v>104.45774635116589</v>
      </c>
      <c r="J36" s="158">
        <f>'Def Tax'!$E49</f>
        <v>105.94236284694209</v>
      </c>
      <c r="K36" s="158">
        <f>'Def Tax'!$E50</f>
        <v>108.08632551415722</v>
      </c>
      <c r="L36" s="158">
        <f>'Def Tax'!$E51</f>
        <v>111.73351285609712</v>
      </c>
      <c r="M36" s="158">
        <f>'Def Tax'!$E52</f>
        <v>113.75467454835423</v>
      </c>
      <c r="N36" s="158">
        <f>'Def Tax'!$E53</f>
        <v>114.97044828586752</v>
      </c>
      <c r="O36" s="158">
        <f>'Def Tax'!$E56</f>
        <v>134.98227739137241</v>
      </c>
      <c r="P36" s="158">
        <f>'Def Tax'!$E57</f>
        <v>137.61849691264811</v>
      </c>
      <c r="Q36" s="158">
        <f>'Def Tax'!$E58</f>
        <v>140.36347005079972</v>
      </c>
      <c r="R36" s="158">
        <f>'Def Tax'!$E59</f>
        <v>146.33503477839383</v>
      </c>
      <c r="S36" s="158">
        <f>'Def Tax'!$E60</f>
        <v>152.99941344692292</v>
      </c>
      <c r="T36" s="158">
        <f>'Def Tax'!$E62</f>
        <v>165.87708909595045</v>
      </c>
      <c r="U36" s="158">
        <f>'Def Tax'!$E66</f>
        <v>164.19727929701631</v>
      </c>
      <c r="V36" s="158">
        <f>'Def Tax'!$E67</f>
        <v>180.78203650807433</v>
      </c>
      <c r="W36" s="158">
        <f>'Def Tax'!$E68</f>
        <v>195.75853536081578</v>
      </c>
      <c r="X36" s="158">
        <f>'Def Tax'!$E70</f>
        <v>212.00960940700128</v>
      </c>
      <c r="Y36" s="158">
        <f>'Def Tax'!$E74</f>
        <v>202.25539776745822</v>
      </c>
      <c r="Z36" s="158">
        <f>'Def Tax'!$E78</f>
        <v>190.83325280437523</v>
      </c>
      <c r="AA36" s="158">
        <f>'Def Tax'!$E81</f>
        <v>210.44065448265457</v>
      </c>
      <c r="AB36" s="158">
        <f>'Def Tax'!$E82</f>
        <v>210.57728221433504</v>
      </c>
      <c r="AC36" s="158">
        <f>'Def Tax'!$E83</f>
        <v>212.27412915295139</v>
      </c>
      <c r="AD36" s="158">
        <f>'Def Tax'!$E84</f>
        <v>219.74882206520635</v>
      </c>
      <c r="AE36" s="158">
        <f>'Def Tax'!$E85</f>
        <v>225.17258509679598</v>
      </c>
      <c r="AF36" s="158">
        <f>'Def Tax'!$E87</f>
        <v>233.34596913375844</v>
      </c>
      <c r="AG36" s="158">
        <f>'Def Tax'!$E91</f>
        <v>192.0430700633629</v>
      </c>
      <c r="AH36" s="158">
        <f>'Def Tax'!$E92</f>
        <v>197.91629740744293</v>
      </c>
      <c r="AI36" s="158">
        <f>'Def Tax'!$E93</f>
        <v>205.20202562310669</v>
      </c>
      <c r="AJ36" s="158">
        <f>'Def Tax'!$E94</f>
        <v>216.1780414336437</v>
      </c>
      <c r="AK36" s="158">
        <f>'Def Tax'!$E95</f>
        <v>236.38504581611062</v>
      </c>
      <c r="AL36" s="158">
        <f>'Def Tax'!$E96</f>
        <v>241.37950308598616</v>
      </c>
      <c r="AM36" s="443">
        <f>'Def Tax'!$E100</f>
        <v>257.52442112289236</v>
      </c>
      <c r="AN36" s="443">
        <f>'Def Tax'!$E101</f>
        <v>265.48475279540742</v>
      </c>
      <c r="AO36" s="443">
        <f>'Def Tax'!$E102</f>
        <v>276.56218760163347</v>
      </c>
      <c r="AP36" s="443">
        <f>'Def Tax'!$E104</f>
        <v>293.81555087039197</v>
      </c>
      <c r="AQ36" s="443">
        <f>'Def Tax'!$E108</f>
        <v>304.24087378433308</v>
      </c>
      <c r="AR36" s="443">
        <f>'Def Tax'!$E109</f>
        <v>320.47946021029315</v>
      </c>
      <c r="AS36" s="443">
        <f>'Def Tax'!$E110</f>
        <v>350.97700495097172</v>
      </c>
      <c r="AT36" s="443">
        <f>'Def Tax'!$E111</f>
        <v>376.03127815384141</v>
      </c>
      <c r="AU36" s="443">
        <f>'Def Tax'!$E112</f>
        <v>412.31329897755933</v>
      </c>
      <c r="AV36" s="443">
        <f>'Def Tax'!$E113</f>
        <v>481.79019287848411</v>
      </c>
      <c r="AW36" s="443">
        <f>'Def Tax'!$E114</f>
        <v>566.12258539347624</v>
      </c>
      <c r="AX36" s="443">
        <f>'Def Tax'!$E115</f>
        <v>691.44328109865057</v>
      </c>
    </row>
    <row r="37" spans="1:50">
      <c r="A37" s="72">
        <v>29</v>
      </c>
      <c r="B37" s="16" t="s">
        <v>23</v>
      </c>
      <c r="AM37" s="344"/>
      <c r="AN37" s="344"/>
      <c r="AO37" s="344"/>
      <c r="AP37" s="344"/>
      <c r="AQ37" s="344"/>
      <c r="AR37" s="344"/>
      <c r="AS37" s="344"/>
      <c r="AT37" s="344"/>
      <c r="AU37" s="344"/>
      <c r="AV37" s="344"/>
      <c r="AW37" s="344"/>
      <c r="AX37" s="344"/>
    </row>
    <row r="38" spans="1:50">
      <c r="A38" s="73">
        <v>30</v>
      </c>
      <c r="B38" s="5" t="s">
        <v>16</v>
      </c>
      <c r="C38" s="15"/>
      <c r="D38" s="15"/>
      <c r="E38" s="15">
        <f>'Income Tax Rates'!$C$16</f>
        <v>8.5972999999999994E-2</v>
      </c>
      <c r="F38" s="15">
        <f>'Income Tax Rates'!$C$16</f>
        <v>8.5972999999999994E-2</v>
      </c>
      <c r="G38" s="15">
        <f>'Income Tax Rates'!$C$16</f>
        <v>8.5972999999999994E-2</v>
      </c>
      <c r="H38" s="15">
        <f>'Income Tax Rates'!$C$16</f>
        <v>8.5972999999999994E-2</v>
      </c>
      <c r="I38" s="15">
        <f>'Income Tax Rates'!$C$16</f>
        <v>8.5972999999999994E-2</v>
      </c>
      <c r="J38" s="15">
        <f>'Income Tax Rates'!$C$16</f>
        <v>8.5972999999999994E-2</v>
      </c>
      <c r="K38" s="15">
        <f>'Income Tax Rates'!$C$16</f>
        <v>8.5972999999999994E-2</v>
      </c>
      <c r="L38" s="15">
        <f>'Income Tax Rates'!$C$16</f>
        <v>8.5972999999999994E-2</v>
      </c>
      <c r="M38" s="15">
        <f>'Income Tax Rates'!$C$16</f>
        <v>8.5972999999999994E-2</v>
      </c>
      <c r="N38" s="15">
        <f>'Income Tax Rates'!$C$16</f>
        <v>8.5972999999999994E-2</v>
      </c>
      <c r="O38" s="15">
        <f>'Income Tax Rates'!$C$33</f>
        <v>8.7230769299999997E-2</v>
      </c>
      <c r="P38" s="15">
        <f>'Income Tax Rates'!$C$33</f>
        <v>8.7230769299999997E-2</v>
      </c>
      <c r="Q38" s="15">
        <f>'Income Tax Rates'!$C$33</f>
        <v>8.7230769299999997E-2</v>
      </c>
      <c r="R38" s="15">
        <f>'Income Tax Rates'!$C$33</f>
        <v>8.7230769299999997E-2</v>
      </c>
      <c r="S38" s="15">
        <f>'Income Tax Rates'!$C$33</f>
        <v>8.7230769299999997E-2</v>
      </c>
      <c r="T38" s="15">
        <f>'Income Tax Rates'!$C$33</f>
        <v>8.7230769299999997E-2</v>
      </c>
      <c r="U38" s="15">
        <f>'Income Tax Rates'!$C$33</f>
        <v>8.7230769299999997E-2</v>
      </c>
      <c r="V38" s="15">
        <f>'Income Tax Rates'!$C$33</f>
        <v>8.7230769299999997E-2</v>
      </c>
      <c r="W38" s="15">
        <f>'Income Tax Rates'!$C$33</f>
        <v>8.7230769299999997E-2</v>
      </c>
      <c r="X38" s="15">
        <f>'Income Tax Rates'!$C$33</f>
        <v>8.7230769299999997E-2</v>
      </c>
      <c r="Y38" s="15">
        <f>'Income Tax Rates'!$C$33</f>
        <v>8.7230769299999997E-2</v>
      </c>
      <c r="Z38" s="15">
        <f>'Income Tax Rates'!$C$33</f>
        <v>8.7230769299999997E-2</v>
      </c>
      <c r="AA38" s="320">
        <f>'Income Tax Rates'!$C$52</f>
        <v>8.795E-2</v>
      </c>
      <c r="AB38" s="320">
        <f>'Income Tax Rates'!$C$52</f>
        <v>8.795E-2</v>
      </c>
      <c r="AC38" s="320">
        <f>'Income Tax Rates'!$C$52</f>
        <v>8.795E-2</v>
      </c>
      <c r="AD38" s="320">
        <f>'Income Tax Rates'!$C$52</f>
        <v>8.795E-2</v>
      </c>
      <c r="AE38" s="320">
        <f>'Income Tax Rates'!$C$52</f>
        <v>8.795E-2</v>
      </c>
      <c r="AF38" s="320">
        <f>'Income Tax Rates'!$C$52</f>
        <v>8.795E-2</v>
      </c>
      <c r="AG38" s="320">
        <f>'Income Tax Rates'!$C$52</f>
        <v>8.795E-2</v>
      </c>
      <c r="AH38" s="320">
        <f>'Income Tax Rates'!$C$52</f>
        <v>8.795E-2</v>
      </c>
      <c r="AI38" s="320">
        <f>'Income Tax Rates'!$C$52</f>
        <v>8.795E-2</v>
      </c>
      <c r="AJ38" s="320">
        <f>'Income Tax Rates'!$C$52</f>
        <v>8.795E-2</v>
      </c>
      <c r="AK38" s="320">
        <f>'Income Tax Rates'!$C$52</f>
        <v>8.795E-2</v>
      </c>
      <c r="AL38" s="320">
        <f>'Income Tax Rates'!$C$52</f>
        <v>8.795E-2</v>
      </c>
      <c r="AM38" s="320">
        <f>'Income Tax Rates'!$C$72</f>
        <v>8.8330000000000006E-2</v>
      </c>
      <c r="AN38" s="320">
        <f>'Income Tax Rates'!$C$72</f>
        <v>8.8330000000000006E-2</v>
      </c>
      <c r="AO38" s="320">
        <f>'Income Tax Rates'!$C$72</f>
        <v>8.8330000000000006E-2</v>
      </c>
      <c r="AP38" s="320">
        <f>'Income Tax Rates'!$C$72</f>
        <v>8.8330000000000006E-2</v>
      </c>
      <c r="AQ38" s="320">
        <f>'Income Tax Rates'!$C$72</f>
        <v>8.8330000000000006E-2</v>
      </c>
      <c r="AR38" s="320">
        <f>'Income Tax Rates'!$C$72</f>
        <v>8.8330000000000006E-2</v>
      </c>
      <c r="AS38" s="320">
        <f>'Income Tax Rates'!$C$72</f>
        <v>8.8330000000000006E-2</v>
      </c>
      <c r="AT38" s="320">
        <f>'Income Tax Rates'!$C$72</f>
        <v>8.8330000000000006E-2</v>
      </c>
      <c r="AU38" s="320">
        <f>'Income Tax Rates'!$C$72</f>
        <v>8.8330000000000006E-2</v>
      </c>
      <c r="AV38" s="320">
        <f>'Income Tax Rates'!$C$72</f>
        <v>8.8330000000000006E-2</v>
      </c>
      <c r="AW38" s="320">
        <f>'Income Tax Rates'!$C$72</f>
        <v>8.8330000000000006E-2</v>
      </c>
      <c r="AX38" s="320">
        <f>'Income Tax Rates'!$C$72</f>
        <v>8.8330000000000006E-2</v>
      </c>
    </row>
    <row r="39" spans="1:50">
      <c r="A39" s="72">
        <v>31</v>
      </c>
      <c r="B39" s="5" t="s">
        <v>49</v>
      </c>
      <c r="C39" s="88"/>
      <c r="D39" s="88"/>
      <c r="E39" s="88">
        <f t="shared" ref="E39:M39" si="13">((E22*(E26-E34))+E36)*E38</f>
        <v>19.69592520348106</v>
      </c>
      <c r="F39" s="88">
        <f t="shared" si="13"/>
        <v>18.816812807635444</v>
      </c>
      <c r="G39" s="88">
        <f t="shared" si="13"/>
        <v>19.226913890883001</v>
      </c>
      <c r="H39" s="88">
        <f t="shared" si="13"/>
        <v>19.596684732077666</v>
      </c>
      <c r="I39" s="88">
        <f t="shared" si="13"/>
        <v>20.019921607339278</v>
      </c>
      <c r="J39" s="88">
        <f t="shared" si="13"/>
        <v>20.289128636500642</v>
      </c>
      <c r="K39" s="88">
        <f t="shared" si="13"/>
        <v>20.721554754802387</v>
      </c>
      <c r="L39" s="88">
        <f t="shared" si="13"/>
        <v>21.274132066444043</v>
      </c>
      <c r="M39" s="88">
        <f t="shared" si="13"/>
        <v>21.561505998407672</v>
      </c>
      <c r="N39" s="88">
        <f t="shared" ref="N39:V39" si="14">((N22*(N26-N34))+N36)*N38</f>
        <v>21.954846580595227</v>
      </c>
      <c r="O39" s="88">
        <f t="shared" si="14"/>
        <v>23.997386050938186</v>
      </c>
      <c r="P39" s="88">
        <f t="shared" si="14"/>
        <v>24.425547343610539</v>
      </c>
      <c r="Q39" s="88">
        <f t="shared" si="14"/>
        <v>25.007841935989067</v>
      </c>
      <c r="R39" s="88">
        <f t="shared" si="14"/>
        <v>26.041449138860024</v>
      </c>
      <c r="S39" s="88">
        <f t="shared" si="14"/>
        <v>27.436705610000367</v>
      </c>
      <c r="T39" s="88">
        <f t="shared" si="14"/>
        <v>29.011039955214269</v>
      </c>
      <c r="U39" s="88">
        <f t="shared" si="14"/>
        <v>29.475067638541368</v>
      </c>
      <c r="V39" s="88">
        <f t="shared" si="14"/>
        <v>32.251745641551551</v>
      </c>
      <c r="W39" s="88">
        <f t="shared" ref="W39:AX39" si="15">((W22*(W26-W34))+W36)*W38</f>
        <v>34.864402582810406</v>
      </c>
      <c r="X39" s="88">
        <f t="shared" si="15"/>
        <v>36.537747096360022</v>
      </c>
      <c r="Y39" s="88">
        <f t="shared" si="15"/>
        <v>34.778762787729278</v>
      </c>
      <c r="Z39" s="88">
        <f t="shared" si="15"/>
        <v>33.987746168143907</v>
      </c>
      <c r="AA39" s="88">
        <f t="shared" si="15"/>
        <v>36.664063152675048</v>
      </c>
      <c r="AB39" s="88">
        <f t="shared" si="15"/>
        <v>36.694632112640619</v>
      </c>
      <c r="AC39" s="88">
        <f t="shared" si="15"/>
        <v>37.181499945330181</v>
      </c>
      <c r="AD39" s="88">
        <f t="shared" si="15"/>
        <v>38.335591442225912</v>
      </c>
      <c r="AE39" s="88">
        <f t="shared" si="15"/>
        <v>39.334472502397873</v>
      </c>
      <c r="AF39" s="88">
        <f t="shared" si="15"/>
        <v>38.730454442212974</v>
      </c>
      <c r="AG39" s="88">
        <f t="shared" si="15"/>
        <v>33.711216369094835</v>
      </c>
      <c r="AH39" s="88">
        <f t="shared" si="15"/>
        <v>34.729766741992066</v>
      </c>
      <c r="AI39" s="88">
        <f t="shared" si="15"/>
        <v>36.090829606015966</v>
      </c>
      <c r="AJ39" s="88">
        <f t="shared" si="15"/>
        <v>38.336613661585211</v>
      </c>
      <c r="AK39" s="88">
        <f t="shared" si="15"/>
        <v>41.121659188553501</v>
      </c>
      <c r="AL39" s="88">
        <f t="shared" si="15"/>
        <v>42.381359141799948</v>
      </c>
      <c r="AM39" s="444">
        <f t="shared" si="15"/>
        <v>44.875193634961384</v>
      </c>
      <c r="AN39" s="444">
        <f t="shared" si="15"/>
        <v>46.337284952302809</v>
      </c>
      <c r="AO39" s="444">
        <f t="shared" si="15"/>
        <v>48.475750019458403</v>
      </c>
      <c r="AP39" s="444">
        <f t="shared" si="15"/>
        <v>51.12610829042238</v>
      </c>
      <c r="AQ39" s="444">
        <f t="shared" si="15"/>
        <v>53.118609967551549</v>
      </c>
      <c r="AR39" s="444">
        <f t="shared" si="15"/>
        <v>56.492711968753333</v>
      </c>
      <c r="AS39" s="444">
        <f t="shared" si="15"/>
        <v>61.500867080593068</v>
      </c>
      <c r="AT39" s="444">
        <f t="shared" si="15"/>
        <v>66.266261770949015</v>
      </c>
      <c r="AU39" s="444">
        <f t="shared" si="15"/>
        <v>73.955978551914484</v>
      </c>
      <c r="AV39" s="444">
        <f t="shared" si="15"/>
        <v>86.659335398417198</v>
      </c>
      <c r="AW39" s="444">
        <f t="shared" si="15"/>
        <v>103.08662897007788</v>
      </c>
      <c r="AX39" s="444">
        <f t="shared" si="15"/>
        <v>125.35033371603251</v>
      </c>
    </row>
    <row r="40" spans="1:50">
      <c r="A40" s="73">
        <v>32</v>
      </c>
      <c r="B40" s="5"/>
    </row>
    <row r="41" spans="1:50">
      <c r="A41" s="72">
        <v>33</v>
      </c>
      <c r="B41" s="11" t="s">
        <v>50</v>
      </c>
    </row>
    <row r="42" spans="1:50" ht="32.25" customHeight="1">
      <c r="A42" s="73">
        <v>34</v>
      </c>
      <c r="B42" s="120" t="s">
        <v>109</v>
      </c>
    </row>
    <row r="43" spans="1:50">
      <c r="A43" s="72">
        <v>35</v>
      </c>
      <c r="B43" s="5" t="s">
        <v>51</v>
      </c>
      <c r="C43" s="14"/>
      <c r="D43" s="14"/>
      <c r="E43" s="14">
        <f>'Income Tax Rates'!$C$17</f>
        <v>0.35</v>
      </c>
      <c r="F43" s="14">
        <f>'Income Tax Rates'!$C$17</f>
        <v>0.35</v>
      </c>
      <c r="G43" s="14">
        <f>'Income Tax Rates'!$C$17</f>
        <v>0.35</v>
      </c>
      <c r="H43" s="14">
        <f>'Income Tax Rates'!$C$17</f>
        <v>0.35</v>
      </c>
      <c r="I43" s="14">
        <f>'Income Tax Rates'!$C$17</f>
        <v>0.35</v>
      </c>
      <c r="J43" s="14">
        <f>'Income Tax Rates'!$C$17</f>
        <v>0.35</v>
      </c>
      <c r="K43" s="14">
        <f>'Income Tax Rates'!$C$17</f>
        <v>0.35</v>
      </c>
      <c r="L43" s="14">
        <f>'Income Tax Rates'!$C$17</f>
        <v>0.35</v>
      </c>
      <c r="M43" s="14">
        <f>'Income Tax Rates'!$C$17</f>
        <v>0.35</v>
      </c>
      <c r="N43" s="14">
        <f>'Income Tax Rates'!$C$17</f>
        <v>0.35</v>
      </c>
      <c r="O43" s="14">
        <f>'Income Tax Rates'!$C$17</f>
        <v>0.35</v>
      </c>
      <c r="P43" s="14">
        <f>'Income Tax Rates'!$C$17</f>
        <v>0.35</v>
      </c>
      <c r="Q43" s="14">
        <f>'Income Tax Rates'!$C$17</f>
        <v>0.35</v>
      </c>
      <c r="R43" s="14">
        <f>'Income Tax Rates'!$C$17</f>
        <v>0.35</v>
      </c>
      <c r="S43" s="14">
        <f>'Income Tax Rates'!$C$17</f>
        <v>0.35</v>
      </c>
      <c r="T43" s="14">
        <f>'Income Tax Rates'!$C$17</f>
        <v>0.35</v>
      </c>
      <c r="U43" s="14">
        <f>'Income Tax Rates'!$C$17</f>
        <v>0.35</v>
      </c>
      <c r="V43" s="14">
        <f>'Income Tax Rates'!$C$17</f>
        <v>0.35</v>
      </c>
      <c r="W43" s="14">
        <f>'Income Tax Rates'!$C$17</f>
        <v>0.35</v>
      </c>
      <c r="X43" s="14">
        <f>'Income Tax Rates'!$C$17</f>
        <v>0.35</v>
      </c>
      <c r="Y43" s="14">
        <f>'Income Tax Rates'!$C$17</f>
        <v>0.35</v>
      </c>
      <c r="Z43" s="14">
        <f>'Income Tax Rates'!$C$17</f>
        <v>0.35</v>
      </c>
      <c r="AA43" s="321">
        <f>'Income Tax Rates'!$C$53</f>
        <v>0.35</v>
      </c>
      <c r="AB43" s="321">
        <f>'Income Tax Rates'!$C$53</f>
        <v>0.35</v>
      </c>
      <c r="AC43" s="321">
        <f>'Income Tax Rates'!$C$53</f>
        <v>0.35</v>
      </c>
      <c r="AD43" s="321">
        <f>'Income Tax Rates'!$C$53</f>
        <v>0.35</v>
      </c>
      <c r="AE43" s="321">
        <f>'Income Tax Rates'!$C$53</f>
        <v>0.35</v>
      </c>
      <c r="AF43" s="321">
        <f>'Income Tax Rates'!$C$53</f>
        <v>0.35</v>
      </c>
      <c r="AG43" s="321">
        <f>'Income Tax Rates'!$C$53</f>
        <v>0.35</v>
      </c>
      <c r="AH43" s="321">
        <f>'Income Tax Rates'!$C$53</f>
        <v>0.35</v>
      </c>
      <c r="AI43" s="321">
        <f>'Income Tax Rates'!$C$53</f>
        <v>0.35</v>
      </c>
      <c r="AJ43" s="321">
        <f>'Income Tax Rates'!$C$53</f>
        <v>0.35</v>
      </c>
      <c r="AK43" s="321">
        <f>'Income Tax Rates'!$C$53</f>
        <v>0.35</v>
      </c>
      <c r="AL43" s="321">
        <f>'Income Tax Rates'!$C$53</f>
        <v>0.35</v>
      </c>
      <c r="AM43" s="321">
        <f>'Income Tax Rates'!$C73</f>
        <v>0.35</v>
      </c>
      <c r="AN43" s="321">
        <f>'Income Tax Rates'!$C73</f>
        <v>0.35</v>
      </c>
      <c r="AO43" s="321">
        <f>'Income Tax Rates'!$C73</f>
        <v>0.35</v>
      </c>
      <c r="AP43" s="321">
        <f>'Income Tax Rates'!$C73</f>
        <v>0.35</v>
      </c>
      <c r="AQ43" s="321">
        <f>'Income Tax Rates'!$C73</f>
        <v>0.35</v>
      </c>
      <c r="AR43" s="321">
        <f>'Income Tax Rates'!$C73</f>
        <v>0.35</v>
      </c>
      <c r="AS43" s="321">
        <f>'Income Tax Rates'!$C73</f>
        <v>0.35</v>
      </c>
      <c r="AT43" s="321">
        <f>'Income Tax Rates'!$C73</f>
        <v>0.35</v>
      </c>
      <c r="AU43" s="321">
        <f>'Income Tax Rates'!$C73</f>
        <v>0.35</v>
      </c>
      <c r="AV43" s="321">
        <f>'Income Tax Rates'!$C73</f>
        <v>0.35</v>
      </c>
      <c r="AW43" s="321">
        <f>'Income Tax Rates'!$C73</f>
        <v>0.35</v>
      </c>
      <c r="AX43" s="321">
        <f>'Income Tax Rates'!$C73</f>
        <v>0.35</v>
      </c>
    </row>
    <row r="44" spans="1:50">
      <c r="A44" s="73">
        <v>36</v>
      </c>
      <c r="B44" s="5" t="s">
        <v>52</v>
      </c>
      <c r="C44" s="88"/>
      <c r="D44" s="88"/>
      <c r="E44" s="88">
        <f t="shared" ref="E44:N44" si="16">((E22*(E26-E34))-E39+E36)*E43</f>
        <v>73.289435044569387</v>
      </c>
      <c r="F44" s="88">
        <f t="shared" si="16"/>
        <v>70.018217766550066</v>
      </c>
      <c r="G44" s="88">
        <f t="shared" si="16"/>
        <v>71.544222581854086</v>
      </c>
      <c r="H44" s="88">
        <f t="shared" si="16"/>
        <v>72.920156729000539</v>
      </c>
      <c r="I44" s="88">
        <f t="shared" si="16"/>
        <v>74.495040424866232</v>
      </c>
      <c r="J44" s="88">
        <f t="shared" si="16"/>
        <v>75.49677204566747</v>
      </c>
      <c r="K44" s="88">
        <f t="shared" si="16"/>
        <v>77.105849333554929</v>
      </c>
      <c r="L44" s="88">
        <f t="shared" si="16"/>
        <v>79.162014686046533</v>
      </c>
      <c r="M44" s="88">
        <f t="shared" si="16"/>
        <v>80.231346179873896</v>
      </c>
      <c r="N44" s="88">
        <f t="shared" si="16"/>
        <v>81.694984407111519</v>
      </c>
      <c r="O44" s="88">
        <f t="shared" ref="O44:Z44" si="17">((O22*(O26-O34))-O39+O36)*O43</f>
        <v>87.886723034827298</v>
      </c>
      <c r="P44" s="88">
        <f t="shared" si="17"/>
        <v>89.454797693602799</v>
      </c>
      <c r="Q44" s="88">
        <f t="shared" si="17"/>
        <v>91.587361776058287</v>
      </c>
      <c r="R44" s="88">
        <f t="shared" si="17"/>
        <v>95.37278864599736</v>
      </c>
      <c r="S44" s="88">
        <f t="shared" si="17"/>
        <v>100.48270014974914</v>
      </c>
      <c r="T44" s="88">
        <f t="shared" si="17"/>
        <v>106.24845673125068</v>
      </c>
      <c r="U44" s="88">
        <f t="shared" si="17"/>
        <v>107.94788651074818</v>
      </c>
      <c r="V44" s="88">
        <f t="shared" si="17"/>
        <v>118.11704118823907</v>
      </c>
      <c r="W44" s="88">
        <f t="shared" si="17"/>
        <v>127.68549403948029</v>
      </c>
      <c r="X44" s="88">
        <f t="shared" si="17"/>
        <v>133.81386008284917</v>
      </c>
      <c r="Y44" s="88">
        <f t="shared" si="17"/>
        <v>127.37185150628616</v>
      </c>
      <c r="Z44" s="88">
        <f t="shared" si="17"/>
        <v>124.47487521003963</v>
      </c>
      <c r="AA44" s="88">
        <f t="shared" ref="AA44:AX44" si="18">((AA22*(AA26-AA34))-AA39+AA36)*AA43</f>
        <v>133.07345741260994</v>
      </c>
      <c r="AB44" s="88">
        <f t="shared" si="18"/>
        <v>133.18440848683181</v>
      </c>
      <c r="AC44" s="88">
        <f t="shared" si="18"/>
        <v>134.95151175438812</v>
      </c>
      <c r="AD44" s="88">
        <f t="shared" si="18"/>
        <v>139.14032588071348</v>
      </c>
      <c r="AE44" s="88">
        <f t="shared" si="18"/>
        <v>142.76579847679582</v>
      </c>
      <c r="AF44" s="88">
        <f t="shared" si="18"/>
        <v>140.57349449581713</v>
      </c>
      <c r="AG44" s="88">
        <f t="shared" si="18"/>
        <v>122.35600012849947</v>
      </c>
      <c r="AH44" s="88">
        <f t="shared" si="18"/>
        <v>126.05286316045314</v>
      </c>
      <c r="AI44" s="88">
        <f t="shared" si="18"/>
        <v>130.99288686479136</v>
      </c>
      <c r="AJ44" s="88">
        <f t="shared" si="18"/>
        <v>139.1440360604557</v>
      </c>
      <c r="AK44" s="88">
        <f t="shared" si="18"/>
        <v>149.25245300764155</v>
      </c>
      <c r="AL44" s="88">
        <f t="shared" si="18"/>
        <v>153.82457659860745</v>
      </c>
      <c r="AM44" s="444">
        <f>((AM22*(AM26-AM34))-AM39+AM36)*AM43</f>
        <v>162.10776319953396</v>
      </c>
      <c r="AN44" s="444">
        <f t="shared" si="18"/>
        <v>167.38944186984111</v>
      </c>
      <c r="AO44" s="444">
        <f t="shared" si="18"/>
        <v>175.11446232405603</v>
      </c>
      <c r="AP44" s="444">
        <f t="shared" si="18"/>
        <v>184.68865278835364</v>
      </c>
      <c r="AQ44" s="444">
        <f t="shared" si="18"/>
        <v>191.88639309624367</v>
      </c>
      <c r="AR44" s="444">
        <f t="shared" si="18"/>
        <v>204.07504530956268</v>
      </c>
      <c r="AS44" s="444">
        <f t="shared" si="18"/>
        <v>222.16657332704057</v>
      </c>
      <c r="AT44" s="444">
        <f t="shared" si="18"/>
        <v>239.38115027796189</v>
      </c>
      <c r="AU44" s="444">
        <f t="shared" si="18"/>
        <v>267.15958834199427</v>
      </c>
      <c r="AV44" s="444">
        <f t="shared" si="18"/>
        <v>313.04936834525358</v>
      </c>
      <c r="AW44" s="444">
        <f t="shared" si="18"/>
        <v>372.39154830298662</v>
      </c>
      <c r="AX44" s="444">
        <f t="shared" si="18"/>
        <v>452.817259805427</v>
      </c>
    </row>
    <row r="45" spans="1:50">
      <c r="A45" s="72">
        <v>37</v>
      </c>
      <c r="B45" s="5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</row>
    <row r="46" spans="1:50" ht="25.5">
      <c r="A46" s="73">
        <v>38</v>
      </c>
      <c r="B46" s="12" t="s">
        <v>53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AM46" s="344"/>
      <c r="AN46" s="344"/>
      <c r="AO46" s="344"/>
      <c r="AP46" s="344"/>
      <c r="AQ46" s="344"/>
      <c r="AR46" s="344"/>
      <c r="AS46" s="344"/>
      <c r="AT46" s="344"/>
      <c r="AU46" s="344"/>
      <c r="AV46" s="344"/>
      <c r="AW46" s="344"/>
      <c r="AX46" s="344"/>
    </row>
    <row r="47" spans="1:50">
      <c r="A47" s="72">
        <v>39</v>
      </c>
      <c r="B47" s="5" t="s">
        <v>58</v>
      </c>
      <c r="C47" s="158"/>
      <c r="D47" s="158"/>
      <c r="E47" s="158">
        <f>-'Def Tax'!$F44</f>
        <v>-44.218005652563335</v>
      </c>
      <c r="F47" s="158">
        <f>-'Def Tax'!$F45</f>
        <v>-39.429329207122208</v>
      </c>
      <c r="G47" s="158">
        <f>-'Def Tax'!$F46</f>
        <v>-40.461969606035339</v>
      </c>
      <c r="H47" s="158">
        <f>-'Def Tax'!$F47</f>
        <v>-41.244922218556653</v>
      </c>
      <c r="I47" s="158">
        <f>-'Def Tax'!$F48</f>
        <v>-42.397623462250259</v>
      </c>
      <c r="J47" s="158">
        <f>-'Def Tax'!$F49</f>
        <v>-43.000204059405391</v>
      </c>
      <c r="K47" s="158">
        <f>-'Def Tax'!$F50</f>
        <v>-43.87040205866267</v>
      </c>
      <c r="L47" s="158">
        <f>-'Def Tax'!$F51</f>
        <v>-45.350733398571258</v>
      </c>
      <c r="M47" s="158">
        <f>-'Def Tax'!$F52</f>
        <v>-46.171088569709653</v>
      </c>
      <c r="N47" s="158">
        <f>-'Def Tax'!$F53</f>
        <v>-46.664550461612762</v>
      </c>
      <c r="O47" s="158">
        <f>-'Def Tax'!$F56</f>
        <v>-54.897261074659767</v>
      </c>
      <c r="P47" s="158">
        <f>-'Def Tax'!$F57</f>
        <v>-55.969410945786748</v>
      </c>
      <c r="Q47" s="158">
        <f>-'Def Tax'!$F58</f>
        <v>-57.085790887807704</v>
      </c>
      <c r="R47" s="158">
        <f>-'Def Tax'!$F59</f>
        <v>-59.514424884880249</v>
      </c>
      <c r="S47" s="158">
        <f>-'Def Tax'!$F60</f>
        <v>-62.224826151898867</v>
      </c>
      <c r="T47" s="158">
        <f>-'Def Tax'!$F62</f>
        <v>-67.462173867478597</v>
      </c>
      <c r="U47" s="158">
        <f>-'Def Tax'!$F66</f>
        <v>-66.778995609784204</v>
      </c>
      <c r="V47" s="158">
        <f>-'Def Tax'!$F67</f>
        <v>-73.524012541418003</v>
      </c>
      <c r="W47" s="158">
        <f>-'Def Tax'!$F68</f>
        <v>-79.614951169749673</v>
      </c>
      <c r="X47" s="158">
        <f>-'Def Tax'!$F70</f>
        <v>-86.224259235210539</v>
      </c>
      <c r="Y47" s="158">
        <f>-'Def Tax'!$F74</f>
        <v>-82.257223611705001</v>
      </c>
      <c r="Z47" s="158">
        <f>-'Def Tax'!$F78</f>
        <v>-77.611839890307991</v>
      </c>
      <c r="AA47" s="158">
        <f>-'Def Tax'!$F81</f>
        <v>-85.691434505336943</v>
      </c>
      <c r="AB47" s="158">
        <f>-'Def Tax'!$F82</f>
        <v>-85.74706931767723</v>
      </c>
      <c r="AC47" s="158">
        <f>-'Def Tax'!$F83</f>
        <v>-86.438025391081808</v>
      </c>
      <c r="AD47" s="158">
        <f>-'Def Tax'!$F84</f>
        <v>-89.481720344952024</v>
      </c>
      <c r="AE47" s="158">
        <f>-'Def Tax'!$F85</f>
        <v>-91.690276651415331</v>
      </c>
      <c r="AF47" s="158">
        <f>-'Def Tax'!$F89</f>
        <v>-95.018478631266447</v>
      </c>
      <c r="AG47" s="158">
        <f>-'Def Tax'!$F91</f>
        <v>-78.199938129801382</v>
      </c>
      <c r="AH47" s="158">
        <f>-'Def Tax'!$F92</f>
        <v>-80.591516304310758</v>
      </c>
      <c r="AI47" s="158">
        <f>-'Def Tax'!$F93</f>
        <v>-83.558264833729041</v>
      </c>
      <c r="AJ47" s="158">
        <f>-'Def Tax'!$F94</f>
        <v>-88.027698471779715</v>
      </c>
      <c r="AK47" s="158">
        <f>-'Def Tax'!$F95</f>
        <v>-96.25599065632025</v>
      </c>
      <c r="AL47" s="158">
        <f>-'Def Tax'!$F96</f>
        <v>-98.289733656613564</v>
      </c>
      <c r="AM47" s="443">
        <f>-'Def Tax'!$F100</f>
        <v>-104.91544916546634</v>
      </c>
      <c r="AN47" s="443">
        <f>-'Def Tax'!$F101</f>
        <v>-108.15848828884897</v>
      </c>
      <c r="AO47" s="443">
        <f>-'Def Tax'!$F102</f>
        <v>-112.67143522890547</v>
      </c>
      <c r="AP47" s="443">
        <f>-'Def Tax'!$F104</f>
        <v>-119.70045542459769</v>
      </c>
      <c r="AQ47" s="443">
        <f>-'Def Tax'!$F108</f>
        <v>-123.94773197973728</v>
      </c>
      <c r="AR47" s="443">
        <f>-'Def Tax'!$F109</f>
        <v>-130.56333208967342</v>
      </c>
      <c r="AS47" s="443">
        <f>-'Def Tax'!$F110</f>
        <v>-142.98803181702587</v>
      </c>
      <c r="AT47" s="443">
        <f>-'Def Tax'!$F111</f>
        <v>-153.19514271987498</v>
      </c>
      <c r="AU47" s="443">
        <f>-'Def Tax'!$F112</f>
        <v>-167.97643800345767</v>
      </c>
      <c r="AV47" s="443">
        <f>-'Def Tax'!$F113</f>
        <v>-196.28132457869441</v>
      </c>
      <c r="AW47" s="443">
        <f>-'Def Tax'!$F114</f>
        <v>-230.63834128930222</v>
      </c>
      <c r="AX47" s="443">
        <f>-'Def Tax'!$F115</f>
        <v>-281.69399271959026</v>
      </c>
    </row>
    <row r="48" spans="1:50">
      <c r="A48" s="73">
        <v>40</v>
      </c>
      <c r="B48" s="5"/>
      <c r="AM48" s="344"/>
      <c r="AN48" s="344"/>
      <c r="AO48" s="344"/>
      <c r="AP48" s="344"/>
      <c r="AQ48" s="344"/>
      <c r="AR48" s="344"/>
      <c r="AS48" s="344"/>
      <c r="AT48" s="344"/>
      <c r="AU48" s="344"/>
      <c r="AV48" s="344"/>
      <c r="AW48" s="344"/>
      <c r="AX48" s="344"/>
    </row>
    <row r="49" spans="1:50">
      <c r="A49" s="72">
        <v>41</v>
      </c>
      <c r="B49" s="11" t="s">
        <v>54</v>
      </c>
      <c r="AM49" s="344"/>
      <c r="AN49" s="344"/>
      <c r="AO49" s="344"/>
      <c r="AP49" s="344"/>
      <c r="AQ49" s="344"/>
      <c r="AR49" s="344"/>
      <c r="AS49" s="344"/>
      <c r="AT49" s="344"/>
      <c r="AU49" s="344"/>
      <c r="AV49" s="344"/>
      <c r="AW49" s="344"/>
      <c r="AX49" s="344"/>
    </row>
    <row r="50" spans="1:50">
      <c r="A50" s="73">
        <v>42</v>
      </c>
      <c r="B50" s="11" t="s">
        <v>55</v>
      </c>
      <c r="AM50" s="344"/>
      <c r="AN50" s="344"/>
      <c r="AO50" s="344"/>
      <c r="AP50" s="344"/>
      <c r="AQ50" s="344"/>
      <c r="AR50" s="344"/>
      <c r="AS50" s="344"/>
      <c r="AT50" s="344"/>
      <c r="AU50" s="344"/>
      <c r="AV50" s="344"/>
      <c r="AW50" s="344"/>
      <c r="AX50" s="344"/>
    </row>
    <row r="51" spans="1:50" ht="25.5">
      <c r="A51" s="72">
        <v>43</v>
      </c>
      <c r="B51" s="12" t="s">
        <v>56</v>
      </c>
      <c r="AM51" s="344"/>
      <c r="AN51" s="344"/>
      <c r="AO51" s="344"/>
      <c r="AP51" s="344"/>
      <c r="AQ51" s="344"/>
      <c r="AR51" s="344"/>
      <c r="AS51" s="344"/>
      <c r="AT51" s="344"/>
      <c r="AU51" s="344"/>
      <c r="AV51" s="344"/>
      <c r="AW51" s="344"/>
      <c r="AX51" s="344"/>
    </row>
    <row r="52" spans="1:50">
      <c r="A52" s="73">
        <v>44</v>
      </c>
      <c r="B52" s="5" t="s">
        <v>57</v>
      </c>
      <c r="C52" s="55"/>
      <c r="D52" s="55"/>
      <c r="E52" s="55">
        <f>'Income Tax Rates'!$C$19</f>
        <v>0.40588299999999994</v>
      </c>
      <c r="F52" s="55">
        <f>'Income Tax Rates'!$C$19</f>
        <v>0.40588299999999994</v>
      </c>
      <c r="G52" s="55">
        <f>'Income Tax Rates'!$C$19</f>
        <v>0.40588299999999994</v>
      </c>
      <c r="H52" s="55">
        <f>'Income Tax Rates'!$C$19</f>
        <v>0.40588299999999994</v>
      </c>
      <c r="I52" s="55">
        <f>'Income Tax Rates'!$C$19</f>
        <v>0.40588299999999994</v>
      </c>
      <c r="J52" s="55">
        <f>'Income Tax Rates'!$C$19</f>
        <v>0.40588299999999994</v>
      </c>
      <c r="K52" s="55">
        <f>'Income Tax Rates'!$C$19</f>
        <v>0.40588299999999994</v>
      </c>
      <c r="L52" s="55">
        <f>'Income Tax Rates'!$C$19</f>
        <v>0.40588299999999994</v>
      </c>
      <c r="M52" s="55">
        <f>'Income Tax Rates'!$C$19</f>
        <v>0.40588299999999994</v>
      </c>
      <c r="N52" s="55">
        <f>'Income Tax Rates'!$C$19</f>
        <v>0.40588299999999994</v>
      </c>
      <c r="O52" s="55">
        <f>'Income Tax Rates'!$C$36</f>
        <v>0.40669976930000001</v>
      </c>
      <c r="P52" s="55">
        <f>'Income Tax Rates'!$C$36</f>
        <v>0.40669976930000001</v>
      </c>
      <c r="Q52" s="55">
        <f>'Income Tax Rates'!$C$36</f>
        <v>0.40669976930000001</v>
      </c>
      <c r="R52" s="55">
        <f>'Income Tax Rates'!$C$36</f>
        <v>0.40669976930000001</v>
      </c>
      <c r="S52" s="55">
        <f>'Income Tax Rates'!$C$36</f>
        <v>0.40669976930000001</v>
      </c>
      <c r="T52" s="55">
        <f>'Income Tax Rates'!$C$36</f>
        <v>0.40669976930000001</v>
      </c>
      <c r="U52" s="55">
        <f>'Income Tax Rates'!$C$36</f>
        <v>0.40669976930000001</v>
      </c>
      <c r="V52" s="55">
        <f>'Income Tax Rates'!$C$36</f>
        <v>0.40669976930000001</v>
      </c>
      <c r="W52" s="55">
        <f>'Income Tax Rates'!$C$36</f>
        <v>0.40669976930000001</v>
      </c>
      <c r="X52" s="55">
        <f>'Income Tax Rates'!$C$36</f>
        <v>0.40669976930000001</v>
      </c>
      <c r="Y52" s="55">
        <f>'Income Tax Rates'!$C$36</f>
        <v>0.40669976930000001</v>
      </c>
      <c r="Z52" s="55">
        <f>'Income Tax Rates'!$C$36</f>
        <v>0.40669976930000001</v>
      </c>
      <c r="AA52" s="55">
        <f>'Income Tax Rates'!$C$56</f>
        <v>0.40720000000000001</v>
      </c>
      <c r="AB52" s="55">
        <f>'Income Tax Rates'!$C$56</f>
        <v>0.40720000000000001</v>
      </c>
      <c r="AC52" s="55">
        <f>'Income Tax Rates'!$C$56</f>
        <v>0.40720000000000001</v>
      </c>
      <c r="AD52" s="55">
        <f>'Income Tax Rates'!$C$56</f>
        <v>0.40720000000000001</v>
      </c>
      <c r="AE52" s="55">
        <f>'Income Tax Rates'!$C$56</f>
        <v>0.40720000000000001</v>
      </c>
      <c r="AF52" s="55">
        <f>'Income Tax Rates'!$C$56</f>
        <v>0.40720000000000001</v>
      </c>
      <c r="AG52" s="55">
        <f>'Income Tax Rates'!$C$56</f>
        <v>0.40720000000000001</v>
      </c>
      <c r="AH52" s="55">
        <f>'Income Tax Rates'!$C$56</f>
        <v>0.40720000000000001</v>
      </c>
      <c r="AI52" s="55">
        <f>'Income Tax Rates'!$C$56</f>
        <v>0.40720000000000001</v>
      </c>
      <c r="AJ52" s="55">
        <f>'Income Tax Rates'!$C$56</f>
        <v>0.40720000000000001</v>
      </c>
      <c r="AK52" s="55">
        <f>'Income Tax Rates'!$C$56</f>
        <v>0.40720000000000001</v>
      </c>
      <c r="AL52" s="55">
        <f>'Income Tax Rates'!$C$56</f>
        <v>0.40720000000000001</v>
      </c>
      <c r="AM52" s="55">
        <f>'Income Tax Rates'!$C$76</f>
        <v>0.40739999999999998</v>
      </c>
      <c r="AN52" s="55">
        <f>'Income Tax Rates'!$C$76</f>
        <v>0.40739999999999998</v>
      </c>
      <c r="AO52" s="55">
        <f>'Income Tax Rates'!$C$76</f>
        <v>0.40739999999999998</v>
      </c>
      <c r="AP52" s="55">
        <f>'Income Tax Rates'!$C$76</f>
        <v>0.40739999999999998</v>
      </c>
      <c r="AQ52" s="55">
        <f>'Income Tax Rates'!$C$76</f>
        <v>0.40739999999999998</v>
      </c>
      <c r="AR52" s="55">
        <f>'Income Tax Rates'!$C$76</f>
        <v>0.40739999999999998</v>
      </c>
      <c r="AS52" s="55">
        <f>'Income Tax Rates'!$C$76</f>
        <v>0.40739999999999998</v>
      </c>
      <c r="AT52" s="55">
        <f>'Income Tax Rates'!$C$76</f>
        <v>0.40739999999999998</v>
      </c>
      <c r="AU52" s="55">
        <f>'Income Tax Rates'!$C$76</f>
        <v>0.40739999999999998</v>
      </c>
      <c r="AV52" s="55">
        <f>'Income Tax Rates'!$C$76</f>
        <v>0.40739999999999998</v>
      </c>
      <c r="AW52" s="55">
        <f>'Income Tax Rates'!$C$76</f>
        <v>0.40739999999999998</v>
      </c>
      <c r="AX52" s="55">
        <f>'Income Tax Rates'!$C$76</f>
        <v>0.40739999999999998</v>
      </c>
    </row>
    <row r="53" spans="1:50">
      <c r="A53" s="72">
        <v>45</v>
      </c>
      <c r="B53" s="5" t="s">
        <v>59</v>
      </c>
      <c r="C53" s="58"/>
      <c r="D53" s="58"/>
      <c r="E53" s="58">
        <f t="shared" ref="E53:N53" si="19">1/(1-E52)</f>
        <v>1.683170149987292</v>
      </c>
      <c r="F53" s="58">
        <f t="shared" si="19"/>
        <v>1.683170149987292</v>
      </c>
      <c r="G53" s="58">
        <f t="shared" si="19"/>
        <v>1.683170149987292</v>
      </c>
      <c r="H53" s="58">
        <f t="shared" si="19"/>
        <v>1.683170149987292</v>
      </c>
      <c r="I53" s="58">
        <f t="shared" si="19"/>
        <v>1.683170149987292</v>
      </c>
      <c r="J53" s="58">
        <f t="shared" si="19"/>
        <v>1.683170149987292</v>
      </c>
      <c r="K53" s="58">
        <f t="shared" si="19"/>
        <v>1.683170149987292</v>
      </c>
      <c r="L53" s="58">
        <f t="shared" si="19"/>
        <v>1.683170149987292</v>
      </c>
      <c r="M53" s="58">
        <f t="shared" si="19"/>
        <v>1.683170149987292</v>
      </c>
      <c r="N53" s="58">
        <f t="shared" si="19"/>
        <v>1.683170149987292</v>
      </c>
      <c r="O53" s="58">
        <f t="shared" ref="O53:Z53" si="20">1/(1-O52)</f>
        <v>1.6854872933727989</v>
      </c>
      <c r="P53" s="58">
        <f t="shared" si="20"/>
        <v>1.6854872933727989</v>
      </c>
      <c r="Q53" s="58">
        <f t="shared" si="20"/>
        <v>1.6854872933727989</v>
      </c>
      <c r="R53" s="58">
        <f t="shared" si="20"/>
        <v>1.6854872933727989</v>
      </c>
      <c r="S53" s="58">
        <f t="shared" si="20"/>
        <v>1.6854872933727989</v>
      </c>
      <c r="T53" s="58">
        <f t="shared" si="20"/>
        <v>1.6854872933727989</v>
      </c>
      <c r="U53" s="58">
        <f t="shared" si="20"/>
        <v>1.6854872933727989</v>
      </c>
      <c r="V53" s="58">
        <f t="shared" si="20"/>
        <v>1.6854872933727989</v>
      </c>
      <c r="W53" s="58">
        <f t="shared" si="20"/>
        <v>1.6854872933727989</v>
      </c>
      <c r="X53" s="58">
        <f t="shared" si="20"/>
        <v>1.6854872933727989</v>
      </c>
      <c r="Y53" s="58">
        <f t="shared" si="20"/>
        <v>1.6854872933727989</v>
      </c>
      <c r="Z53" s="58">
        <f t="shared" si="20"/>
        <v>1.6854872933727989</v>
      </c>
      <c r="AA53" s="58">
        <f t="shared" ref="AA53:AX53" si="21">1/(1-AA52)</f>
        <v>1.6869095816464237</v>
      </c>
      <c r="AB53" s="58">
        <f t="shared" si="21"/>
        <v>1.6869095816464237</v>
      </c>
      <c r="AC53" s="58">
        <f t="shared" si="21"/>
        <v>1.6869095816464237</v>
      </c>
      <c r="AD53" s="58">
        <f t="shared" si="21"/>
        <v>1.6869095816464237</v>
      </c>
      <c r="AE53" s="58">
        <f t="shared" si="21"/>
        <v>1.6869095816464237</v>
      </c>
      <c r="AF53" s="58">
        <f t="shared" si="21"/>
        <v>1.6869095816464237</v>
      </c>
      <c r="AG53" s="58">
        <f t="shared" si="21"/>
        <v>1.6869095816464237</v>
      </c>
      <c r="AH53" s="58">
        <f t="shared" si="21"/>
        <v>1.6869095816464237</v>
      </c>
      <c r="AI53" s="58">
        <f t="shared" si="21"/>
        <v>1.6869095816464237</v>
      </c>
      <c r="AJ53" s="58">
        <f t="shared" si="21"/>
        <v>1.6869095816464237</v>
      </c>
      <c r="AK53" s="58">
        <f t="shared" si="21"/>
        <v>1.6869095816464237</v>
      </c>
      <c r="AL53" s="58">
        <f t="shared" si="21"/>
        <v>1.6869095816464237</v>
      </c>
      <c r="AM53" s="445">
        <f t="shared" si="21"/>
        <v>1.6874789065136686</v>
      </c>
      <c r="AN53" s="445">
        <f t="shared" si="21"/>
        <v>1.6874789065136686</v>
      </c>
      <c r="AO53" s="445">
        <f t="shared" si="21"/>
        <v>1.6874789065136686</v>
      </c>
      <c r="AP53" s="445">
        <f t="shared" si="21"/>
        <v>1.6874789065136686</v>
      </c>
      <c r="AQ53" s="445">
        <f t="shared" si="21"/>
        <v>1.6874789065136686</v>
      </c>
      <c r="AR53" s="445">
        <f t="shared" si="21"/>
        <v>1.6874789065136686</v>
      </c>
      <c r="AS53" s="445">
        <f t="shared" si="21"/>
        <v>1.6874789065136686</v>
      </c>
      <c r="AT53" s="445">
        <f t="shared" si="21"/>
        <v>1.6874789065136686</v>
      </c>
      <c r="AU53" s="445">
        <f t="shared" si="21"/>
        <v>1.6874789065136686</v>
      </c>
      <c r="AV53" s="445">
        <f t="shared" si="21"/>
        <v>1.6874789065136686</v>
      </c>
      <c r="AW53" s="445">
        <f t="shared" si="21"/>
        <v>1.6874789065136686</v>
      </c>
      <c r="AX53" s="445">
        <f t="shared" si="21"/>
        <v>1.6874789065136686</v>
      </c>
    </row>
    <row r="54" spans="1:50">
      <c r="A54" s="73">
        <v>46</v>
      </c>
      <c r="B54" s="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</row>
    <row r="55" spans="1:50" ht="15.75">
      <c r="A55" s="72">
        <v>47</v>
      </c>
      <c r="B55" s="53" t="s">
        <v>93</v>
      </c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AM55" s="344"/>
      <c r="AN55" s="344"/>
      <c r="AO55" s="344"/>
      <c r="AP55" s="344"/>
      <c r="AQ55" s="344"/>
      <c r="AR55" s="344"/>
      <c r="AS55" s="344"/>
      <c r="AT55" s="344"/>
      <c r="AU55" s="344"/>
      <c r="AV55" s="344"/>
      <c r="AW55" s="344"/>
      <c r="AX55" s="344"/>
    </row>
    <row r="56" spans="1:50">
      <c r="A56" s="73">
        <v>48</v>
      </c>
      <c r="B56" s="5" t="s">
        <v>49</v>
      </c>
      <c r="C56" s="59"/>
      <c r="D56" s="59"/>
      <c r="E56" s="59">
        <f t="shared" ref="E56:Z56" si="22">E39</f>
        <v>19.69592520348106</v>
      </c>
      <c r="F56" s="59">
        <f t="shared" si="22"/>
        <v>18.816812807635444</v>
      </c>
      <c r="G56" s="59">
        <f t="shared" si="22"/>
        <v>19.226913890883001</v>
      </c>
      <c r="H56" s="59">
        <f t="shared" si="22"/>
        <v>19.596684732077666</v>
      </c>
      <c r="I56" s="59">
        <f t="shared" si="22"/>
        <v>20.019921607339278</v>
      </c>
      <c r="J56" s="59">
        <f t="shared" si="22"/>
        <v>20.289128636500642</v>
      </c>
      <c r="K56" s="59">
        <f t="shared" si="22"/>
        <v>20.721554754802387</v>
      </c>
      <c r="L56" s="59">
        <f t="shared" si="22"/>
        <v>21.274132066444043</v>
      </c>
      <c r="M56" s="59">
        <f t="shared" si="22"/>
        <v>21.561505998407672</v>
      </c>
      <c r="N56" s="59">
        <f t="shared" si="22"/>
        <v>21.954846580595227</v>
      </c>
      <c r="O56" s="59">
        <f t="shared" si="22"/>
        <v>23.997386050938186</v>
      </c>
      <c r="P56" s="59">
        <f t="shared" si="22"/>
        <v>24.425547343610539</v>
      </c>
      <c r="Q56" s="59">
        <f t="shared" si="22"/>
        <v>25.007841935989067</v>
      </c>
      <c r="R56" s="59">
        <f t="shared" si="22"/>
        <v>26.041449138860024</v>
      </c>
      <c r="S56" s="59">
        <f t="shared" si="22"/>
        <v>27.436705610000367</v>
      </c>
      <c r="T56" s="59">
        <f t="shared" si="22"/>
        <v>29.011039955214269</v>
      </c>
      <c r="U56" s="59">
        <f t="shared" si="22"/>
        <v>29.475067638541368</v>
      </c>
      <c r="V56" s="59">
        <f t="shared" si="22"/>
        <v>32.251745641551551</v>
      </c>
      <c r="W56" s="59">
        <f t="shared" si="22"/>
        <v>34.864402582810406</v>
      </c>
      <c r="X56" s="59">
        <f t="shared" si="22"/>
        <v>36.537747096360022</v>
      </c>
      <c r="Y56" s="59">
        <f t="shared" si="22"/>
        <v>34.778762787729278</v>
      </c>
      <c r="Z56" s="59">
        <f t="shared" si="22"/>
        <v>33.987746168143907</v>
      </c>
      <c r="AA56" s="59">
        <f t="shared" ref="AA56:AX56" si="23">AA39</f>
        <v>36.664063152675048</v>
      </c>
      <c r="AB56" s="59">
        <f t="shared" si="23"/>
        <v>36.694632112640619</v>
      </c>
      <c r="AC56" s="59">
        <f t="shared" si="23"/>
        <v>37.181499945330181</v>
      </c>
      <c r="AD56" s="59">
        <f t="shared" si="23"/>
        <v>38.335591442225912</v>
      </c>
      <c r="AE56" s="59">
        <f t="shared" si="23"/>
        <v>39.334472502397873</v>
      </c>
      <c r="AF56" s="59">
        <f t="shared" si="23"/>
        <v>38.730454442212974</v>
      </c>
      <c r="AG56" s="59">
        <f t="shared" si="23"/>
        <v>33.711216369094835</v>
      </c>
      <c r="AH56" s="59">
        <f t="shared" si="23"/>
        <v>34.729766741992066</v>
      </c>
      <c r="AI56" s="59">
        <f t="shared" si="23"/>
        <v>36.090829606015966</v>
      </c>
      <c r="AJ56" s="59">
        <f t="shared" si="23"/>
        <v>38.336613661585211</v>
      </c>
      <c r="AK56" s="59">
        <f t="shared" si="23"/>
        <v>41.121659188553501</v>
      </c>
      <c r="AL56" s="59">
        <f t="shared" si="23"/>
        <v>42.381359141799948</v>
      </c>
      <c r="AM56" s="59">
        <f t="shared" si="23"/>
        <v>44.875193634961384</v>
      </c>
      <c r="AN56" s="59">
        <f t="shared" si="23"/>
        <v>46.337284952302809</v>
      </c>
      <c r="AO56" s="59">
        <f t="shared" si="23"/>
        <v>48.475750019458403</v>
      </c>
      <c r="AP56" s="59">
        <f t="shared" si="23"/>
        <v>51.12610829042238</v>
      </c>
      <c r="AQ56" s="59">
        <f t="shared" si="23"/>
        <v>53.118609967551549</v>
      </c>
      <c r="AR56" s="59">
        <f t="shared" si="23"/>
        <v>56.492711968753333</v>
      </c>
      <c r="AS56" s="59">
        <f t="shared" si="23"/>
        <v>61.500867080593068</v>
      </c>
      <c r="AT56" s="59">
        <f t="shared" si="23"/>
        <v>66.266261770949015</v>
      </c>
      <c r="AU56" s="59">
        <f t="shared" si="23"/>
        <v>73.955978551914484</v>
      </c>
      <c r="AV56" s="59">
        <f t="shared" si="23"/>
        <v>86.659335398417198</v>
      </c>
      <c r="AW56" s="59">
        <f t="shared" si="23"/>
        <v>103.08662897007788</v>
      </c>
      <c r="AX56" s="59">
        <f t="shared" si="23"/>
        <v>125.35033371603251</v>
      </c>
    </row>
    <row r="57" spans="1:50">
      <c r="A57" s="72">
        <v>49</v>
      </c>
      <c r="B57" s="5" t="s">
        <v>52</v>
      </c>
      <c r="C57" s="59"/>
      <c r="D57" s="59"/>
      <c r="E57" s="59">
        <f t="shared" ref="E57:Z57" si="24">E44</f>
        <v>73.289435044569387</v>
      </c>
      <c r="F57" s="59">
        <f t="shared" si="24"/>
        <v>70.018217766550066</v>
      </c>
      <c r="G57" s="59">
        <f t="shared" si="24"/>
        <v>71.544222581854086</v>
      </c>
      <c r="H57" s="59">
        <f t="shared" si="24"/>
        <v>72.920156729000539</v>
      </c>
      <c r="I57" s="59">
        <f t="shared" si="24"/>
        <v>74.495040424866232</v>
      </c>
      <c r="J57" s="59">
        <f t="shared" si="24"/>
        <v>75.49677204566747</v>
      </c>
      <c r="K57" s="59">
        <f t="shared" si="24"/>
        <v>77.105849333554929</v>
      </c>
      <c r="L57" s="59">
        <f t="shared" si="24"/>
        <v>79.162014686046533</v>
      </c>
      <c r="M57" s="59">
        <f t="shared" si="24"/>
        <v>80.231346179873896</v>
      </c>
      <c r="N57" s="59">
        <f t="shared" si="24"/>
        <v>81.694984407111519</v>
      </c>
      <c r="O57" s="59">
        <f t="shared" si="24"/>
        <v>87.886723034827298</v>
      </c>
      <c r="P57" s="59">
        <f t="shared" si="24"/>
        <v>89.454797693602799</v>
      </c>
      <c r="Q57" s="59">
        <f t="shared" si="24"/>
        <v>91.587361776058287</v>
      </c>
      <c r="R57" s="59">
        <f t="shared" si="24"/>
        <v>95.37278864599736</v>
      </c>
      <c r="S57" s="59">
        <f t="shared" si="24"/>
        <v>100.48270014974914</v>
      </c>
      <c r="T57" s="59">
        <f t="shared" si="24"/>
        <v>106.24845673125068</v>
      </c>
      <c r="U57" s="59">
        <f t="shared" si="24"/>
        <v>107.94788651074818</v>
      </c>
      <c r="V57" s="59">
        <f t="shared" si="24"/>
        <v>118.11704118823907</v>
      </c>
      <c r="W57" s="59">
        <f t="shared" si="24"/>
        <v>127.68549403948029</v>
      </c>
      <c r="X57" s="59">
        <f t="shared" si="24"/>
        <v>133.81386008284917</v>
      </c>
      <c r="Y57" s="59">
        <f t="shared" si="24"/>
        <v>127.37185150628616</v>
      </c>
      <c r="Z57" s="59">
        <f t="shared" si="24"/>
        <v>124.47487521003963</v>
      </c>
      <c r="AA57" s="59">
        <f t="shared" ref="AA57:AX57" si="25">AA44</f>
        <v>133.07345741260994</v>
      </c>
      <c r="AB57" s="59">
        <f t="shared" si="25"/>
        <v>133.18440848683181</v>
      </c>
      <c r="AC57" s="59">
        <f t="shared" si="25"/>
        <v>134.95151175438812</v>
      </c>
      <c r="AD57" s="59">
        <f t="shared" si="25"/>
        <v>139.14032588071348</v>
      </c>
      <c r="AE57" s="59">
        <f t="shared" si="25"/>
        <v>142.76579847679582</v>
      </c>
      <c r="AF57" s="59">
        <f t="shared" si="25"/>
        <v>140.57349449581713</v>
      </c>
      <c r="AG57" s="59">
        <f t="shared" si="25"/>
        <v>122.35600012849947</v>
      </c>
      <c r="AH57" s="59">
        <f t="shared" si="25"/>
        <v>126.05286316045314</v>
      </c>
      <c r="AI57" s="59">
        <f t="shared" si="25"/>
        <v>130.99288686479136</v>
      </c>
      <c r="AJ57" s="59">
        <f t="shared" si="25"/>
        <v>139.1440360604557</v>
      </c>
      <c r="AK57" s="59">
        <f t="shared" si="25"/>
        <v>149.25245300764155</v>
      </c>
      <c r="AL57" s="59">
        <f t="shared" si="25"/>
        <v>153.82457659860745</v>
      </c>
      <c r="AM57" s="59">
        <f t="shared" si="25"/>
        <v>162.10776319953396</v>
      </c>
      <c r="AN57" s="59">
        <f t="shared" si="25"/>
        <v>167.38944186984111</v>
      </c>
      <c r="AO57" s="59">
        <f t="shared" si="25"/>
        <v>175.11446232405603</v>
      </c>
      <c r="AP57" s="59">
        <f t="shared" si="25"/>
        <v>184.68865278835364</v>
      </c>
      <c r="AQ57" s="59">
        <f t="shared" si="25"/>
        <v>191.88639309624367</v>
      </c>
      <c r="AR57" s="59">
        <f t="shared" si="25"/>
        <v>204.07504530956268</v>
      </c>
      <c r="AS57" s="59">
        <f t="shared" si="25"/>
        <v>222.16657332704057</v>
      </c>
      <c r="AT57" s="59">
        <f t="shared" si="25"/>
        <v>239.38115027796189</v>
      </c>
      <c r="AU57" s="59">
        <f t="shared" si="25"/>
        <v>267.15958834199427</v>
      </c>
      <c r="AV57" s="59">
        <f t="shared" si="25"/>
        <v>313.04936834525358</v>
      </c>
      <c r="AW57" s="59">
        <f t="shared" si="25"/>
        <v>372.39154830298662</v>
      </c>
      <c r="AX57" s="59">
        <f t="shared" si="25"/>
        <v>452.817259805427</v>
      </c>
    </row>
    <row r="58" spans="1:50">
      <c r="A58" s="73">
        <v>50</v>
      </c>
      <c r="B58" s="5" t="s">
        <v>58</v>
      </c>
      <c r="C58" s="60"/>
      <c r="D58" s="60"/>
      <c r="E58" s="60">
        <f t="shared" ref="E58:Z58" si="26">E47</f>
        <v>-44.218005652563335</v>
      </c>
      <c r="F58" s="60">
        <f t="shared" si="26"/>
        <v>-39.429329207122208</v>
      </c>
      <c r="G58" s="60">
        <f t="shared" si="26"/>
        <v>-40.461969606035339</v>
      </c>
      <c r="H58" s="60">
        <f t="shared" si="26"/>
        <v>-41.244922218556653</v>
      </c>
      <c r="I58" s="60">
        <f t="shared" si="26"/>
        <v>-42.397623462250259</v>
      </c>
      <c r="J58" s="60">
        <f t="shared" si="26"/>
        <v>-43.000204059405391</v>
      </c>
      <c r="K58" s="60">
        <f t="shared" si="26"/>
        <v>-43.87040205866267</v>
      </c>
      <c r="L58" s="60">
        <f t="shared" si="26"/>
        <v>-45.350733398571258</v>
      </c>
      <c r="M58" s="60">
        <f t="shared" si="26"/>
        <v>-46.171088569709653</v>
      </c>
      <c r="N58" s="60">
        <f t="shared" si="26"/>
        <v>-46.664550461612762</v>
      </c>
      <c r="O58" s="60">
        <f t="shared" si="26"/>
        <v>-54.897261074659767</v>
      </c>
      <c r="P58" s="60">
        <f t="shared" si="26"/>
        <v>-55.969410945786748</v>
      </c>
      <c r="Q58" s="60">
        <f t="shared" si="26"/>
        <v>-57.085790887807704</v>
      </c>
      <c r="R58" s="60">
        <f t="shared" si="26"/>
        <v>-59.514424884880249</v>
      </c>
      <c r="S58" s="60">
        <f t="shared" si="26"/>
        <v>-62.224826151898867</v>
      </c>
      <c r="T58" s="60">
        <f t="shared" si="26"/>
        <v>-67.462173867478597</v>
      </c>
      <c r="U58" s="60">
        <f t="shared" si="26"/>
        <v>-66.778995609784204</v>
      </c>
      <c r="V58" s="60">
        <f t="shared" si="26"/>
        <v>-73.524012541418003</v>
      </c>
      <c r="W58" s="60">
        <f t="shared" si="26"/>
        <v>-79.614951169749673</v>
      </c>
      <c r="X58" s="60">
        <f t="shared" si="26"/>
        <v>-86.224259235210539</v>
      </c>
      <c r="Y58" s="60">
        <f t="shared" si="26"/>
        <v>-82.257223611705001</v>
      </c>
      <c r="Z58" s="60">
        <f t="shared" si="26"/>
        <v>-77.611839890307991</v>
      </c>
      <c r="AA58" s="60">
        <f t="shared" ref="AA58:AX58" si="27">AA47</f>
        <v>-85.691434505336943</v>
      </c>
      <c r="AB58" s="60">
        <f t="shared" si="27"/>
        <v>-85.74706931767723</v>
      </c>
      <c r="AC58" s="60">
        <f t="shared" si="27"/>
        <v>-86.438025391081808</v>
      </c>
      <c r="AD58" s="60">
        <f t="shared" si="27"/>
        <v>-89.481720344952024</v>
      </c>
      <c r="AE58" s="60">
        <f t="shared" si="27"/>
        <v>-91.690276651415331</v>
      </c>
      <c r="AF58" s="60">
        <f t="shared" si="27"/>
        <v>-95.018478631266447</v>
      </c>
      <c r="AG58" s="60">
        <f t="shared" si="27"/>
        <v>-78.199938129801382</v>
      </c>
      <c r="AH58" s="60">
        <f t="shared" si="27"/>
        <v>-80.591516304310758</v>
      </c>
      <c r="AI58" s="60">
        <f t="shared" si="27"/>
        <v>-83.558264833729041</v>
      </c>
      <c r="AJ58" s="60">
        <f t="shared" si="27"/>
        <v>-88.027698471779715</v>
      </c>
      <c r="AK58" s="60">
        <f t="shared" si="27"/>
        <v>-96.25599065632025</v>
      </c>
      <c r="AL58" s="60">
        <f t="shared" si="27"/>
        <v>-98.289733656613564</v>
      </c>
      <c r="AM58" s="437">
        <f t="shared" si="27"/>
        <v>-104.91544916546634</v>
      </c>
      <c r="AN58" s="437">
        <f t="shared" si="27"/>
        <v>-108.15848828884897</v>
      </c>
      <c r="AO58" s="437">
        <f t="shared" si="27"/>
        <v>-112.67143522890547</v>
      </c>
      <c r="AP58" s="437">
        <f t="shared" si="27"/>
        <v>-119.70045542459769</v>
      </c>
      <c r="AQ58" s="437">
        <f t="shared" si="27"/>
        <v>-123.94773197973728</v>
      </c>
      <c r="AR58" s="437">
        <f t="shared" si="27"/>
        <v>-130.56333208967342</v>
      </c>
      <c r="AS58" s="437">
        <f t="shared" si="27"/>
        <v>-142.98803181702587</v>
      </c>
      <c r="AT58" s="437">
        <f t="shared" si="27"/>
        <v>-153.19514271987498</v>
      </c>
      <c r="AU58" s="437">
        <f t="shared" si="27"/>
        <v>-167.97643800345767</v>
      </c>
      <c r="AV58" s="437">
        <f t="shared" si="27"/>
        <v>-196.28132457869441</v>
      </c>
      <c r="AW58" s="437">
        <f t="shared" si="27"/>
        <v>-230.63834128930222</v>
      </c>
      <c r="AX58" s="437">
        <f t="shared" si="27"/>
        <v>-281.69399271959026</v>
      </c>
    </row>
    <row r="59" spans="1:50">
      <c r="A59" s="72">
        <v>51</v>
      </c>
      <c r="B59" s="5" t="s">
        <v>59</v>
      </c>
      <c r="C59" s="57"/>
      <c r="D59" s="57"/>
      <c r="E59" s="57">
        <f t="shared" ref="E59:Z59" si="28">E53</f>
        <v>1.683170149987292</v>
      </c>
      <c r="F59" s="57">
        <f t="shared" si="28"/>
        <v>1.683170149987292</v>
      </c>
      <c r="G59" s="57">
        <f t="shared" si="28"/>
        <v>1.683170149987292</v>
      </c>
      <c r="H59" s="57">
        <f t="shared" si="28"/>
        <v>1.683170149987292</v>
      </c>
      <c r="I59" s="57">
        <f t="shared" si="28"/>
        <v>1.683170149987292</v>
      </c>
      <c r="J59" s="57">
        <f t="shared" si="28"/>
        <v>1.683170149987292</v>
      </c>
      <c r="K59" s="57">
        <f t="shared" si="28"/>
        <v>1.683170149987292</v>
      </c>
      <c r="L59" s="57">
        <f t="shared" si="28"/>
        <v>1.683170149987292</v>
      </c>
      <c r="M59" s="57">
        <f t="shared" si="28"/>
        <v>1.683170149987292</v>
      </c>
      <c r="N59" s="57">
        <f t="shared" si="28"/>
        <v>1.683170149987292</v>
      </c>
      <c r="O59" s="57">
        <f t="shared" si="28"/>
        <v>1.6854872933727989</v>
      </c>
      <c r="P59" s="57">
        <f t="shared" si="28"/>
        <v>1.6854872933727989</v>
      </c>
      <c r="Q59" s="57">
        <f t="shared" si="28"/>
        <v>1.6854872933727989</v>
      </c>
      <c r="R59" s="57">
        <f t="shared" si="28"/>
        <v>1.6854872933727989</v>
      </c>
      <c r="S59" s="57">
        <f t="shared" si="28"/>
        <v>1.6854872933727989</v>
      </c>
      <c r="T59" s="57">
        <f t="shared" si="28"/>
        <v>1.6854872933727989</v>
      </c>
      <c r="U59" s="57">
        <f t="shared" si="28"/>
        <v>1.6854872933727989</v>
      </c>
      <c r="V59" s="57">
        <f t="shared" si="28"/>
        <v>1.6854872933727989</v>
      </c>
      <c r="W59" s="57">
        <f t="shared" si="28"/>
        <v>1.6854872933727989</v>
      </c>
      <c r="X59" s="57">
        <f t="shared" si="28"/>
        <v>1.6854872933727989</v>
      </c>
      <c r="Y59" s="57">
        <f t="shared" si="28"/>
        <v>1.6854872933727989</v>
      </c>
      <c r="Z59" s="57">
        <f t="shared" si="28"/>
        <v>1.6854872933727989</v>
      </c>
      <c r="AA59" s="57">
        <f t="shared" ref="AA59:AX59" si="29">AA53</f>
        <v>1.6869095816464237</v>
      </c>
      <c r="AB59" s="57">
        <f t="shared" si="29"/>
        <v>1.6869095816464237</v>
      </c>
      <c r="AC59" s="57">
        <f t="shared" si="29"/>
        <v>1.6869095816464237</v>
      </c>
      <c r="AD59" s="57">
        <f t="shared" si="29"/>
        <v>1.6869095816464237</v>
      </c>
      <c r="AE59" s="57">
        <f t="shared" si="29"/>
        <v>1.6869095816464237</v>
      </c>
      <c r="AF59" s="57">
        <f t="shared" si="29"/>
        <v>1.6869095816464237</v>
      </c>
      <c r="AG59" s="57">
        <f t="shared" si="29"/>
        <v>1.6869095816464237</v>
      </c>
      <c r="AH59" s="57">
        <f t="shared" si="29"/>
        <v>1.6869095816464237</v>
      </c>
      <c r="AI59" s="57">
        <f t="shared" si="29"/>
        <v>1.6869095816464237</v>
      </c>
      <c r="AJ59" s="57">
        <f t="shared" si="29"/>
        <v>1.6869095816464237</v>
      </c>
      <c r="AK59" s="57">
        <f t="shared" si="29"/>
        <v>1.6869095816464237</v>
      </c>
      <c r="AL59" s="57">
        <f t="shared" si="29"/>
        <v>1.6869095816464237</v>
      </c>
      <c r="AM59" s="438">
        <f t="shared" si="29"/>
        <v>1.6874789065136686</v>
      </c>
      <c r="AN59" s="438">
        <f t="shared" si="29"/>
        <v>1.6874789065136686</v>
      </c>
      <c r="AO59" s="438">
        <f t="shared" si="29"/>
        <v>1.6874789065136686</v>
      </c>
      <c r="AP59" s="438">
        <f t="shared" si="29"/>
        <v>1.6874789065136686</v>
      </c>
      <c r="AQ59" s="438">
        <f t="shared" si="29"/>
        <v>1.6874789065136686</v>
      </c>
      <c r="AR59" s="438">
        <f t="shared" si="29"/>
        <v>1.6874789065136686</v>
      </c>
      <c r="AS59" s="438">
        <f t="shared" si="29"/>
        <v>1.6874789065136686</v>
      </c>
      <c r="AT59" s="438">
        <f t="shared" si="29"/>
        <v>1.6874789065136686</v>
      </c>
      <c r="AU59" s="438">
        <f t="shared" si="29"/>
        <v>1.6874789065136686</v>
      </c>
      <c r="AV59" s="438">
        <f t="shared" si="29"/>
        <v>1.6874789065136686</v>
      </c>
      <c r="AW59" s="438">
        <f t="shared" si="29"/>
        <v>1.6874789065136686</v>
      </c>
      <c r="AX59" s="438">
        <f t="shared" si="29"/>
        <v>1.6874789065136686</v>
      </c>
    </row>
    <row r="60" spans="1:50">
      <c r="A60" s="73">
        <v>52</v>
      </c>
      <c r="B60" s="61" t="s">
        <v>60</v>
      </c>
      <c r="C60" s="66"/>
      <c r="D60" s="66"/>
      <c r="E60" s="66">
        <f t="shared" ref="E60:N60" si="30">(E56+E57+E58)*E59</f>
        <v>82.083755548969506</v>
      </c>
      <c r="F60" s="66">
        <f t="shared" si="30"/>
        <v>83.158201780227287</v>
      </c>
      <c r="G60" s="66">
        <f t="shared" si="30"/>
        <v>84.678887940762081</v>
      </c>
      <c r="H60" s="66">
        <f t="shared" si="30"/>
        <v>86.29936400157132</v>
      </c>
      <c r="I60" s="66">
        <f t="shared" si="30"/>
        <v>87.722348577730074</v>
      </c>
      <c r="J60" s="66">
        <f t="shared" si="30"/>
        <v>88.847308901719231</v>
      </c>
      <c r="K60" s="66">
        <f t="shared" si="30"/>
        <v>90.81881519918575</v>
      </c>
      <c r="L60" s="66">
        <f t="shared" si="30"/>
        <v>92.718123457028355</v>
      </c>
      <c r="M60" s="66">
        <f t="shared" si="30"/>
        <v>93.620892195597676</v>
      </c>
      <c r="N60" s="66">
        <f t="shared" si="30"/>
        <v>95.915923170173528</v>
      </c>
      <c r="O60" s="66">
        <f t="shared" ref="O60:Z60" si="31">(O56+O57+O58)*O59</f>
        <v>96.050608212085649</v>
      </c>
      <c r="P60" s="66">
        <f t="shared" si="31"/>
        <v>97.608143558449157</v>
      </c>
      <c r="Q60" s="66">
        <f t="shared" si="31"/>
        <v>100.30235915133221</v>
      </c>
      <c r="R60" s="66">
        <f t="shared" si="31"/>
        <v>104.33134810506513</v>
      </c>
      <c r="S60" s="66">
        <f t="shared" si="31"/>
        <v>110.72737917250005</v>
      </c>
      <c r="T60" s="66">
        <f t="shared" si="31"/>
        <v>114.27152613609522</v>
      </c>
      <c r="U60" s="66">
        <f t="shared" si="31"/>
        <v>119.06949447189109</v>
      </c>
      <c r="V60" s="66">
        <f t="shared" si="31"/>
        <v>129.52089062515282</v>
      </c>
      <c r="W60" s="66">
        <f t="shared" si="31"/>
        <v>139.7857967368241</v>
      </c>
      <c r="X60" s="66">
        <f t="shared" si="31"/>
        <v>141.795575984762</v>
      </c>
      <c r="Y60" s="66">
        <f t="shared" si="31"/>
        <v>134.659294819503</v>
      </c>
      <c r="Z60" s="66">
        <f t="shared" si="31"/>
        <v>136.27296485707495</v>
      </c>
      <c r="AA60" s="66">
        <f t="shared" ref="AA60:AX60" si="32">(AA56+AA57+AA58)*AA59</f>
        <v>141.7781478744063</v>
      </c>
      <c r="AB60" s="66">
        <f t="shared" si="32"/>
        <v>141.92302847806207</v>
      </c>
      <c r="AC60" s="66">
        <f t="shared" si="32"/>
        <v>144.559693503098</v>
      </c>
      <c r="AD60" s="66">
        <f t="shared" si="32"/>
        <v>148.43825401144966</v>
      </c>
      <c r="AE60" s="66">
        <f t="shared" si="32"/>
        <v>152.51348570812812</v>
      </c>
      <c r="AF60" s="66">
        <f t="shared" si="32"/>
        <v>142.18196745405473</v>
      </c>
      <c r="AG60" s="66">
        <f t="shared" si="32"/>
        <v>131.35505797535916</v>
      </c>
      <c r="AH60" s="66">
        <f t="shared" si="32"/>
        <v>135.2751578915898</v>
      </c>
      <c r="AI60" s="66">
        <f t="shared" si="32"/>
        <v>140.89988467793233</v>
      </c>
      <c r="AJ60" s="66">
        <f t="shared" si="32"/>
        <v>150.89904057061605</v>
      </c>
      <c r="AK60" s="66">
        <f t="shared" si="32"/>
        <v>158.76876103217748</v>
      </c>
      <c r="AL60" s="66">
        <f t="shared" si="32"/>
        <v>165.17577949357934</v>
      </c>
      <c r="AM60" s="446">
        <f t="shared" si="32"/>
        <v>172.23676623190858</v>
      </c>
      <c r="AN60" s="446">
        <f t="shared" si="32"/>
        <v>178.14417572273868</v>
      </c>
      <c r="AO60" s="446">
        <f t="shared" si="32"/>
        <v>187.17309671719372</v>
      </c>
      <c r="AP60" s="446">
        <f t="shared" si="32"/>
        <v>195.94044153590676</v>
      </c>
      <c r="AQ60" s="446">
        <f t="shared" si="32"/>
        <v>204.28159143445484</v>
      </c>
      <c r="AR60" s="446">
        <f t="shared" si="32"/>
        <v>219.37972525926867</v>
      </c>
      <c r="AS60" s="446">
        <f t="shared" si="32"/>
        <v>237.39353457746842</v>
      </c>
      <c r="AT60" s="446">
        <f t="shared" si="32"/>
        <v>257.25998874288882</v>
      </c>
      <c r="AU60" s="446">
        <f t="shared" si="32"/>
        <v>292.16862789478751</v>
      </c>
      <c r="AV60" s="446">
        <f t="shared" si="32"/>
        <v>343.27941134825573</v>
      </c>
      <c r="AW60" s="446">
        <f t="shared" si="32"/>
        <v>413.16205869686513</v>
      </c>
      <c r="AX60" s="446">
        <f t="shared" si="32"/>
        <v>500.2929476913082</v>
      </c>
    </row>
    <row r="61" spans="1:50">
      <c r="A61" s="72">
        <v>53</v>
      </c>
      <c r="AM61" s="344"/>
      <c r="AN61" s="344"/>
      <c r="AO61" s="344"/>
      <c r="AP61" s="344"/>
      <c r="AQ61" s="344"/>
      <c r="AR61" s="344"/>
      <c r="AS61" s="344"/>
      <c r="AT61" s="344"/>
      <c r="AU61" s="344"/>
      <c r="AV61" s="344"/>
      <c r="AW61" s="344"/>
      <c r="AX61" s="344"/>
    </row>
    <row r="62" spans="1:50">
      <c r="A62" s="73">
        <v>54</v>
      </c>
      <c r="B62" s="64" t="s">
        <v>64</v>
      </c>
      <c r="AM62" s="344"/>
      <c r="AN62" s="344"/>
      <c r="AO62" s="344"/>
      <c r="AP62" s="344"/>
      <c r="AQ62" s="344"/>
      <c r="AR62" s="344"/>
      <c r="AS62" s="344"/>
      <c r="AT62" s="344"/>
      <c r="AU62" s="344"/>
      <c r="AV62" s="344"/>
      <c r="AW62" s="344"/>
      <c r="AX62" s="344"/>
    </row>
    <row r="63" spans="1:50" ht="15.75">
      <c r="A63" s="72">
        <v>55</v>
      </c>
      <c r="B63" s="1" t="s">
        <v>9</v>
      </c>
      <c r="AM63" s="344"/>
      <c r="AN63" s="344"/>
      <c r="AO63" s="344"/>
      <c r="AP63" s="344"/>
      <c r="AQ63" s="344"/>
      <c r="AR63" s="344"/>
      <c r="AS63" s="344"/>
      <c r="AT63" s="344"/>
      <c r="AU63" s="344"/>
      <c r="AV63" s="344"/>
      <c r="AW63" s="344"/>
      <c r="AX63" s="344"/>
    </row>
    <row r="64" spans="1:50" ht="15">
      <c r="A64" s="73">
        <v>56</v>
      </c>
      <c r="B64" s="2" t="s">
        <v>63</v>
      </c>
      <c r="AM64" s="344"/>
      <c r="AN64" s="344"/>
      <c r="AO64" s="344"/>
      <c r="AP64" s="344"/>
      <c r="AQ64" s="344"/>
      <c r="AR64" s="344"/>
      <c r="AS64" s="344"/>
      <c r="AT64" s="344"/>
      <c r="AU64" s="344"/>
      <c r="AV64" s="344"/>
      <c r="AW64" s="344"/>
      <c r="AX64" s="344"/>
    </row>
    <row r="65" spans="1:50">
      <c r="A65" s="72">
        <v>57</v>
      </c>
      <c r="B65" s="5" t="s">
        <v>13</v>
      </c>
      <c r="C65" s="65"/>
      <c r="D65" s="65"/>
      <c r="E65" s="65">
        <f t="shared" ref="E65:Z65" si="33">E22</f>
        <v>22374.594458958643</v>
      </c>
      <c r="F65" s="65">
        <f t="shared" si="33"/>
        <v>22667.466350814058</v>
      </c>
      <c r="G65" s="65">
        <f t="shared" si="33"/>
        <v>23081.978903351526</v>
      </c>
      <c r="H65" s="65">
        <f t="shared" si="33"/>
        <v>23523.692246707928</v>
      </c>
      <c r="I65" s="65">
        <f t="shared" si="33"/>
        <v>23911.573165483867</v>
      </c>
      <c r="J65" s="65">
        <f t="shared" si="33"/>
        <v>24218.217649381739</v>
      </c>
      <c r="K65" s="65">
        <f t="shared" si="33"/>
        <v>24755.615625315637</v>
      </c>
      <c r="L65" s="65">
        <f t="shared" si="33"/>
        <v>25273.334083356185</v>
      </c>
      <c r="M65" s="65">
        <f t="shared" si="33"/>
        <v>25519.41324149647</v>
      </c>
      <c r="N65" s="65">
        <f t="shared" si="33"/>
        <v>26144.998036853543</v>
      </c>
      <c r="O65" s="65">
        <f t="shared" si="33"/>
        <v>26907.351246512764</v>
      </c>
      <c r="P65" s="65">
        <f t="shared" si="33"/>
        <v>27343.674834066056</v>
      </c>
      <c r="Q65" s="65">
        <f t="shared" si="33"/>
        <v>28098.425038543064</v>
      </c>
      <c r="R65" s="65">
        <f t="shared" si="33"/>
        <v>29227.094806754285</v>
      </c>
      <c r="S65" s="65">
        <f t="shared" si="33"/>
        <v>31018.861481010215</v>
      </c>
      <c r="T65" s="65">
        <f t="shared" si="33"/>
        <v>32011.708130851403</v>
      </c>
      <c r="U65" s="65">
        <f t="shared" si="33"/>
        <v>33355.798603816991</v>
      </c>
      <c r="V65" s="65">
        <f t="shared" si="33"/>
        <v>36283.623556659266</v>
      </c>
      <c r="W65" s="65">
        <f t="shared" si="33"/>
        <v>39159.205852645726</v>
      </c>
      <c r="X65" s="65">
        <f t="shared" si="33"/>
        <v>39722.218379603437</v>
      </c>
      <c r="Y65" s="65">
        <f t="shared" si="33"/>
        <v>37723.080317334083</v>
      </c>
      <c r="Z65" s="65">
        <f t="shared" si="33"/>
        <v>38175.130862003243</v>
      </c>
      <c r="AA65" s="65">
        <f t="shared" ref="AA65:AK65" si="34">AA22</f>
        <v>39641.53374781819</v>
      </c>
      <c r="AB65" s="65">
        <f t="shared" si="34"/>
        <v>39682.041534182164</v>
      </c>
      <c r="AC65" s="65">
        <f t="shared" si="34"/>
        <v>40419.225859252852</v>
      </c>
      <c r="AD65" s="65">
        <f t="shared" si="34"/>
        <v>41503.707653889491</v>
      </c>
      <c r="AE65" s="65">
        <f t="shared" si="34"/>
        <v>42643.14330636114</v>
      </c>
      <c r="AF65" s="65">
        <f t="shared" si="34"/>
        <v>39824.887658375621</v>
      </c>
      <c r="AG65" s="65">
        <f t="shared" si="34"/>
        <v>36791.930381810475</v>
      </c>
      <c r="AH65" s="65">
        <f t="shared" si="34"/>
        <v>37889.934004971568</v>
      </c>
      <c r="AI65" s="316">
        <f t="shared" si="34"/>
        <v>39465.378972459832</v>
      </c>
      <c r="AJ65" s="65">
        <f t="shared" si="34"/>
        <v>42266.039302103367</v>
      </c>
      <c r="AK65" s="65">
        <f t="shared" si="34"/>
        <v>44470.444384920032</v>
      </c>
      <c r="AL65" s="65">
        <f>AL22</f>
        <v>46264.952806197383</v>
      </c>
      <c r="AM65" s="310">
        <f t="shared" ref="AM65:AW65" si="35">AM22</f>
        <v>48377.691063731552</v>
      </c>
      <c r="AN65" s="310">
        <f t="shared" si="35"/>
        <v>50036.964343052736</v>
      </c>
      <c r="AO65" s="310">
        <f t="shared" si="35"/>
        <v>52573.015313050593</v>
      </c>
      <c r="AP65" s="310">
        <f t="shared" si="35"/>
        <v>55035.549893069634</v>
      </c>
      <c r="AQ65" s="310">
        <f t="shared" si="35"/>
        <v>57378.417818034926</v>
      </c>
      <c r="AR65" s="310">
        <f t="shared" si="35"/>
        <v>61619.210129214436</v>
      </c>
      <c r="AS65" s="310">
        <f t="shared" si="35"/>
        <v>66678.886425532066</v>
      </c>
      <c r="AT65" s="310">
        <f t="shared" si="35"/>
        <v>72258.988207613918</v>
      </c>
      <c r="AU65" s="439">
        <f t="shared" si="35"/>
        <v>82064.201311151002</v>
      </c>
      <c r="AV65" s="310">
        <f t="shared" si="35"/>
        <v>96420.194892949658</v>
      </c>
      <c r="AW65" s="310">
        <f t="shared" si="35"/>
        <v>116048.90168088494</v>
      </c>
      <c r="AX65" s="310">
        <f>AX22</f>
        <v>140522.17291177198</v>
      </c>
    </row>
    <row r="66" spans="1:50">
      <c r="A66" s="73">
        <v>58</v>
      </c>
      <c r="B66" s="5" t="s">
        <v>48</v>
      </c>
      <c r="C66" s="122"/>
      <c r="D66" s="122"/>
      <c r="E66" s="122">
        <f t="shared" ref="E66:Z66" si="36">E26</f>
        <v>7.5950000000000002E-3</v>
      </c>
      <c r="F66" s="122">
        <f t="shared" si="36"/>
        <v>7.5950000000000002E-3</v>
      </c>
      <c r="G66" s="122">
        <f t="shared" si="36"/>
        <v>7.5950000000000002E-3</v>
      </c>
      <c r="H66" s="122">
        <f t="shared" si="36"/>
        <v>7.5950000000000002E-3</v>
      </c>
      <c r="I66" s="122">
        <f t="shared" si="36"/>
        <v>7.5950000000000002E-3</v>
      </c>
      <c r="J66" s="122">
        <f t="shared" si="36"/>
        <v>7.5950000000000002E-3</v>
      </c>
      <c r="K66" s="122">
        <f t="shared" si="36"/>
        <v>7.5950000000000002E-3</v>
      </c>
      <c r="L66" s="122">
        <f t="shared" si="36"/>
        <v>7.5950000000000002E-3</v>
      </c>
      <c r="M66" s="122">
        <f t="shared" si="36"/>
        <v>7.5950000000000002E-3</v>
      </c>
      <c r="N66" s="122">
        <f t="shared" si="36"/>
        <v>7.5950000000000002E-3</v>
      </c>
      <c r="O66" s="122">
        <f t="shared" si="36"/>
        <v>7.5075000000000003E-3</v>
      </c>
      <c r="P66" s="122">
        <f t="shared" si="36"/>
        <v>7.5075000000000003E-3</v>
      </c>
      <c r="Q66" s="122">
        <f t="shared" si="36"/>
        <v>7.5075000000000003E-3</v>
      </c>
      <c r="R66" s="122">
        <f t="shared" si="36"/>
        <v>7.5075000000000003E-3</v>
      </c>
      <c r="S66" s="122">
        <f t="shared" si="36"/>
        <v>7.5075000000000003E-3</v>
      </c>
      <c r="T66" s="122">
        <f t="shared" si="36"/>
        <v>7.5075000000000003E-3</v>
      </c>
      <c r="U66" s="122">
        <f t="shared" si="36"/>
        <v>7.5075000000000003E-3</v>
      </c>
      <c r="V66" s="122">
        <f t="shared" si="36"/>
        <v>7.5075000000000003E-3</v>
      </c>
      <c r="W66" s="122">
        <f t="shared" si="36"/>
        <v>7.5075000000000003E-3</v>
      </c>
      <c r="X66" s="122">
        <f t="shared" si="36"/>
        <v>7.5075000000000003E-3</v>
      </c>
      <c r="Y66" s="122">
        <f t="shared" si="36"/>
        <v>7.5075000000000003E-3</v>
      </c>
      <c r="Z66" s="122">
        <f t="shared" si="36"/>
        <v>7.5075000000000003E-3</v>
      </c>
      <c r="AA66" s="307">
        <f t="shared" ref="AA66:AL66" si="37">AA26</f>
        <v>7.5075000000000003E-3</v>
      </c>
      <c r="AB66" s="122">
        <f t="shared" si="37"/>
        <v>7.5075000000000003E-3</v>
      </c>
      <c r="AC66" s="122">
        <f t="shared" si="37"/>
        <v>7.5075000000000003E-3</v>
      </c>
      <c r="AD66" s="122">
        <f t="shared" si="37"/>
        <v>7.5075000000000003E-3</v>
      </c>
      <c r="AE66" s="122">
        <f t="shared" si="37"/>
        <v>7.5075000000000003E-3</v>
      </c>
      <c r="AF66" s="122">
        <f t="shared" si="37"/>
        <v>7.423333333333333E-3</v>
      </c>
      <c r="AG66" s="122">
        <f t="shared" si="37"/>
        <v>7.423333333333333E-3</v>
      </c>
      <c r="AH66" s="122">
        <f t="shared" si="37"/>
        <v>7.423333333333333E-3</v>
      </c>
      <c r="AI66" s="122">
        <f t="shared" si="37"/>
        <v>7.423333333333333E-3</v>
      </c>
      <c r="AJ66" s="122">
        <f t="shared" si="37"/>
        <v>7.423333333333333E-3</v>
      </c>
      <c r="AK66" s="122">
        <f t="shared" si="37"/>
        <v>7.423333333333333E-3</v>
      </c>
      <c r="AL66" s="122">
        <f t="shared" si="37"/>
        <v>7.423333333333333E-3</v>
      </c>
      <c r="AM66" s="307">
        <f>AM26</f>
        <v>7.3283333333333334E-3</v>
      </c>
      <c r="AN66" s="307">
        <f t="shared" ref="AN66:AX66" si="38">AN26</f>
        <v>7.3283333333333334E-3</v>
      </c>
      <c r="AO66" s="307">
        <f t="shared" si="38"/>
        <v>7.3283333333333334E-3</v>
      </c>
      <c r="AP66" s="307">
        <f t="shared" si="38"/>
        <v>7.3283333333333334E-3</v>
      </c>
      <c r="AQ66" s="307">
        <f t="shared" si="38"/>
        <v>7.3283333333333334E-3</v>
      </c>
      <c r="AR66" s="307">
        <f t="shared" si="38"/>
        <v>7.3283333333333334E-3</v>
      </c>
      <c r="AS66" s="307">
        <f t="shared" si="38"/>
        <v>7.3283333333333334E-3</v>
      </c>
      <c r="AT66" s="307">
        <f t="shared" si="38"/>
        <v>7.3283333333333334E-3</v>
      </c>
      <c r="AU66" s="307">
        <f t="shared" si="38"/>
        <v>7.3283333333333334E-3</v>
      </c>
      <c r="AV66" s="307">
        <f t="shared" si="38"/>
        <v>7.3283333333333334E-3</v>
      </c>
      <c r="AW66" s="307">
        <f t="shared" si="38"/>
        <v>7.3283333333333334E-3</v>
      </c>
      <c r="AX66" s="307">
        <f t="shared" si="38"/>
        <v>7.3283333333333334E-3</v>
      </c>
    </row>
    <row r="67" spans="1:50">
      <c r="A67" s="72">
        <v>59</v>
      </c>
      <c r="B67" s="5" t="s">
        <v>152</v>
      </c>
      <c r="C67" s="60"/>
      <c r="D67" s="60"/>
      <c r="E67" s="60">
        <f t="shared" ref="E67:N67" si="39">E65*E66</f>
        <v>169.93504491579091</v>
      </c>
      <c r="F67" s="60">
        <f t="shared" si="39"/>
        <v>172.15940693443278</v>
      </c>
      <c r="G67" s="60">
        <f t="shared" si="39"/>
        <v>175.30762977095483</v>
      </c>
      <c r="H67" s="60">
        <f t="shared" si="39"/>
        <v>178.66244261374672</v>
      </c>
      <c r="I67" s="60">
        <f t="shared" si="39"/>
        <v>181.60839819184997</v>
      </c>
      <c r="J67" s="60">
        <f t="shared" si="39"/>
        <v>183.9373630470543</v>
      </c>
      <c r="K67" s="60">
        <f t="shared" si="39"/>
        <v>188.01890067427226</v>
      </c>
      <c r="L67" s="60">
        <f t="shared" si="39"/>
        <v>191.95097236309024</v>
      </c>
      <c r="M67" s="60">
        <f t="shared" si="39"/>
        <v>193.8199435691657</v>
      </c>
      <c r="N67" s="60">
        <f t="shared" si="39"/>
        <v>198.57126008990267</v>
      </c>
      <c r="O67" s="60">
        <f t="shared" ref="O67:Z67" si="40">O65*O66</f>
        <v>202.00693948319457</v>
      </c>
      <c r="P67" s="60">
        <f t="shared" si="40"/>
        <v>205.28263881675093</v>
      </c>
      <c r="Q67" s="60">
        <f t="shared" si="40"/>
        <v>210.94892597686206</v>
      </c>
      <c r="R67" s="60">
        <f t="shared" si="40"/>
        <v>219.42241426170781</v>
      </c>
      <c r="S67" s="60">
        <f t="shared" si="40"/>
        <v>232.87410256868421</v>
      </c>
      <c r="T67" s="60">
        <f t="shared" si="40"/>
        <v>240.32789879236691</v>
      </c>
      <c r="U67" s="60">
        <f t="shared" si="40"/>
        <v>250.41865801815607</v>
      </c>
      <c r="V67" s="60">
        <f t="shared" si="40"/>
        <v>272.39930385161944</v>
      </c>
      <c r="W67" s="60">
        <f t="shared" si="40"/>
        <v>293.98773793873778</v>
      </c>
      <c r="X67" s="60">
        <f t="shared" si="40"/>
        <v>298.21455448487279</v>
      </c>
      <c r="Y67" s="60">
        <f t="shared" si="40"/>
        <v>283.20602548238566</v>
      </c>
      <c r="Z67" s="60">
        <f t="shared" si="40"/>
        <v>286.59979494648934</v>
      </c>
      <c r="AA67" s="60">
        <f t="shared" ref="AA67:AX67" si="41">AA65*AA66</f>
        <v>297.60881461174506</v>
      </c>
      <c r="AB67" s="60">
        <f t="shared" si="41"/>
        <v>297.91292681787263</v>
      </c>
      <c r="AC67" s="60">
        <f t="shared" si="41"/>
        <v>303.4473381383408</v>
      </c>
      <c r="AD67" s="60">
        <f t="shared" si="41"/>
        <v>311.58908521157537</v>
      </c>
      <c r="AE67" s="60">
        <f t="shared" si="41"/>
        <v>320.14339837250628</v>
      </c>
      <c r="AF67" s="60">
        <f t="shared" si="41"/>
        <v>295.63341605067501</v>
      </c>
      <c r="AG67" s="60">
        <f t="shared" si="41"/>
        <v>273.11876320097309</v>
      </c>
      <c r="AH67" s="60">
        <f t="shared" si="41"/>
        <v>281.26961009690558</v>
      </c>
      <c r="AI67" s="60">
        <f t="shared" si="41"/>
        <v>292.96466323889348</v>
      </c>
      <c r="AJ67" s="60">
        <f t="shared" si="41"/>
        <v>313.75489841928066</v>
      </c>
      <c r="AK67" s="60">
        <f t="shared" si="41"/>
        <v>330.11893215072303</v>
      </c>
      <c r="AL67" s="60">
        <f t="shared" si="41"/>
        <v>343.44016633133856</v>
      </c>
      <c r="AM67" s="437">
        <f t="shared" si="41"/>
        <v>354.52784601204604</v>
      </c>
      <c r="AN67" s="437">
        <f t="shared" si="41"/>
        <v>366.68755369400481</v>
      </c>
      <c r="AO67" s="437">
        <f t="shared" si="41"/>
        <v>385.27258055247245</v>
      </c>
      <c r="AP67" s="437">
        <f t="shared" si="41"/>
        <v>403.31885479971197</v>
      </c>
      <c r="AQ67" s="437">
        <f t="shared" si="41"/>
        <v>420.4881719098326</v>
      </c>
      <c r="AR67" s="437">
        <f t="shared" si="41"/>
        <v>451.56611156359315</v>
      </c>
      <c r="AS67" s="437">
        <f t="shared" si="41"/>
        <v>488.64510602177415</v>
      </c>
      <c r="AT67" s="437">
        <f t="shared" si="41"/>
        <v>529.5379519147973</v>
      </c>
      <c r="AU67" s="437">
        <f t="shared" si="41"/>
        <v>601.39382194188488</v>
      </c>
      <c r="AV67" s="437">
        <f t="shared" si="41"/>
        <v>706.5993282404994</v>
      </c>
      <c r="AW67" s="437">
        <f t="shared" si="41"/>
        <v>850.44503448475177</v>
      </c>
      <c r="AX67" s="437">
        <f t="shared" si="41"/>
        <v>1029.793323821769</v>
      </c>
    </row>
    <row r="68" spans="1:50">
      <c r="A68" s="73">
        <v>60</v>
      </c>
      <c r="B68" s="5" t="s">
        <v>151</v>
      </c>
      <c r="C68" s="65"/>
      <c r="D68" s="65"/>
      <c r="E68" s="65">
        <f t="shared" ref="E68:Z68" si="42">E60</f>
        <v>82.083755548969506</v>
      </c>
      <c r="F68" s="65">
        <f t="shared" si="42"/>
        <v>83.158201780227287</v>
      </c>
      <c r="G68" s="65">
        <f t="shared" si="42"/>
        <v>84.678887940762081</v>
      </c>
      <c r="H68" s="65">
        <f t="shared" si="42"/>
        <v>86.29936400157132</v>
      </c>
      <c r="I68" s="65">
        <f t="shared" si="42"/>
        <v>87.722348577730074</v>
      </c>
      <c r="J68" s="65">
        <f t="shared" si="42"/>
        <v>88.847308901719231</v>
      </c>
      <c r="K68" s="65">
        <f t="shared" si="42"/>
        <v>90.81881519918575</v>
      </c>
      <c r="L68" s="65">
        <f t="shared" si="42"/>
        <v>92.718123457028355</v>
      </c>
      <c r="M68" s="65">
        <f t="shared" si="42"/>
        <v>93.620892195597676</v>
      </c>
      <c r="N68" s="65">
        <f t="shared" si="42"/>
        <v>95.915923170173528</v>
      </c>
      <c r="O68" s="65">
        <f t="shared" si="42"/>
        <v>96.050608212085649</v>
      </c>
      <c r="P68" s="65">
        <f t="shared" si="42"/>
        <v>97.608143558449157</v>
      </c>
      <c r="Q68" s="65">
        <f t="shared" si="42"/>
        <v>100.30235915133221</v>
      </c>
      <c r="R68" s="65">
        <f t="shared" si="42"/>
        <v>104.33134810506513</v>
      </c>
      <c r="S68" s="65">
        <f t="shared" si="42"/>
        <v>110.72737917250005</v>
      </c>
      <c r="T68" s="65">
        <f t="shared" si="42"/>
        <v>114.27152613609522</v>
      </c>
      <c r="U68" s="65">
        <f t="shared" si="42"/>
        <v>119.06949447189109</v>
      </c>
      <c r="V68" s="65">
        <f t="shared" si="42"/>
        <v>129.52089062515282</v>
      </c>
      <c r="W68" s="65">
        <f t="shared" si="42"/>
        <v>139.7857967368241</v>
      </c>
      <c r="X68" s="65">
        <f t="shared" si="42"/>
        <v>141.795575984762</v>
      </c>
      <c r="Y68" s="65">
        <f t="shared" si="42"/>
        <v>134.659294819503</v>
      </c>
      <c r="Z68" s="65">
        <f t="shared" si="42"/>
        <v>136.27296485707495</v>
      </c>
      <c r="AA68" s="65">
        <f t="shared" ref="AA68:AX68" si="43">AA60</f>
        <v>141.7781478744063</v>
      </c>
      <c r="AB68" s="65">
        <f t="shared" si="43"/>
        <v>141.92302847806207</v>
      </c>
      <c r="AC68" s="65">
        <f t="shared" si="43"/>
        <v>144.559693503098</v>
      </c>
      <c r="AD68" s="65">
        <f t="shared" si="43"/>
        <v>148.43825401144966</v>
      </c>
      <c r="AE68" s="65">
        <f t="shared" si="43"/>
        <v>152.51348570812812</v>
      </c>
      <c r="AF68" s="65">
        <f t="shared" si="43"/>
        <v>142.18196745405473</v>
      </c>
      <c r="AG68" s="65">
        <f t="shared" si="43"/>
        <v>131.35505797535916</v>
      </c>
      <c r="AH68" s="65">
        <f t="shared" si="43"/>
        <v>135.2751578915898</v>
      </c>
      <c r="AI68" s="65">
        <f t="shared" si="43"/>
        <v>140.89988467793233</v>
      </c>
      <c r="AJ68" s="65">
        <f t="shared" si="43"/>
        <v>150.89904057061605</v>
      </c>
      <c r="AK68" s="65">
        <f t="shared" si="43"/>
        <v>158.76876103217748</v>
      </c>
      <c r="AL68" s="65">
        <f t="shared" si="43"/>
        <v>165.17577949357934</v>
      </c>
      <c r="AM68" s="310">
        <f t="shared" si="43"/>
        <v>172.23676623190858</v>
      </c>
      <c r="AN68" s="310">
        <f t="shared" si="43"/>
        <v>178.14417572273868</v>
      </c>
      <c r="AO68" s="310">
        <f t="shared" si="43"/>
        <v>187.17309671719372</v>
      </c>
      <c r="AP68" s="310">
        <f t="shared" si="43"/>
        <v>195.94044153590676</v>
      </c>
      <c r="AQ68" s="310">
        <f t="shared" si="43"/>
        <v>204.28159143445484</v>
      </c>
      <c r="AR68" s="310">
        <f t="shared" si="43"/>
        <v>219.37972525926867</v>
      </c>
      <c r="AS68" s="310">
        <f t="shared" si="43"/>
        <v>237.39353457746842</v>
      </c>
      <c r="AT68" s="310">
        <f t="shared" si="43"/>
        <v>257.25998874288882</v>
      </c>
      <c r="AU68" s="310">
        <f t="shared" si="43"/>
        <v>292.16862789478751</v>
      </c>
      <c r="AV68" s="310">
        <f t="shared" si="43"/>
        <v>343.27941134825573</v>
      </c>
      <c r="AW68" s="310">
        <f t="shared" si="43"/>
        <v>413.16205869686513</v>
      </c>
      <c r="AX68" s="310">
        <f t="shared" si="43"/>
        <v>500.2929476913082</v>
      </c>
    </row>
    <row r="69" spans="1:50">
      <c r="A69" s="72">
        <v>61</v>
      </c>
      <c r="B69" s="61" t="s">
        <v>112</v>
      </c>
      <c r="C69" s="66"/>
      <c r="D69" s="66"/>
      <c r="E69" s="66">
        <f t="shared" ref="E69:N69" si="44">E67+E68</f>
        <v>252.01880046476043</v>
      </c>
      <c r="F69" s="66">
        <f t="shared" si="44"/>
        <v>255.31760871466008</v>
      </c>
      <c r="G69" s="66">
        <f t="shared" si="44"/>
        <v>259.98651771171694</v>
      </c>
      <c r="H69" s="66">
        <f t="shared" si="44"/>
        <v>264.96180661531804</v>
      </c>
      <c r="I69" s="66">
        <f t="shared" si="44"/>
        <v>269.33074676958006</v>
      </c>
      <c r="J69" s="66">
        <f t="shared" si="44"/>
        <v>272.78467194877351</v>
      </c>
      <c r="K69" s="66">
        <f t="shared" si="44"/>
        <v>278.83771587345802</v>
      </c>
      <c r="L69" s="66">
        <f t="shared" si="44"/>
        <v>284.66909582011863</v>
      </c>
      <c r="M69" s="66">
        <f t="shared" si="44"/>
        <v>287.44083576476339</v>
      </c>
      <c r="N69" s="66">
        <f t="shared" si="44"/>
        <v>294.48718326007622</v>
      </c>
      <c r="O69" s="66">
        <f t="shared" ref="O69:Z69" si="45">O67+O68</f>
        <v>298.05754769528022</v>
      </c>
      <c r="P69" s="66">
        <f t="shared" si="45"/>
        <v>302.8907823752001</v>
      </c>
      <c r="Q69" s="66">
        <f t="shared" si="45"/>
        <v>311.25128512819424</v>
      </c>
      <c r="R69" s="66">
        <f t="shared" si="45"/>
        <v>323.75376236677295</v>
      </c>
      <c r="S69" s="66">
        <f t="shared" si="45"/>
        <v>343.60148174118427</v>
      </c>
      <c r="T69" s="66">
        <f t="shared" si="45"/>
        <v>354.5994249284621</v>
      </c>
      <c r="U69" s="66">
        <f t="shared" si="45"/>
        <v>369.48815249004713</v>
      </c>
      <c r="V69" s="66">
        <f t="shared" si="45"/>
        <v>401.92019447677228</v>
      </c>
      <c r="W69" s="66">
        <f t="shared" si="45"/>
        <v>433.7735346755619</v>
      </c>
      <c r="X69" s="66">
        <f t="shared" si="45"/>
        <v>440.01013046963476</v>
      </c>
      <c r="Y69" s="66">
        <f t="shared" si="45"/>
        <v>417.86532030188869</v>
      </c>
      <c r="Z69" s="66">
        <f t="shared" si="45"/>
        <v>422.87275980356429</v>
      </c>
      <c r="AA69" s="66">
        <f t="shared" ref="AA69:AX69" si="46">AA67+AA68</f>
        <v>439.38696248615133</v>
      </c>
      <c r="AB69" s="66">
        <f t="shared" si="46"/>
        <v>439.8359552959347</v>
      </c>
      <c r="AC69" s="66">
        <f t="shared" si="46"/>
        <v>448.0070316414388</v>
      </c>
      <c r="AD69" s="66">
        <f t="shared" si="46"/>
        <v>460.02733922302502</v>
      </c>
      <c r="AE69" s="66">
        <f t="shared" si="46"/>
        <v>472.65688408063443</v>
      </c>
      <c r="AF69" s="66">
        <f t="shared" si="46"/>
        <v>437.81538350472977</v>
      </c>
      <c r="AG69" s="66">
        <f t="shared" si="46"/>
        <v>404.47382117633225</v>
      </c>
      <c r="AH69" s="66">
        <f t="shared" si="46"/>
        <v>416.54476798849538</v>
      </c>
      <c r="AI69" s="66">
        <f t="shared" si="46"/>
        <v>433.86454791682581</v>
      </c>
      <c r="AJ69" s="66">
        <f t="shared" si="46"/>
        <v>464.65393898989669</v>
      </c>
      <c r="AK69" s="66">
        <f t="shared" si="46"/>
        <v>488.88769318290053</v>
      </c>
      <c r="AL69" s="66">
        <f t="shared" si="46"/>
        <v>508.6159458249179</v>
      </c>
      <c r="AM69" s="446">
        <f>AM67+AM68</f>
        <v>526.76461224395462</v>
      </c>
      <c r="AN69" s="446">
        <f t="shared" si="46"/>
        <v>544.83172941674343</v>
      </c>
      <c r="AO69" s="446">
        <f t="shared" si="46"/>
        <v>572.44567726966613</v>
      </c>
      <c r="AP69" s="446">
        <f t="shared" si="46"/>
        <v>599.25929633561873</v>
      </c>
      <c r="AQ69" s="446">
        <f t="shared" si="46"/>
        <v>624.76976334428741</v>
      </c>
      <c r="AR69" s="446">
        <f t="shared" si="46"/>
        <v>670.94583682286179</v>
      </c>
      <c r="AS69" s="446">
        <f t="shared" si="46"/>
        <v>726.03864059924263</v>
      </c>
      <c r="AT69" s="446">
        <f t="shared" si="46"/>
        <v>786.79794065768613</v>
      </c>
      <c r="AU69" s="446">
        <f t="shared" si="46"/>
        <v>893.56244983667239</v>
      </c>
      <c r="AV69" s="446">
        <f t="shared" si="46"/>
        <v>1049.8787395887553</v>
      </c>
      <c r="AW69" s="446">
        <f t="shared" si="46"/>
        <v>1263.6070931816168</v>
      </c>
      <c r="AX69" s="446">
        <f t="shared" si="46"/>
        <v>1530.0862715130772</v>
      </c>
    </row>
    <row r="70" spans="1:50">
      <c r="AM70" s="344"/>
      <c r="AN70" s="344"/>
      <c r="AO70" s="344"/>
      <c r="AP70" s="344"/>
      <c r="AQ70" s="344"/>
      <c r="AR70" s="344"/>
      <c r="AS70" s="344"/>
      <c r="AT70" s="344"/>
      <c r="AU70" s="344"/>
      <c r="AV70" s="344"/>
      <c r="AW70" s="344"/>
      <c r="AX70" s="344"/>
    </row>
    <row r="71" spans="1:50">
      <c r="AM71" s="344"/>
      <c r="AN71" s="344"/>
      <c r="AO71" s="344"/>
      <c r="AP71" s="344"/>
      <c r="AQ71" s="344"/>
      <c r="AR71" s="344"/>
      <c r="AS71" s="344"/>
      <c r="AT71" s="344"/>
      <c r="AU71" s="344"/>
      <c r="AV71" s="344"/>
      <c r="AW71" s="344"/>
      <c r="AX71" s="344"/>
    </row>
    <row r="72" spans="1:50">
      <c r="AM72" s="344"/>
      <c r="AN72" s="344"/>
      <c r="AO72" s="344"/>
      <c r="AP72" s="344"/>
      <c r="AQ72" s="344"/>
      <c r="AR72" s="344"/>
      <c r="AS72" s="344"/>
      <c r="AT72" s="344"/>
      <c r="AU72" s="344"/>
      <c r="AV72" s="344"/>
      <c r="AW72" s="344"/>
      <c r="AX72" s="344"/>
    </row>
    <row r="73" spans="1:50" ht="15">
      <c r="B73" s="98"/>
      <c r="AM73" s="344"/>
      <c r="AN73" s="344"/>
      <c r="AO73" s="344"/>
      <c r="AP73" s="344"/>
      <c r="AQ73" s="344"/>
      <c r="AR73" s="344"/>
      <c r="AS73" s="344"/>
      <c r="AT73" s="344"/>
      <c r="AU73" s="344"/>
      <c r="AV73" s="344"/>
      <c r="AW73" s="344"/>
      <c r="AX73" s="344"/>
    </row>
  </sheetData>
  <mergeCells count="24">
    <mergeCell ref="O3:Z3"/>
    <mergeCell ref="O4:Z4"/>
    <mergeCell ref="O5:Z5"/>
    <mergeCell ref="C1:N1"/>
    <mergeCell ref="C2:N2"/>
    <mergeCell ref="C3:N3"/>
    <mergeCell ref="C4:N4"/>
    <mergeCell ref="C5:N5"/>
    <mergeCell ref="AM16:AX16"/>
    <mergeCell ref="C16:N16"/>
    <mergeCell ref="O16:Z16"/>
    <mergeCell ref="AA16:AL16"/>
    <mergeCell ref="AM1:AX1"/>
    <mergeCell ref="AM2:AX2"/>
    <mergeCell ref="AM3:AX3"/>
    <mergeCell ref="AM4:AX4"/>
    <mergeCell ref="AM5:AX5"/>
    <mergeCell ref="AA1:AL1"/>
    <mergeCell ref="AA2:AL2"/>
    <mergeCell ref="AA3:AL3"/>
    <mergeCell ref="AA4:AL4"/>
    <mergeCell ref="AA5:AL5"/>
    <mergeCell ref="O1:Z1"/>
    <mergeCell ref="O2:Z2"/>
  </mergeCells>
  <phoneticPr fontId="4" type="noConversion"/>
  <printOptions horizontalCentered="1"/>
  <pageMargins left="0.42" right="0.35" top="0.36" bottom="0.27" header="0.25" footer="0.16"/>
  <pageSetup scale="53" fitToWidth="0" orientation="portrait" cellComments="asDisplayed" r:id="rId1"/>
  <headerFooter alignWithMargins="0">
    <oddHeader>&amp;RTO9 Annual Update
Attachment 4
WP-Schedule 3-CWIPBA Model
Page &amp;P of &amp;N</oddHeader>
    <oddFooter>&amp;R&amp;A</oddFooter>
  </headerFooter>
  <rowBreaks count="1" manualBreakCount="1">
    <brk id="72" max="13" man="1"/>
  </rowBreaks>
  <colBreaks count="3" manualBreakCount="3">
    <brk id="14" min="7" max="68" man="1"/>
    <brk id="26" min="7" max="68" man="1"/>
    <brk id="38" min="7" max="6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34"/>
  </sheetPr>
  <dimension ref="A1:AX73"/>
  <sheetViews>
    <sheetView zoomScaleNormal="100" workbookViewId="0"/>
  </sheetViews>
  <sheetFormatPr defaultRowHeight="12.75" outlineLevelCol="1"/>
  <cols>
    <col min="1" max="1" width="3.85546875" style="74" bestFit="1" customWidth="1"/>
    <col min="2" max="2" width="48.7109375" customWidth="1"/>
    <col min="3" max="3" width="7.42578125" hidden="1" customWidth="1"/>
    <col min="4" max="4" width="8.28515625" hidden="1" customWidth="1"/>
    <col min="5" max="5" width="9.28515625" customWidth="1" outlineLevel="1" collapsed="1"/>
    <col min="6" max="8" width="9.28515625" customWidth="1" outlineLevel="1"/>
    <col min="9" max="25" width="10.28515625" customWidth="1" outlineLevel="1"/>
    <col min="26" max="26" width="10.28515625" customWidth="1"/>
    <col min="27" max="27" width="10.28515625" customWidth="1" collapsed="1"/>
    <col min="28" max="38" width="10.28515625" customWidth="1"/>
    <col min="39" max="40" width="10.28515625" bestFit="1" customWidth="1"/>
    <col min="41" max="48" width="10.28515625" customWidth="1"/>
    <col min="49" max="50" width="11.85546875" bestFit="1" customWidth="1"/>
  </cols>
  <sheetData>
    <row r="1" spans="1:50" ht="15.75">
      <c r="A1" s="597"/>
      <c r="B1" s="597"/>
      <c r="C1" s="597"/>
      <c r="D1" s="597"/>
      <c r="E1" s="628" t="s">
        <v>0</v>
      </c>
      <c r="F1" s="628"/>
      <c r="G1" s="628"/>
      <c r="H1" s="628"/>
      <c r="I1" s="628"/>
      <c r="J1" s="628"/>
      <c r="K1" s="628"/>
      <c r="L1" s="628"/>
      <c r="M1" s="628"/>
      <c r="N1" s="628"/>
      <c r="O1" s="628" t="s">
        <v>0</v>
      </c>
      <c r="P1" s="628"/>
      <c r="Q1" s="628"/>
      <c r="R1" s="628"/>
      <c r="S1" s="628"/>
      <c r="T1" s="628"/>
      <c r="U1" s="628"/>
      <c r="V1" s="628"/>
      <c r="W1" s="628"/>
      <c r="X1" s="628"/>
      <c r="Y1" s="628"/>
      <c r="Z1" s="628"/>
      <c r="AA1" s="628" t="s">
        <v>0</v>
      </c>
      <c r="AB1" s="628"/>
      <c r="AC1" s="628"/>
      <c r="AD1" s="628"/>
      <c r="AE1" s="628"/>
      <c r="AF1" s="628"/>
      <c r="AG1" s="628"/>
      <c r="AH1" s="628"/>
      <c r="AI1" s="628"/>
      <c r="AJ1" s="628"/>
      <c r="AK1" s="628"/>
      <c r="AL1" s="628"/>
      <c r="AM1" s="628" t="s">
        <v>0</v>
      </c>
      <c r="AN1" s="628"/>
      <c r="AO1" s="628"/>
      <c r="AP1" s="628"/>
      <c r="AQ1" s="628"/>
      <c r="AR1" s="628"/>
      <c r="AS1" s="628"/>
      <c r="AT1" s="628"/>
      <c r="AU1" s="628"/>
      <c r="AV1" s="628"/>
      <c r="AW1" s="628"/>
      <c r="AX1" s="628"/>
    </row>
    <row r="2" spans="1:50" ht="15">
      <c r="A2" s="598"/>
      <c r="B2" s="598"/>
      <c r="C2" s="598"/>
      <c r="D2" s="598"/>
      <c r="E2" s="626" t="s">
        <v>6</v>
      </c>
      <c r="F2" s="626"/>
      <c r="G2" s="626"/>
      <c r="H2" s="626"/>
      <c r="I2" s="626"/>
      <c r="J2" s="626"/>
      <c r="K2" s="626"/>
      <c r="L2" s="626"/>
      <c r="M2" s="626"/>
      <c r="N2" s="626"/>
      <c r="O2" s="626" t="s">
        <v>6</v>
      </c>
      <c r="P2" s="626"/>
      <c r="Q2" s="626"/>
      <c r="R2" s="626"/>
      <c r="S2" s="626"/>
      <c r="T2" s="626"/>
      <c r="U2" s="626"/>
      <c r="V2" s="626"/>
      <c r="W2" s="626"/>
      <c r="X2" s="626"/>
      <c r="Y2" s="626"/>
      <c r="Z2" s="626"/>
      <c r="AA2" s="626" t="s">
        <v>6</v>
      </c>
      <c r="AB2" s="626"/>
      <c r="AC2" s="626"/>
      <c r="AD2" s="626"/>
      <c r="AE2" s="626"/>
      <c r="AF2" s="626"/>
      <c r="AG2" s="626"/>
      <c r="AH2" s="626"/>
      <c r="AI2" s="626"/>
      <c r="AJ2" s="626"/>
      <c r="AK2" s="626"/>
      <c r="AL2" s="626"/>
      <c r="AM2" s="626" t="s">
        <v>6</v>
      </c>
      <c r="AN2" s="626"/>
      <c r="AO2" s="626"/>
      <c r="AP2" s="626"/>
      <c r="AQ2" s="626"/>
      <c r="AR2" s="626"/>
      <c r="AS2" s="626"/>
      <c r="AT2" s="626"/>
      <c r="AU2" s="626"/>
      <c r="AV2" s="626"/>
      <c r="AW2" s="626"/>
      <c r="AX2" s="626"/>
    </row>
    <row r="3" spans="1:50" ht="15">
      <c r="A3" s="603"/>
      <c r="B3" s="603"/>
      <c r="C3" s="603"/>
      <c r="D3" s="603"/>
      <c r="E3" s="642" t="s">
        <v>37</v>
      </c>
      <c r="F3" s="642"/>
      <c r="G3" s="642"/>
      <c r="H3" s="642"/>
      <c r="I3" s="642"/>
      <c r="J3" s="642"/>
      <c r="K3" s="642"/>
      <c r="L3" s="642"/>
      <c r="M3" s="642"/>
      <c r="N3" s="642"/>
      <c r="O3" s="642" t="s">
        <v>193</v>
      </c>
      <c r="P3" s="642"/>
      <c r="Q3" s="642"/>
      <c r="R3" s="642"/>
      <c r="S3" s="642"/>
      <c r="T3" s="642"/>
      <c r="U3" s="642"/>
      <c r="V3" s="642"/>
      <c r="W3" s="642"/>
      <c r="X3" s="642"/>
      <c r="Y3" s="642"/>
      <c r="Z3" s="642"/>
      <c r="AA3" s="642" t="s">
        <v>231</v>
      </c>
      <c r="AB3" s="642"/>
      <c r="AC3" s="642"/>
      <c r="AD3" s="642"/>
      <c r="AE3" s="642"/>
      <c r="AF3" s="642"/>
      <c r="AG3" s="642"/>
      <c r="AH3" s="642"/>
      <c r="AI3" s="642"/>
      <c r="AJ3" s="642"/>
      <c r="AK3" s="642"/>
      <c r="AL3" s="642"/>
      <c r="AM3" s="642" t="s">
        <v>274</v>
      </c>
      <c r="AN3" s="642"/>
      <c r="AO3" s="642"/>
      <c r="AP3" s="642"/>
      <c r="AQ3" s="642"/>
      <c r="AR3" s="642"/>
      <c r="AS3" s="642"/>
      <c r="AT3" s="642"/>
      <c r="AU3" s="642"/>
      <c r="AV3" s="642"/>
      <c r="AW3" s="642"/>
      <c r="AX3" s="642"/>
    </row>
    <row r="4" spans="1:50">
      <c r="A4" s="596"/>
      <c r="B4" s="596"/>
      <c r="C4" s="596"/>
      <c r="D4" s="596"/>
      <c r="E4" s="627" t="s">
        <v>1</v>
      </c>
      <c r="F4" s="627"/>
      <c r="G4" s="627"/>
      <c r="H4" s="627"/>
      <c r="I4" s="627"/>
      <c r="J4" s="627"/>
      <c r="K4" s="627"/>
      <c r="L4" s="627"/>
      <c r="M4" s="627"/>
      <c r="N4" s="627"/>
      <c r="O4" s="627" t="s">
        <v>1</v>
      </c>
      <c r="P4" s="627"/>
      <c r="Q4" s="627"/>
      <c r="R4" s="627"/>
      <c r="S4" s="627"/>
      <c r="T4" s="627"/>
      <c r="U4" s="627"/>
      <c r="V4" s="627"/>
      <c r="W4" s="627"/>
      <c r="X4" s="627"/>
      <c r="Y4" s="627"/>
      <c r="Z4" s="627"/>
      <c r="AA4" s="627" t="s">
        <v>1</v>
      </c>
      <c r="AB4" s="627"/>
      <c r="AC4" s="627"/>
      <c r="AD4" s="627"/>
      <c r="AE4" s="627"/>
      <c r="AF4" s="627"/>
      <c r="AG4" s="627"/>
      <c r="AH4" s="627"/>
      <c r="AI4" s="627"/>
      <c r="AJ4" s="627"/>
      <c r="AK4" s="627"/>
      <c r="AL4" s="627"/>
      <c r="AM4" s="627" t="s">
        <v>1</v>
      </c>
      <c r="AN4" s="627"/>
      <c r="AO4" s="627"/>
      <c r="AP4" s="627"/>
      <c r="AQ4" s="627"/>
      <c r="AR4" s="627"/>
      <c r="AS4" s="627"/>
      <c r="AT4" s="627"/>
      <c r="AU4" s="627"/>
      <c r="AV4" s="627"/>
      <c r="AW4" s="627"/>
      <c r="AX4" s="627"/>
    </row>
    <row r="5" spans="1:50" ht="15.75">
      <c r="A5" s="597"/>
      <c r="B5" s="597"/>
      <c r="C5" s="597"/>
      <c r="D5" s="597"/>
      <c r="E5" s="628" t="s">
        <v>7</v>
      </c>
      <c r="F5" s="628"/>
      <c r="G5" s="628"/>
      <c r="H5" s="628"/>
      <c r="I5" s="628"/>
      <c r="J5" s="628"/>
      <c r="K5" s="628"/>
      <c r="L5" s="628"/>
      <c r="M5" s="628"/>
      <c r="N5" s="628"/>
      <c r="O5" s="628" t="s">
        <v>7</v>
      </c>
      <c r="P5" s="628"/>
      <c r="Q5" s="628"/>
      <c r="R5" s="628"/>
      <c r="S5" s="628"/>
      <c r="T5" s="628"/>
      <c r="U5" s="628"/>
      <c r="V5" s="628"/>
      <c r="W5" s="628"/>
      <c r="X5" s="628"/>
      <c r="Y5" s="628"/>
      <c r="Z5" s="628"/>
      <c r="AA5" s="628" t="s">
        <v>7</v>
      </c>
      <c r="AB5" s="628"/>
      <c r="AC5" s="628"/>
      <c r="AD5" s="628"/>
      <c r="AE5" s="628"/>
      <c r="AF5" s="628"/>
      <c r="AG5" s="628"/>
      <c r="AH5" s="628"/>
      <c r="AI5" s="628"/>
      <c r="AJ5" s="628"/>
      <c r="AK5" s="628"/>
      <c r="AL5" s="628"/>
      <c r="AM5" s="628" t="s">
        <v>7</v>
      </c>
      <c r="AN5" s="628"/>
      <c r="AO5" s="628"/>
      <c r="AP5" s="628"/>
      <c r="AQ5" s="628"/>
      <c r="AR5" s="628"/>
      <c r="AS5" s="628"/>
      <c r="AT5" s="628"/>
      <c r="AU5" s="628"/>
      <c r="AV5" s="628"/>
      <c r="AW5" s="628"/>
      <c r="AX5" s="628"/>
    </row>
    <row r="6" spans="1:50">
      <c r="A6" s="72"/>
      <c r="C6" t="s">
        <v>237</v>
      </c>
    </row>
    <row r="7" spans="1:50">
      <c r="A7" s="72"/>
    </row>
    <row r="8" spans="1:50">
      <c r="A8" s="75" t="s">
        <v>2</v>
      </c>
      <c r="B8" s="3"/>
    </row>
    <row r="9" spans="1:50">
      <c r="A9" s="72">
        <v>1</v>
      </c>
      <c r="B9" s="67" t="s">
        <v>110</v>
      </c>
    </row>
    <row r="10" spans="1:50">
      <c r="A10" s="73">
        <v>2</v>
      </c>
      <c r="B10" t="s">
        <v>61</v>
      </c>
    </row>
    <row r="11" spans="1:50" ht="15.75">
      <c r="A11" s="72">
        <v>3</v>
      </c>
      <c r="B11" s="1" t="s">
        <v>96</v>
      </c>
    </row>
    <row r="12" spans="1:50">
      <c r="A12" s="73">
        <v>4</v>
      </c>
    </row>
    <row r="13" spans="1:50">
      <c r="A13" s="72">
        <v>5</v>
      </c>
      <c r="B13" s="64" t="s">
        <v>62</v>
      </c>
    </row>
    <row r="14" spans="1:50" ht="15.75">
      <c r="A14" s="73">
        <v>6</v>
      </c>
      <c r="B14" s="1" t="s">
        <v>66</v>
      </c>
    </row>
    <row r="15" spans="1:50">
      <c r="A15" s="72">
        <v>7</v>
      </c>
      <c r="B15" s="64"/>
    </row>
    <row r="16" spans="1:50" ht="15.75">
      <c r="A16" s="73">
        <v>8</v>
      </c>
      <c r="B16" s="81" t="s">
        <v>97</v>
      </c>
      <c r="C16" s="631">
        <v>2008</v>
      </c>
      <c r="D16" s="632"/>
      <c r="E16" s="632"/>
      <c r="F16" s="632"/>
      <c r="G16" s="632"/>
      <c r="H16" s="632"/>
      <c r="I16" s="632"/>
      <c r="J16" s="632"/>
      <c r="K16" s="632"/>
      <c r="L16" s="632"/>
      <c r="M16" s="632"/>
      <c r="N16" s="633"/>
      <c r="O16" s="631">
        <v>2009</v>
      </c>
      <c r="P16" s="632"/>
      <c r="Q16" s="632"/>
      <c r="R16" s="632"/>
      <c r="S16" s="632"/>
      <c r="T16" s="632"/>
      <c r="U16" s="632"/>
      <c r="V16" s="632"/>
      <c r="W16" s="632"/>
      <c r="X16" s="632"/>
      <c r="Y16" s="632"/>
      <c r="Z16" s="633"/>
      <c r="AA16" s="643">
        <v>2010</v>
      </c>
      <c r="AB16" s="644"/>
      <c r="AC16" s="644"/>
      <c r="AD16" s="644"/>
      <c r="AE16" s="644"/>
      <c r="AF16" s="644"/>
      <c r="AG16" s="644"/>
      <c r="AH16" s="644"/>
      <c r="AI16" s="644"/>
      <c r="AJ16" s="644"/>
      <c r="AK16" s="644"/>
      <c r="AL16" s="645"/>
      <c r="AM16" s="643">
        <v>2011</v>
      </c>
      <c r="AN16" s="644"/>
      <c r="AO16" s="644"/>
      <c r="AP16" s="644"/>
      <c r="AQ16" s="644"/>
      <c r="AR16" s="644"/>
      <c r="AS16" s="644"/>
      <c r="AT16" s="644"/>
      <c r="AU16" s="644"/>
      <c r="AV16" s="644"/>
      <c r="AW16" s="644"/>
      <c r="AX16" s="645"/>
    </row>
    <row r="17" spans="1:50" ht="21" thickBot="1">
      <c r="A17" s="72">
        <v>9</v>
      </c>
      <c r="B17" s="102" t="s">
        <v>328</v>
      </c>
      <c r="C17" s="119" t="s">
        <v>100</v>
      </c>
      <c r="D17" s="119" t="s">
        <v>76</v>
      </c>
      <c r="E17" s="119" t="s">
        <v>77</v>
      </c>
      <c r="F17" s="119" t="s">
        <v>78</v>
      </c>
      <c r="G17" s="119" t="s">
        <v>75</v>
      </c>
      <c r="H17" s="119" t="s">
        <v>79</v>
      </c>
      <c r="I17" s="119" t="s">
        <v>80</v>
      </c>
      <c r="J17" s="119" t="s">
        <v>81</v>
      </c>
      <c r="K17" s="119" t="s">
        <v>82</v>
      </c>
      <c r="L17" s="119" t="s">
        <v>83</v>
      </c>
      <c r="M17" s="119" t="s">
        <v>84</v>
      </c>
      <c r="N17" s="119" t="s">
        <v>101</v>
      </c>
      <c r="O17" s="119" t="s">
        <v>100</v>
      </c>
      <c r="P17" s="119" t="s">
        <v>76</v>
      </c>
      <c r="Q17" s="119" t="s">
        <v>77</v>
      </c>
      <c r="R17" s="119" t="s">
        <v>78</v>
      </c>
      <c r="S17" s="119" t="s">
        <v>75</v>
      </c>
      <c r="T17" s="119" t="s">
        <v>79</v>
      </c>
      <c r="U17" s="119" t="s">
        <v>80</v>
      </c>
      <c r="V17" s="119" t="s">
        <v>81</v>
      </c>
      <c r="W17" s="119" t="s">
        <v>82</v>
      </c>
      <c r="X17" s="119" t="s">
        <v>83</v>
      </c>
      <c r="Y17" s="119" t="s">
        <v>84</v>
      </c>
      <c r="Z17" s="119" t="s">
        <v>101</v>
      </c>
      <c r="AA17" s="260" t="s">
        <v>100</v>
      </c>
      <c r="AB17" s="119" t="s">
        <v>76</v>
      </c>
      <c r="AC17" s="119" t="s">
        <v>77</v>
      </c>
      <c r="AD17" s="119" t="s">
        <v>78</v>
      </c>
      <c r="AE17" s="119" t="s">
        <v>75</v>
      </c>
      <c r="AF17" s="119" t="s">
        <v>79</v>
      </c>
      <c r="AG17" s="119" t="s">
        <v>80</v>
      </c>
      <c r="AH17" s="119" t="s">
        <v>81</v>
      </c>
      <c r="AI17" s="119" t="s">
        <v>82</v>
      </c>
      <c r="AJ17" s="119" t="s">
        <v>83</v>
      </c>
      <c r="AK17" s="119" t="s">
        <v>84</v>
      </c>
      <c r="AL17" s="119" t="s">
        <v>101</v>
      </c>
      <c r="AM17" s="260" t="s">
        <v>100</v>
      </c>
      <c r="AN17" s="119" t="s">
        <v>76</v>
      </c>
      <c r="AO17" s="119" t="s">
        <v>77</v>
      </c>
      <c r="AP17" s="119" t="s">
        <v>78</v>
      </c>
      <c r="AQ17" s="119" t="s">
        <v>75</v>
      </c>
      <c r="AR17" s="119" t="s">
        <v>79</v>
      </c>
      <c r="AS17" s="119" t="s">
        <v>80</v>
      </c>
      <c r="AT17" s="119" t="s">
        <v>81</v>
      </c>
      <c r="AU17" s="119" t="s">
        <v>82</v>
      </c>
      <c r="AV17" s="119" t="s">
        <v>83</v>
      </c>
      <c r="AW17" s="119" t="s">
        <v>84</v>
      </c>
      <c r="AX17" s="119" t="s">
        <v>101</v>
      </c>
    </row>
    <row r="18" spans="1:50" ht="42" thickTop="1">
      <c r="A18" s="73">
        <v>10</v>
      </c>
      <c r="B18" s="52" t="s">
        <v>17</v>
      </c>
      <c r="C18" s="4"/>
    </row>
    <row r="19" spans="1:50">
      <c r="A19" s="72">
        <v>11</v>
      </c>
      <c r="B19" s="5" t="s">
        <v>146</v>
      </c>
      <c r="C19" s="7"/>
      <c r="D19" s="7"/>
      <c r="E19" s="164">
        <f>'Tehachapi CWIP Balance'!E17+'Def Tax'!F318</f>
        <v>53022.17901896008</v>
      </c>
      <c r="F19" s="164">
        <f>E20</f>
        <v>60984.892689174907</v>
      </c>
      <c r="G19" s="164">
        <f>F20</f>
        <v>69231.484364139091</v>
      </c>
      <c r="H19" s="164">
        <f>IF(H20=0,0,G20)</f>
        <v>81531.271613169636</v>
      </c>
      <c r="I19" s="164">
        <f t="shared" ref="I19:N19" si="0">IF(I20=0,0,H20)</f>
        <v>101912.48059557173</v>
      </c>
      <c r="J19" s="164">
        <f t="shared" si="0"/>
        <v>114664.90137961533</v>
      </c>
      <c r="K19" s="164">
        <f t="shared" si="0"/>
        <v>135946.83505848973</v>
      </c>
      <c r="L19" s="164">
        <f t="shared" si="0"/>
        <v>144474.09894001443</v>
      </c>
      <c r="M19" s="164">
        <f t="shared" si="0"/>
        <v>169722.40470968801</v>
      </c>
      <c r="N19" s="164">
        <f t="shared" si="0"/>
        <v>176754.53613632542</v>
      </c>
      <c r="O19" s="164">
        <f t="shared" ref="O19:Z19" si="1">IF(O20=0,0,N20)</f>
        <v>210512.14523632542</v>
      </c>
      <c r="P19" s="164">
        <f t="shared" si="1"/>
        <v>215450.83642703746</v>
      </c>
      <c r="Q19" s="164">
        <f t="shared" si="1"/>
        <v>218291.500618833</v>
      </c>
      <c r="R19" s="164">
        <f t="shared" si="1"/>
        <v>238714.61194797748</v>
      </c>
      <c r="S19" s="164">
        <f t="shared" si="1"/>
        <v>259671.00544637255</v>
      </c>
      <c r="T19" s="164">
        <f t="shared" si="1"/>
        <v>287754.35548998503</v>
      </c>
      <c r="U19" s="164">
        <f t="shared" si="1"/>
        <v>314090.05232156173</v>
      </c>
      <c r="V19" s="164">
        <f t="shared" si="1"/>
        <v>339921.67232095049</v>
      </c>
      <c r="W19" s="164">
        <f t="shared" si="1"/>
        <v>348285.85600423679</v>
      </c>
      <c r="X19" s="164">
        <f t="shared" si="1"/>
        <v>369970.77617017593</v>
      </c>
      <c r="Y19" s="164">
        <f t="shared" si="1"/>
        <v>249085.3086410242</v>
      </c>
      <c r="Z19" s="164">
        <f t="shared" si="1"/>
        <v>169516.95142274702</v>
      </c>
      <c r="AA19" s="164">
        <f t="shared" ref="AA19:AL19" si="2">IF(AA20=0,0,Z20)</f>
        <v>111655.21973274702</v>
      </c>
      <c r="AB19" s="164">
        <f t="shared" si="2"/>
        <v>124047.10592893185</v>
      </c>
      <c r="AC19" s="164">
        <f t="shared" si="2"/>
        <v>145965.26626230343</v>
      </c>
      <c r="AD19" s="164">
        <f t="shared" si="2"/>
        <v>161358.01292067923</v>
      </c>
      <c r="AE19" s="164">
        <f t="shared" si="2"/>
        <v>189147.69398749698</v>
      </c>
      <c r="AF19" s="164">
        <f t="shared" si="2"/>
        <v>221782.44061625074</v>
      </c>
      <c r="AG19" s="164">
        <f t="shared" si="2"/>
        <v>246639.83024685126</v>
      </c>
      <c r="AH19" s="164">
        <f t="shared" si="2"/>
        <v>302920.59424122033</v>
      </c>
      <c r="AI19" s="164">
        <f t="shared" si="2"/>
        <v>338654.0934650827</v>
      </c>
      <c r="AJ19" s="164">
        <f t="shared" si="2"/>
        <v>372081.91729346121</v>
      </c>
      <c r="AK19" s="164">
        <f t="shared" si="2"/>
        <v>410330.29546313197</v>
      </c>
      <c r="AL19" s="164">
        <f t="shared" si="2"/>
        <v>466166.31443417264</v>
      </c>
      <c r="AM19" s="448">
        <f t="shared" ref="AM19" si="3">IF(AM20=0,0,AL20)</f>
        <v>562008.78686417267</v>
      </c>
      <c r="AN19" s="448">
        <f t="shared" ref="AN19" si="4">IF(AN20=0,0,AM20)</f>
        <v>589291.84540369303</v>
      </c>
      <c r="AO19" s="448">
        <f t="shared" ref="AO19" si="5">IF(AO20=0,0,AN20)</f>
        <v>633429.64944954764</v>
      </c>
      <c r="AP19" s="448">
        <f t="shared" ref="AP19" si="6">IF(AP20=0,0,AO20)</f>
        <v>685729.54171859717</v>
      </c>
      <c r="AQ19" s="448">
        <f t="shared" ref="AQ19" si="7">IF(AQ20=0,0,AP20)</f>
        <v>730959.05741025251</v>
      </c>
      <c r="AR19" s="448">
        <f t="shared" ref="AR19" si="8">IF(AR20=0,0,AQ20)</f>
        <v>781424.34707277815</v>
      </c>
      <c r="AS19" s="448">
        <f t="shared" ref="AS19" si="9">IF(AS20=0,0,AR20)</f>
        <v>797631.52849273488</v>
      </c>
      <c r="AT19" s="448">
        <f t="shared" ref="AT19" si="10">IF(AT20=0,0,AS20)</f>
        <v>834900.47268154402</v>
      </c>
      <c r="AU19" s="448">
        <f t="shared" ref="AU19" si="11">IF(AU20=0,0,AT20)</f>
        <v>869531.49447158142</v>
      </c>
      <c r="AV19" s="448">
        <f t="shared" ref="AV19" si="12">IF(AV20=0,0,AU20)</f>
        <v>920755.0116948887</v>
      </c>
      <c r="AW19" s="448">
        <f t="shared" ref="AW19" si="13">IF(AW20=0,0,AV20)</f>
        <v>960325.18991301768</v>
      </c>
      <c r="AX19" s="448">
        <f t="shared" ref="AX19" si="14">IF(AX20=0,0,AW20)</f>
        <v>1012756.3670140075</v>
      </c>
    </row>
    <row r="20" spans="1:50">
      <c r="A20" s="73">
        <v>12</v>
      </c>
      <c r="B20" s="5" t="s">
        <v>147</v>
      </c>
      <c r="C20" s="8"/>
      <c r="D20" s="8"/>
      <c r="E20" s="196">
        <f>'Tehachapi CWIP Balance'!E18+'Def Tax'!F319</f>
        <v>60984.892689174907</v>
      </c>
      <c r="F20" s="196">
        <f>'Tehachapi CWIP Balance'!E19+'Def Tax'!F320</f>
        <v>69231.484364139091</v>
      </c>
      <c r="G20" s="196">
        <f>'Tehachapi CWIP Balance'!E20+'Def Tax'!F321</f>
        <v>81531.271613169636</v>
      </c>
      <c r="H20" s="196">
        <f>'Tehachapi CWIP Balance'!E21+'Def Tax'!F322</f>
        <v>101912.48059557173</v>
      </c>
      <c r="I20" s="196">
        <f>'Tehachapi CWIP Balance'!E22+'Def Tax'!F323</f>
        <v>114664.90137961533</v>
      </c>
      <c r="J20" s="196">
        <f>'Tehachapi CWIP Balance'!E23+'Def Tax'!F324</f>
        <v>135946.83505848973</v>
      </c>
      <c r="K20" s="196">
        <f>'Tehachapi CWIP Balance'!E24+'Def Tax'!F325</f>
        <v>144474.09894001443</v>
      </c>
      <c r="L20" s="196">
        <f>'Tehachapi CWIP Balance'!E25+'Def Tax'!F326</f>
        <v>169722.40470968801</v>
      </c>
      <c r="M20" s="196">
        <f>'Tehachapi CWIP Balance'!E26+'Def Tax'!F327</f>
        <v>176754.53613632542</v>
      </c>
      <c r="N20" s="196">
        <f>'Tehachapi CWIP Balance'!E27+'Def Tax'!F328</f>
        <v>210512.14523632542</v>
      </c>
      <c r="O20" s="196">
        <f>'Tehachapi CWIP Balance'!E28+'Def Tax'!F331</f>
        <v>215450.83642703746</v>
      </c>
      <c r="P20" s="196">
        <f>'Tehachapi CWIP Balance'!E29+'Def Tax'!F332</f>
        <v>218291.500618833</v>
      </c>
      <c r="Q20" s="196">
        <f>'Tehachapi CWIP Balance'!E30+'Def Tax'!F333</f>
        <v>238714.61194797748</v>
      </c>
      <c r="R20" s="196">
        <f>'Tehachapi CWIP Balance'!E31+'Def Tax'!F334</f>
        <v>259671.00544637255</v>
      </c>
      <c r="S20" s="317">
        <f>'Tehachapi CWIP Balance'!E32+'Def Tax'!F338</f>
        <v>287754.35548998503</v>
      </c>
      <c r="T20" s="317">
        <f>'Tehachapi CWIP Balance'!E33+'Def Tax'!F340</f>
        <v>314090.05232156173</v>
      </c>
      <c r="U20" s="317">
        <f>'Tehachapi CWIP Balance'!E34+'Def Tax'!F341</f>
        <v>339921.67232095049</v>
      </c>
      <c r="V20" s="317">
        <f>'Tehachapi CWIP Balance'!E35+'Def Tax'!F342</f>
        <v>348285.85600423679</v>
      </c>
      <c r="W20" s="317">
        <f>'Tehachapi CWIP Balance'!E36+'Def Tax'!F343</f>
        <v>369970.77617017593</v>
      </c>
      <c r="X20" s="317">
        <f>'Tehachapi CWIP Balance'!E37+'Def Tax'!F347</f>
        <v>249085.3086410242</v>
      </c>
      <c r="Y20" s="317">
        <f>'Tehachapi CWIP Balance'!E38+'Def Tax'!F351</f>
        <v>169516.95142274702</v>
      </c>
      <c r="Z20" s="196">
        <f>'Tehachapi CWIP Balance'!E39+'Def Tax'!F353</f>
        <v>111655.21973274702</v>
      </c>
      <c r="AA20" s="196">
        <f>'Tehachapi CWIP Balance'!E40+'Def Tax'!F359</f>
        <v>124047.10592893185</v>
      </c>
      <c r="AB20" s="196">
        <f>'Tehachapi CWIP Balance'!E41+'Def Tax'!F360</f>
        <v>145965.26626230343</v>
      </c>
      <c r="AC20" s="196">
        <f>'Tehachapi CWIP Balance'!E42+'Def Tax'!F361</f>
        <v>161358.01292067923</v>
      </c>
      <c r="AD20" s="196">
        <f>'Tehachapi CWIP Balance'!E43+'Def Tax'!F362</f>
        <v>189147.69398749698</v>
      </c>
      <c r="AE20" s="317">
        <f>'Tehachapi CWIP Balance'!E44+'Def Tax'!F363</f>
        <v>221782.44061625074</v>
      </c>
      <c r="AF20" s="196">
        <f>'Tehachapi CWIP Balance'!E45+'Def Tax'!F364</f>
        <v>246639.83024685126</v>
      </c>
      <c r="AG20" s="196">
        <f>'Tehachapi CWIP Balance'!E46+'Def Tax'!F365</f>
        <v>302920.59424122033</v>
      </c>
      <c r="AH20" s="196">
        <f>'Tehachapi CWIP Balance'!E47+'Def Tax'!F366</f>
        <v>338654.0934650827</v>
      </c>
      <c r="AI20" s="196">
        <f>'Tehachapi CWIP Balance'!E48+'Def Tax'!F367</f>
        <v>372081.91729346121</v>
      </c>
      <c r="AJ20" s="317">
        <f>'Tehachapi CWIP Balance'!E49+'Def Tax'!F368</f>
        <v>410330.29546313197</v>
      </c>
      <c r="AK20" s="317">
        <f>'Tehachapi CWIP Balance'!E50+'Def Tax'!F369</f>
        <v>466166.31443417264</v>
      </c>
      <c r="AL20" s="196">
        <f>'Tehachapi CWIP Balance'!$E51+'Def Tax'!$F370</f>
        <v>562008.78686417267</v>
      </c>
      <c r="AM20" s="317">
        <f>'Tehachapi CWIP Balance'!$E52+'Def Tax'!$F373</f>
        <v>589291.84540369303</v>
      </c>
      <c r="AN20" s="317">
        <f>'Tehachapi CWIP Balance'!$E53+'Def Tax'!$F374</f>
        <v>633429.64944954764</v>
      </c>
      <c r="AO20" s="317">
        <f>'Tehachapi CWIP Balance'!$E54+'Def Tax'!$F375</f>
        <v>685729.54171859717</v>
      </c>
      <c r="AP20" s="317">
        <f>'Tehachapi CWIP Balance'!$E55+'Def Tax'!$F376</f>
        <v>730959.05741025251</v>
      </c>
      <c r="AQ20" s="317">
        <f>'Tehachapi CWIP Balance'!$E56+'Def Tax'!$F377</f>
        <v>781424.34707277815</v>
      </c>
      <c r="AR20" s="317">
        <f>'Tehachapi CWIP Balance'!$E57+'Def Tax'!$F378</f>
        <v>797631.52849273488</v>
      </c>
      <c r="AS20" s="317">
        <f>'Tehachapi CWIP Balance'!$E58+'Def Tax'!$F379</f>
        <v>834900.47268154402</v>
      </c>
      <c r="AT20" s="317">
        <f>'Tehachapi CWIP Balance'!$E59+'Def Tax'!$F380</f>
        <v>869531.49447158142</v>
      </c>
      <c r="AU20" s="317">
        <f>'Tehachapi CWIP Balance'!$E60+'Def Tax'!$F381</f>
        <v>920755.0116948887</v>
      </c>
      <c r="AV20" s="317">
        <f>'Tehachapi CWIP Balance'!$E61+'Def Tax'!$F382</f>
        <v>960325.18991301768</v>
      </c>
      <c r="AW20" s="317">
        <f>'Tehachapi CWIP Balance'!$E62+'Def Tax'!$F384</f>
        <v>1012756.3670140075</v>
      </c>
      <c r="AX20" s="317">
        <f>'Tehachapi CWIP Balance'!$E63+'Def Tax'!$F388</f>
        <v>1069100.6847298741</v>
      </c>
    </row>
    <row r="21" spans="1:50">
      <c r="A21" s="72">
        <v>13</v>
      </c>
      <c r="B21" s="5" t="s">
        <v>12</v>
      </c>
      <c r="C21" s="76"/>
      <c r="D21" s="9"/>
      <c r="E21" s="9">
        <f t="shared" ref="E21:N21" si="15">SUM(E19:E20)</f>
        <v>114007.07170813499</v>
      </c>
      <c r="F21" s="9">
        <f t="shared" si="15"/>
        <v>130216.37705331401</v>
      </c>
      <c r="G21" s="9">
        <f t="shared" si="15"/>
        <v>150762.75597730873</v>
      </c>
      <c r="H21" s="9">
        <f t="shared" si="15"/>
        <v>183443.75220874138</v>
      </c>
      <c r="I21" s="9">
        <f t="shared" si="15"/>
        <v>216577.38197518705</v>
      </c>
      <c r="J21" s="9">
        <f t="shared" si="15"/>
        <v>250611.73643810506</v>
      </c>
      <c r="K21" s="9">
        <f t="shared" si="15"/>
        <v>280420.93399850419</v>
      </c>
      <c r="L21" s="9">
        <f t="shared" si="15"/>
        <v>314196.50364970241</v>
      </c>
      <c r="M21" s="9">
        <f t="shared" si="15"/>
        <v>346476.94084601343</v>
      </c>
      <c r="N21" s="9">
        <f t="shared" si="15"/>
        <v>387266.68137265084</v>
      </c>
      <c r="O21" s="9">
        <f t="shared" ref="O21:Z21" si="16">SUM(O19:O20)</f>
        <v>425962.98166336288</v>
      </c>
      <c r="P21" s="9">
        <f t="shared" si="16"/>
        <v>433742.33704587049</v>
      </c>
      <c r="Q21" s="9">
        <f t="shared" si="16"/>
        <v>457006.11256681045</v>
      </c>
      <c r="R21" s="9">
        <f t="shared" si="16"/>
        <v>498385.61739435</v>
      </c>
      <c r="S21" s="9">
        <f t="shared" si="16"/>
        <v>547425.36093635764</v>
      </c>
      <c r="T21" s="9">
        <f t="shared" si="16"/>
        <v>601844.4078115467</v>
      </c>
      <c r="U21" s="9">
        <f t="shared" si="16"/>
        <v>654011.72464251216</v>
      </c>
      <c r="V21" s="9">
        <f t="shared" si="16"/>
        <v>688207.52832518728</v>
      </c>
      <c r="W21" s="9">
        <f t="shared" si="16"/>
        <v>718256.63217441272</v>
      </c>
      <c r="X21" s="9">
        <f t="shared" si="16"/>
        <v>619056.08481120015</v>
      </c>
      <c r="Y21" s="9">
        <f t="shared" si="16"/>
        <v>418602.26006377122</v>
      </c>
      <c r="Z21" s="9">
        <f t="shared" si="16"/>
        <v>281172.17115549406</v>
      </c>
      <c r="AA21" s="9">
        <f t="shared" ref="AA21:AL21" si="17">SUM(AA19:AA20)</f>
        <v>235702.32566167886</v>
      </c>
      <c r="AB21" s="9">
        <f t="shared" si="17"/>
        <v>270012.37219123531</v>
      </c>
      <c r="AC21" s="9">
        <f t="shared" si="17"/>
        <v>307323.27918298263</v>
      </c>
      <c r="AD21" s="9">
        <f t="shared" si="17"/>
        <v>350505.70690817619</v>
      </c>
      <c r="AE21" s="9">
        <f t="shared" si="17"/>
        <v>410930.13460374775</v>
      </c>
      <c r="AF21" s="9">
        <f t="shared" si="17"/>
        <v>468422.27086310199</v>
      </c>
      <c r="AG21" s="9">
        <f t="shared" si="17"/>
        <v>549560.42448807159</v>
      </c>
      <c r="AH21" s="9">
        <f t="shared" si="17"/>
        <v>641574.68770630308</v>
      </c>
      <c r="AI21" s="9">
        <f t="shared" si="17"/>
        <v>710736.01075854385</v>
      </c>
      <c r="AJ21" s="9">
        <f t="shared" si="17"/>
        <v>782412.21275659325</v>
      </c>
      <c r="AK21" s="9">
        <f t="shared" si="17"/>
        <v>876496.60989730456</v>
      </c>
      <c r="AL21" s="9">
        <f t="shared" si="17"/>
        <v>1028175.1012983453</v>
      </c>
      <c r="AM21" s="435">
        <f t="shared" ref="AM21:AX21" si="18">SUM(AM19:AM20)</f>
        <v>1151300.6322678658</v>
      </c>
      <c r="AN21" s="435">
        <f t="shared" si="18"/>
        <v>1222721.4948532407</v>
      </c>
      <c r="AO21" s="435">
        <f t="shared" si="18"/>
        <v>1319159.1911681448</v>
      </c>
      <c r="AP21" s="435">
        <f t="shared" si="18"/>
        <v>1416688.5991288498</v>
      </c>
      <c r="AQ21" s="435">
        <f t="shared" si="18"/>
        <v>1512383.4044830306</v>
      </c>
      <c r="AR21" s="435">
        <f t="shared" si="18"/>
        <v>1579055.875565513</v>
      </c>
      <c r="AS21" s="435">
        <f t="shared" si="18"/>
        <v>1632532.001174279</v>
      </c>
      <c r="AT21" s="435">
        <f t="shared" si="18"/>
        <v>1704431.9671531254</v>
      </c>
      <c r="AU21" s="435">
        <f t="shared" si="18"/>
        <v>1790286.5061664702</v>
      </c>
      <c r="AV21" s="435">
        <f t="shared" si="18"/>
        <v>1881080.2016079063</v>
      </c>
      <c r="AW21" s="435">
        <f t="shared" si="18"/>
        <v>1973081.5569270253</v>
      </c>
      <c r="AX21" s="435">
        <f t="shared" si="18"/>
        <v>2081857.0517438818</v>
      </c>
    </row>
    <row r="22" spans="1:50">
      <c r="A22" s="73">
        <v>14</v>
      </c>
      <c r="B22" s="61" t="s">
        <v>13</v>
      </c>
      <c r="C22" s="77"/>
      <c r="D22" s="62"/>
      <c r="E22" s="62">
        <f t="shared" ref="E22:N22" si="19">E21/2</f>
        <v>57003.535854067493</v>
      </c>
      <c r="F22" s="62">
        <f t="shared" si="19"/>
        <v>65108.188526657003</v>
      </c>
      <c r="G22" s="62">
        <f t="shared" si="19"/>
        <v>75381.377988654363</v>
      </c>
      <c r="H22" s="62">
        <f t="shared" si="19"/>
        <v>91721.876104370691</v>
      </c>
      <c r="I22" s="62">
        <f t="shared" si="19"/>
        <v>108288.69098759352</v>
      </c>
      <c r="J22" s="62">
        <f t="shared" si="19"/>
        <v>125305.86821905253</v>
      </c>
      <c r="K22" s="62">
        <f t="shared" si="19"/>
        <v>140210.46699925209</v>
      </c>
      <c r="L22" s="62">
        <f t="shared" si="19"/>
        <v>157098.25182485121</v>
      </c>
      <c r="M22" s="62">
        <f t="shared" si="19"/>
        <v>173238.47042300671</v>
      </c>
      <c r="N22" s="62">
        <f t="shared" si="19"/>
        <v>193633.34068632542</v>
      </c>
      <c r="O22" s="62">
        <f t="shared" ref="O22:Z22" si="20">O21/2</f>
        <v>212981.49083168144</v>
      </c>
      <c r="P22" s="62">
        <f t="shared" si="20"/>
        <v>216871.16852293524</v>
      </c>
      <c r="Q22" s="62">
        <f t="shared" si="20"/>
        <v>228503.05628340523</v>
      </c>
      <c r="R22" s="62">
        <f t="shared" si="20"/>
        <v>249192.808697175</v>
      </c>
      <c r="S22" s="62">
        <f t="shared" si="20"/>
        <v>273712.68046817882</v>
      </c>
      <c r="T22" s="62">
        <f t="shared" si="20"/>
        <v>300922.20390577335</v>
      </c>
      <c r="U22" s="62">
        <f t="shared" si="20"/>
        <v>327005.86232125608</v>
      </c>
      <c r="V22" s="62">
        <f t="shared" si="20"/>
        <v>344103.76416259364</v>
      </c>
      <c r="W22" s="62">
        <f t="shared" si="20"/>
        <v>359128.31608720636</v>
      </c>
      <c r="X22" s="62">
        <f t="shared" si="20"/>
        <v>309528.04240560008</v>
      </c>
      <c r="Y22" s="62">
        <f t="shared" si="20"/>
        <v>209301.13003188561</v>
      </c>
      <c r="Z22" s="62">
        <f t="shared" si="20"/>
        <v>140586.08557774703</v>
      </c>
      <c r="AA22" s="62">
        <f t="shared" ref="AA22:AL22" si="21">AA21/2</f>
        <v>117851.16283083943</v>
      </c>
      <c r="AB22" s="62">
        <f t="shared" si="21"/>
        <v>135006.18609561765</v>
      </c>
      <c r="AC22" s="62">
        <f t="shared" si="21"/>
        <v>153661.63959149132</v>
      </c>
      <c r="AD22" s="62">
        <f t="shared" si="21"/>
        <v>175252.85345408809</v>
      </c>
      <c r="AE22" s="62">
        <f t="shared" si="21"/>
        <v>205465.06730187387</v>
      </c>
      <c r="AF22" s="62">
        <f t="shared" si="21"/>
        <v>234211.135431551</v>
      </c>
      <c r="AG22" s="62">
        <f t="shared" si="21"/>
        <v>274780.21224403579</v>
      </c>
      <c r="AH22" s="62">
        <f t="shared" si="21"/>
        <v>320787.34385315154</v>
      </c>
      <c r="AI22" s="62">
        <f t="shared" si="21"/>
        <v>355368.00537927193</v>
      </c>
      <c r="AJ22" s="62">
        <f t="shared" si="21"/>
        <v>391206.10637829662</v>
      </c>
      <c r="AK22" s="62">
        <f t="shared" si="21"/>
        <v>438248.30494865228</v>
      </c>
      <c r="AL22" s="62">
        <f t="shared" si="21"/>
        <v>514087.55064917263</v>
      </c>
      <c r="AM22" s="440">
        <f>AM21/2</f>
        <v>575650.31613393291</v>
      </c>
      <c r="AN22" s="440">
        <f t="shared" ref="AN22:AX22" si="22">AN21/2</f>
        <v>611360.74742662034</v>
      </c>
      <c r="AO22" s="440">
        <f t="shared" si="22"/>
        <v>659579.59558407241</v>
      </c>
      <c r="AP22" s="440">
        <f t="shared" si="22"/>
        <v>708344.2995644249</v>
      </c>
      <c r="AQ22" s="440">
        <f t="shared" si="22"/>
        <v>756191.70224151528</v>
      </c>
      <c r="AR22" s="440">
        <f t="shared" si="22"/>
        <v>789527.93778275652</v>
      </c>
      <c r="AS22" s="440">
        <f t="shared" si="22"/>
        <v>816266.00058713951</v>
      </c>
      <c r="AT22" s="440">
        <f t="shared" si="22"/>
        <v>852215.98357656272</v>
      </c>
      <c r="AU22" s="440">
        <f t="shared" si="22"/>
        <v>895143.25308323512</v>
      </c>
      <c r="AV22" s="440">
        <f t="shared" si="22"/>
        <v>940540.10080395313</v>
      </c>
      <c r="AW22" s="440">
        <f t="shared" si="22"/>
        <v>986540.77846351266</v>
      </c>
      <c r="AX22" s="440">
        <f t="shared" si="22"/>
        <v>1040928.5258719409</v>
      </c>
    </row>
    <row r="23" spans="1:50">
      <c r="A23" s="72">
        <v>15</v>
      </c>
      <c r="B23" s="5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344"/>
      <c r="AN23" s="344"/>
      <c r="AO23" s="344"/>
      <c r="AP23" s="344"/>
      <c r="AQ23" s="344"/>
      <c r="AR23" s="344"/>
      <c r="AS23" s="344"/>
      <c r="AT23" s="344"/>
      <c r="AU23" s="344"/>
      <c r="AV23" s="344"/>
      <c r="AW23" s="344"/>
      <c r="AX23" s="344"/>
    </row>
    <row r="24" spans="1:50" ht="28.5">
      <c r="A24" s="73">
        <v>16</v>
      </c>
      <c r="B24" s="52" t="s">
        <v>14</v>
      </c>
      <c r="AM24" s="344"/>
      <c r="AN24" s="344"/>
      <c r="AO24" s="344"/>
      <c r="AP24" s="344"/>
      <c r="AQ24" s="344"/>
      <c r="AR24" s="344"/>
      <c r="AS24" s="344"/>
      <c r="AT24" s="344"/>
      <c r="AU24" s="344"/>
      <c r="AV24" s="344"/>
      <c r="AW24" s="344"/>
      <c r="AX24" s="344"/>
    </row>
    <row r="25" spans="1:50">
      <c r="A25" s="72">
        <v>17</v>
      </c>
      <c r="B25" s="51" t="s">
        <v>47</v>
      </c>
      <c r="C25" s="89"/>
      <c r="D25" s="89"/>
      <c r="E25" s="89">
        <f>'Cost of Capital'!$D$20</f>
        <v>9.1139999999999999E-2</v>
      </c>
      <c r="F25" s="89">
        <f>'Cost of Capital'!$D$20</f>
        <v>9.1139999999999999E-2</v>
      </c>
      <c r="G25" s="89">
        <f>'Cost of Capital'!$D$20</f>
        <v>9.1139999999999999E-2</v>
      </c>
      <c r="H25" s="89">
        <f>'Cost of Capital'!$D$20</f>
        <v>9.1139999999999999E-2</v>
      </c>
      <c r="I25" s="89">
        <f>'Cost of Capital'!$D$20</f>
        <v>9.1139999999999999E-2</v>
      </c>
      <c r="J25" s="89">
        <f>'Cost of Capital'!$D$20</f>
        <v>9.1139999999999999E-2</v>
      </c>
      <c r="K25" s="89">
        <f>'Cost of Capital'!$D$20</f>
        <v>9.1139999999999999E-2</v>
      </c>
      <c r="L25" s="89">
        <f>'Cost of Capital'!$D$20</f>
        <v>9.1139999999999999E-2</v>
      </c>
      <c r="M25" s="89">
        <f>'Cost of Capital'!$D$20</f>
        <v>9.1139999999999999E-2</v>
      </c>
      <c r="N25" s="89">
        <f>'Cost of Capital'!$D$20</f>
        <v>9.1139999999999999E-2</v>
      </c>
      <c r="O25" s="89">
        <f>'Cost of Capital'!$D$46</f>
        <v>9.0090000000000003E-2</v>
      </c>
      <c r="P25" s="89">
        <f>'Cost of Capital'!$D$46</f>
        <v>9.0090000000000003E-2</v>
      </c>
      <c r="Q25" s="89">
        <f>'Cost of Capital'!$D$46</f>
        <v>9.0090000000000003E-2</v>
      </c>
      <c r="R25" s="89">
        <f>'Cost of Capital'!$D$46</f>
        <v>9.0090000000000003E-2</v>
      </c>
      <c r="S25" s="89">
        <f>'Cost of Capital'!$D$46</f>
        <v>9.0090000000000003E-2</v>
      </c>
      <c r="T25" s="89">
        <f>'Cost of Capital'!$D$46</f>
        <v>9.0090000000000003E-2</v>
      </c>
      <c r="U25" s="89">
        <f>'Cost of Capital'!$D$46</f>
        <v>9.0090000000000003E-2</v>
      </c>
      <c r="V25" s="89">
        <f>'Cost of Capital'!$D$46</f>
        <v>9.0090000000000003E-2</v>
      </c>
      <c r="W25" s="89">
        <f>'Cost of Capital'!$D$46</f>
        <v>9.0090000000000003E-2</v>
      </c>
      <c r="X25" s="89">
        <f>'Cost of Capital'!$D$46</f>
        <v>9.0090000000000003E-2</v>
      </c>
      <c r="Y25" s="89">
        <f>'Cost of Capital'!$D$46</f>
        <v>9.0090000000000003E-2</v>
      </c>
      <c r="Z25" s="89">
        <f>'Cost of Capital'!$D$46</f>
        <v>9.0090000000000003E-2</v>
      </c>
      <c r="AA25" s="308">
        <f>'Cost of Capital'!$D$46</f>
        <v>9.0090000000000003E-2</v>
      </c>
      <c r="AB25" s="89">
        <f>'Cost of Capital'!$D$46</f>
        <v>9.0090000000000003E-2</v>
      </c>
      <c r="AC25" s="89">
        <f>'Cost of Capital'!$D$46</f>
        <v>9.0090000000000003E-2</v>
      </c>
      <c r="AD25" s="89">
        <f>'Cost of Capital'!$D$46</f>
        <v>9.0090000000000003E-2</v>
      </c>
      <c r="AE25" s="89">
        <f>'Cost of Capital'!$D$46</f>
        <v>9.0090000000000003E-2</v>
      </c>
      <c r="AF25" s="89">
        <f>'Cost of Capital'!$D$75</f>
        <v>9.0200000000000002E-2</v>
      </c>
      <c r="AG25" s="89">
        <f>'Cost of Capital'!$D$75</f>
        <v>9.0200000000000002E-2</v>
      </c>
      <c r="AH25" s="89">
        <f>'Cost of Capital'!$D$75</f>
        <v>9.0200000000000002E-2</v>
      </c>
      <c r="AI25" s="89">
        <f>'Cost of Capital'!$D$75</f>
        <v>9.0200000000000002E-2</v>
      </c>
      <c r="AJ25" s="89">
        <f>'Cost of Capital'!$D$75</f>
        <v>9.0200000000000002E-2</v>
      </c>
      <c r="AK25" s="89">
        <f>'Cost of Capital'!$D$75</f>
        <v>9.0200000000000002E-2</v>
      </c>
      <c r="AL25" s="89">
        <f>'Cost of Capital'!$D$75</f>
        <v>9.0200000000000002E-2</v>
      </c>
      <c r="AM25" s="308">
        <f>'Cost of Capital'!$D$129</f>
        <v>8.9139999999999997E-2</v>
      </c>
      <c r="AN25" s="308">
        <f>'Cost of Capital'!$D$129</f>
        <v>8.9139999999999997E-2</v>
      </c>
      <c r="AO25" s="308">
        <f>'Cost of Capital'!$D$129</f>
        <v>8.9139999999999997E-2</v>
      </c>
      <c r="AP25" s="308">
        <f>'Cost of Capital'!$D$129</f>
        <v>8.9139999999999997E-2</v>
      </c>
      <c r="AQ25" s="308">
        <f>'Cost of Capital'!$D$129</f>
        <v>8.9139999999999997E-2</v>
      </c>
      <c r="AR25" s="308">
        <f>'Cost of Capital'!$D$129</f>
        <v>8.9139999999999997E-2</v>
      </c>
      <c r="AS25" s="308">
        <f>'Cost of Capital'!$D$129</f>
        <v>8.9139999999999997E-2</v>
      </c>
      <c r="AT25" s="308">
        <f>'Cost of Capital'!$D$129</f>
        <v>8.9139999999999997E-2</v>
      </c>
      <c r="AU25" s="308">
        <f>'Cost of Capital'!$D$129</f>
        <v>8.9139999999999997E-2</v>
      </c>
      <c r="AV25" s="308">
        <f>'Cost of Capital'!$D$129</f>
        <v>8.9139999999999997E-2</v>
      </c>
      <c r="AW25" s="308">
        <f>'Cost of Capital'!$D$129</f>
        <v>8.9139999999999997E-2</v>
      </c>
      <c r="AX25" s="308">
        <f>'Cost of Capital'!$D$129</f>
        <v>8.9139999999999997E-2</v>
      </c>
    </row>
    <row r="26" spans="1:50">
      <c r="A26" s="73">
        <v>18</v>
      </c>
      <c r="B26" s="61" t="s">
        <v>48</v>
      </c>
      <c r="C26" s="85"/>
      <c r="D26" s="85"/>
      <c r="E26" s="85">
        <f>'Cost of Capital'!$D$21</f>
        <v>7.5950000000000002E-3</v>
      </c>
      <c r="F26" s="85">
        <f>'Cost of Capital'!$D$21</f>
        <v>7.5950000000000002E-3</v>
      </c>
      <c r="G26" s="85">
        <f>'Cost of Capital'!$D$21</f>
        <v>7.5950000000000002E-3</v>
      </c>
      <c r="H26" s="85">
        <f>'Cost of Capital'!$D$21</f>
        <v>7.5950000000000002E-3</v>
      </c>
      <c r="I26" s="85">
        <f>'Cost of Capital'!$D$21</f>
        <v>7.5950000000000002E-3</v>
      </c>
      <c r="J26" s="85">
        <f>'Cost of Capital'!$D$21</f>
        <v>7.5950000000000002E-3</v>
      </c>
      <c r="K26" s="85">
        <f>'Cost of Capital'!$D$21</f>
        <v>7.5950000000000002E-3</v>
      </c>
      <c r="L26" s="85">
        <f>'Cost of Capital'!$D$21</f>
        <v>7.5950000000000002E-3</v>
      </c>
      <c r="M26" s="85">
        <f>'Cost of Capital'!$D$21</f>
        <v>7.5950000000000002E-3</v>
      </c>
      <c r="N26" s="85">
        <f>'Cost of Capital'!$D$21</f>
        <v>7.5950000000000002E-3</v>
      </c>
      <c r="O26" s="85">
        <f>'Cost of Capital'!$D$47</f>
        <v>7.5075000000000003E-3</v>
      </c>
      <c r="P26" s="85">
        <f>'Cost of Capital'!$D$47</f>
        <v>7.5075000000000003E-3</v>
      </c>
      <c r="Q26" s="85">
        <f>'Cost of Capital'!$D$47</f>
        <v>7.5075000000000003E-3</v>
      </c>
      <c r="R26" s="85">
        <f>'Cost of Capital'!$D$47</f>
        <v>7.5075000000000003E-3</v>
      </c>
      <c r="S26" s="85">
        <f>'Cost of Capital'!$D$47</f>
        <v>7.5075000000000003E-3</v>
      </c>
      <c r="T26" s="85">
        <f>'Cost of Capital'!$D$47</f>
        <v>7.5075000000000003E-3</v>
      </c>
      <c r="U26" s="85">
        <f>'Cost of Capital'!$D$47</f>
        <v>7.5075000000000003E-3</v>
      </c>
      <c r="V26" s="85">
        <f>'Cost of Capital'!$D$47</f>
        <v>7.5075000000000003E-3</v>
      </c>
      <c r="W26" s="85">
        <f>'Cost of Capital'!$D$47</f>
        <v>7.5075000000000003E-3</v>
      </c>
      <c r="X26" s="85">
        <f>'Cost of Capital'!$D$47</f>
        <v>7.5075000000000003E-3</v>
      </c>
      <c r="Y26" s="85">
        <f>'Cost of Capital'!$D$47</f>
        <v>7.5075000000000003E-3</v>
      </c>
      <c r="Z26" s="85">
        <f>'Cost of Capital'!$D$47</f>
        <v>7.5075000000000003E-3</v>
      </c>
      <c r="AA26" s="85">
        <f>'Cost of Capital'!$D$47</f>
        <v>7.5075000000000003E-3</v>
      </c>
      <c r="AB26" s="85">
        <f>'Cost of Capital'!$D$47</f>
        <v>7.5075000000000003E-3</v>
      </c>
      <c r="AC26" s="85">
        <f>'Cost of Capital'!$D$47</f>
        <v>7.5075000000000003E-3</v>
      </c>
      <c r="AD26" s="85">
        <f>'Cost of Capital'!$D$47</f>
        <v>7.5075000000000003E-3</v>
      </c>
      <c r="AE26" s="85">
        <f>'Cost of Capital'!$D$47</f>
        <v>7.5075000000000003E-3</v>
      </c>
      <c r="AF26" s="85">
        <f>'Cost of Capital'!$D$76</f>
        <v>7.5199999999999998E-3</v>
      </c>
      <c r="AG26" s="85">
        <f>'Cost of Capital'!$D$76</f>
        <v>7.5199999999999998E-3</v>
      </c>
      <c r="AH26" s="85">
        <f>'Cost of Capital'!$D$76</f>
        <v>7.5199999999999998E-3</v>
      </c>
      <c r="AI26" s="85">
        <f>'Cost of Capital'!$D$76</f>
        <v>7.5199999999999998E-3</v>
      </c>
      <c r="AJ26" s="85">
        <f>'Cost of Capital'!$D$76</f>
        <v>7.5199999999999998E-3</v>
      </c>
      <c r="AK26" s="85">
        <f>'Cost of Capital'!$D$76</f>
        <v>7.5199999999999998E-3</v>
      </c>
      <c r="AL26" s="85">
        <f>'Cost of Capital'!$D$76</f>
        <v>7.5199999999999998E-3</v>
      </c>
      <c r="AM26" s="447">
        <f>'Cost of Capital'!$D$130</f>
        <v>7.4283333333333328E-3</v>
      </c>
      <c r="AN26" s="447">
        <f>'Cost of Capital'!$D$130</f>
        <v>7.4283333333333328E-3</v>
      </c>
      <c r="AO26" s="447">
        <f>'Cost of Capital'!$D$130</f>
        <v>7.4283333333333328E-3</v>
      </c>
      <c r="AP26" s="447">
        <f>'Cost of Capital'!$D$130</f>
        <v>7.4283333333333328E-3</v>
      </c>
      <c r="AQ26" s="447">
        <f>'Cost of Capital'!$D$130</f>
        <v>7.4283333333333328E-3</v>
      </c>
      <c r="AR26" s="447">
        <f>'Cost of Capital'!$D$130</f>
        <v>7.4283333333333328E-3</v>
      </c>
      <c r="AS26" s="447">
        <f>'Cost of Capital'!$D$130</f>
        <v>7.4283333333333328E-3</v>
      </c>
      <c r="AT26" s="447">
        <f>'Cost of Capital'!$D$130</f>
        <v>7.4283333333333328E-3</v>
      </c>
      <c r="AU26" s="447">
        <f>'Cost of Capital'!$D$130</f>
        <v>7.4283333333333328E-3</v>
      </c>
      <c r="AV26" s="447">
        <f>'Cost of Capital'!$D$130</f>
        <v>7.4283333333333328E-3</v>
      </c>
      <c r="AW26" s="447">
        <f>'Cost of Capital'!$D$130</f>
        <v>7.4283333333333328E-3</v>
      </c>
      <c r="AX26" s="447">
        <f>'Cost of Capital'!$D$130</f>
        <v>7.4283333333333328E-3</v>
      </c>
    </row>
    <row r="27" spans="1:50">
      <c r="A27" s="72">
        <v>19</v>
      </c>
      <c r="B27" s="5"/>
      <c r="AM27" s="344"/>
      <c r="AN27" s="344"/>
      <c r="AO27" s="344"/>
      <c r="AP27" s="344"/>
      <c r="AQ27" s="344"/>
      <c r="AR27" s="344"/>
      <c r="AS27" s="344"/>
      <c r="AT27" s="344"/>
      <c r="AU27" s="344"/>
      <c r="AV27" s="344"/>
      <c r="AW27" s="344"/>
      <c r="AX27" s="344"/>
    </row>
    <row r="28" spans="1:50" ht="15.75">
      <c r="A28" s="73">
        <v>20</v>
      </c>
      <c r="B28" s="53" t="s">
        <v>65</v>
      </c>
      <c r="AM28" s="344"/>
      <c r="AN28" s="344"/>
      <c r="AO28" s="344"/>
      <c r="AP28" s="344"/>
      <c r="AQ28" s="344"/>
      <c r="AR28" s="344"/>
      <c r="AS28" s="344"/>
      <c r="AT28" s="344"/>
      <c r="AU28" s="344"/>
      <c r="AV28" s="344"/>
      <c r="AW28" s="344"/>
      <c r="AX28" s="344"/>
    </row>
    <row r="29" spans="1:50">
      <c r="A29" s="72">
        <v>21</v>
      </c>
      <c r="B29" s="69" t="s">
        <v>91</v>
      </c>
      <c r="AM29" s="344"/>
      <c r="AN29" s="344"/>
      <c r="AO29" s="344"/>
      <c r="AP29" s="344"/>
      <c r="AQ29" s="344"/>
      <c r="AR29" s="344"/>
      <c r="AS29" s="344"/>
      <c r="AT29" s="344"/>
      <c r="AU29" s="344"/>
      <c r="AV29" s="344"/>
      <c r="AW29" s="344"/>
      <c r="AX29" s="344"/>
    </row>
    <row r="30" spans="1:50">
      <c r="A30" s="73">
        <v>22</v>
      </c>
      <c r="B30" s="11" t="s">
        <v>15</v>
      </c>
      <c r="AM30" s="344"/>
      <c r="AN30" s="344"/>
      <c r="AO30" s="344"/>
      <c r="AP30" s="344"/>
      <c r="AQ30" s="344"/>
      <c r="AR30" s="344"/>
      <c r="AS30" s="344"/>
      <c r="AT30" s="344"/>
      <c r="AU30" s="344"/>
      <c r="AV30" s="344"/>
      <c r="AW30" s="344"/>
      <c r="AX30" s="344"/>
    </row>
    <row r="31" spans="1:50" ht="25.5">
      <c r="A31" s="72">
        <v>23</v>
      </c>
      <c r="B31" s="101" t="s">
        <v>92</v>
      </c>
      <c r="AM31" s="344"/>
      <c r="AN31" s="344"/>
      <c r="AO31" s="344"/>
      <c r="AP31" s="344"/>
      <c r="AQ31" s="344"/>
      <c r="AR31" s="344"/>
      <c r="AS31" s="344"/>
      <c r="AT31" s="344"/>
      <c r="AU31" s="344"/>
      <c r="AV31" s="344"/>
      <c r="AW31" s="344"/>
      <c r="AX31" s="344"/>
    </row>
    <row r="32" spans="1:50" ht="25.5">
      <c r="A32" s="73">
        <v>24</v>
      </c>
      <c r="B32" s="12" t="s">
        <v>19</v>
      </c>
      <c r="AM32" s="344"/>
      <c r="AN32" s="344"/>
      <c r="AO32" s="344"/>
      <c r="AP32" s="344"/>
      <c r="AQ32" s="344"/>
      <c r="AR32" s="344"/>
      <c r="AS32" s="344"/>
      <c r="AT32" s="344"/>
      <c r="AU32" s="344"/>
      <c r="AV32" s="344"/>
      <c r="AW32" s="344"/>
      <c r="AX32" s="344"/>
    </row>
    <row r="33" spans="1:50">
      <c r="A33" s="72">
        <v>25</v>
      </c>
      <c r="B33" s="5" t="s">
        <v>20</v>
      </c>
      <c r="C33" s="87"/>
      <c r="D33" s="87"/>
      <c r="E33" s="87">
        <f>'Cost of Capital'!$D$17</f>
        <v>2.6699999999999998E-2</v>
      </c>
      <c r="F33" s="87">
        <f>'Cost of Capital'!$D$17</f>
        <v>2.6699999999999998E-2</v>
      </c>
      <c r="G33" s="87">
        <f>'Cost of Capital'!$D$17</f>
        <v>2.6699999999999998E-2</v>
      </c>
      <c r="H33" s="87">
        <f>'Cost of Capital'!$D$17</f>
        <v>2.6699999999999998E-2</v>
      </c>
      <c r="I33" s="87">
        <f>'Cost of Capital'!$D$17</f>
        <v>2.6699999999999998E-2</v>
      </c>
      <c r="J33" s="87">
        <f>'Cost of Capital'!$D$17</f>
        <v>2.6699999999999998E-2</v>
      </c>
      <c r="K33" s="87">
        <f>'Cost of Capital'!$D$17</f>
        <v>2.6699999999999998E-2</v>
      </c>
      <c r="L33" s="87">
        <f>'Cost of Capital'!$D$17</f>
        <v>2.6699999999999998E-2</v>
      </c>
      <c r="M33" s="87">
        <f>'Cost of Capital'!$D$17</f>
        <v>2.6699999999999998E-2</v>
      </c>
      <c r="N33" s="87">
        <f>'Cost of Capital'!$D$17</f>
        <v>2.6699999999999998E-2</v>
      </c>
      <c r="O33" s="87">
        <f>'Cost of Capital'!$D$43</f>
        <v>2.76E-2</v>
      </c>
      <c r="P33" s="87">
        <f>'Cost of Capital'!$D$43</f>
        <v>2.76E-2</v>
      </c>
      <c r="Q33" s="87">
        <f>'Cost of Capital'!$D$43</f>
        <v>2.76E-2</v>
      </c>
      <c r="R33" s="87">
        <f>'Cost of Capital'!$D$43</f>
        <v>2.76E-2</v>
      </c>
      <c r="S33" s="87">
        <f>'Cost of Capital'!$D$43</f>
        <v>2.76E-2</v>
      </c>
      <c r="T33" s="87">
        <f>'Cost of Capital'!$D$43</f>
        <v>2.76E-2</v>
      </c>
      <c r="U33" s="87">
        <f>'Cost of Capital'!$D$43</f>
        <v>2.76E-2</v>
      </c>
      <c r="V33" s="87">
        <f>'Cost of Capital'!$D$43</f>
        <v>2.76E-2</v>
      </c>
      <c r="W33" s="87">
        <f>'Cost of Capital'!$D$43</f>
        <v>2.76E-2</v>
      </c>
      <c r="X33" s="87">
        <f>'Cost of Capital'!$D$43</f>
        <v>2.76E-2</v>
      </c>
      <c r="Y33" s="87">
        <f>'Cost of Capital'!$D$43</f>
        <v>2.76E-2</v>
      </c>
      <c r="Z33" s="87">
        <f>'Cost of Capital'!$D$43</f>
        <v>2.76E-2</v>
      </c>
      <c r="AA33" s="309">
        <f>'Cost of Capital'!$D$43</f>
        <v>2.76E-2</v>
      </c>
      <c r="AB33" s="87">
        <f>'Cost of Capital'!$D$43</f>
        <v>2.76E-2</v>
      </c>
      <c r="AC33" s="87">
        <f>'Cost of Capital'!$D$43</f>
        <v>2.76E-2</v>
      </c>
      <c r="AD33" s="87">
        <f>'Cost of Capital'!$D$43</f>
        <v>2.76E-2</v>
      </c>
      <c r="AE33" s="87">
        <f>'Cost of Capital'!$D$43</f>
        <v>2.76E-2</v>
      </c>
      <c r="AF33" s="309">
        <f>'Cost of Capital'!$D$72</f>
        <v>2.6700000000000002E-2</v>
      </c>
      <c r="AG33" s="309">
        <f>'Cost of Capital'!$D$72</f>
        <v>2.6700000000000002E-2</v>
      </c>
      <c r="AH33" s="309">
        <f>'Cost of Capital'!$D$72</f>
        <v>2.6700000000000002E-2</v>
      </c>
      <c r="AI33" s="309">
        <f>'Cost of Capital'!$D$72</f>
        <v>2.6700000000000002E-2</v>
      </c>
      <c r="AJ33" s="309">
        <f>'Cost of Capital'!$D$72</f>
        <v>2.6700000000000002E-2</v>
      </c>
      <c r="AK33" s="309">
        <f>'Cost of Capital'!$D$72</f>
        <v>2.6700000000000002E-2</v>
      </c>
      <c r="AL33" s="309">
        <f>'Cost of Capital'!$D$72</f>
        <v>2.6700000000000002E-2</v>
      </c>
      <c r="AM33" s="309">
        <f>'Cost of Capital'!$D$126</f>
        <v>2.58E-2</v>
      </c>
      <c r="AN33" s="309">
        <f>'Cost of Capital'!$D$126</f>
        <v>2.58E-2</v>
      </c>
      <c r="AO33" s="309">
        <f>'Cost of Capital'!$D$126</f>
        <v>2.58E-2</v>
      </c>
      <c r="AP33" s="309">
        <f>'Cost of Capital'!$D$126</f>
        <v>2.58E-2</v>
      </c>
      <c r="AQ33" s="309">
        <f>'Cost of Capital'!$D$126</f>
        <v>2.58E-2</v>
      </c>
      <c r="AR33" s="309">
        <f>'Cost of Capital'!$D$126</f>
        <v>2.58E-2</v>
      </c>
      <c r="AS33" s="309">
        <f>'Cost of Capital'!$D$126</f>
        <v>2.58E-2</v>
      </c>
      <c r="AT33" s="309">
        <f>'Cost of Capital'!$D$126</f>
        <v>2.58E-2</v>
      </c>
      <c r="AU33" s="309">
        <f>'Cost of Capital'!$D$126</f>
        <v>2.58E-2</v>
      </c>
      <c r="AV33" s="309">
        <f>'Cost of Capital'!$D$126</f>
        <v>2.58E-2</v>
      </c>
      <c r="AW33" s="309">
        <f>'Cost of Capital'!$D$126</f>
        <v>2.58E-2</v>
      </c>
      <c r="AX33" s="309">
        <f>'Cost of Capital'!$D$126</f>
        <v>2.58E-2</v>
      </c>
    </row>
    <row r="34" spans="1:50">
      <c r="A34" s="73">
        <v>26</v>
      </c>
      <c r="B34" s="5" t="s">
        <v>21</v>
      </c>
      <c r="C34" s="100"/>
      <c r="D34" s="100"/>
      <c r="E34" s="100">
        <f t="shared" ref="E34:N34" si="23">E33/12</f>
        <v>2.225E-3</v>
      </c>
      <c r="F34" s="100">
        <f t="shared" si="23"/>
        <v>2.225E-3</v>
      </c>
      <c r="G34" s="100">
        <f t="shared" si="23"/>
        <v>2.225E-3</v>
      </c>
      <c r="H34" s="100">
        <f t="shared" si="23"/>
        <v>2.225E-3</v>
      </c>
      <c r="I34" s="100">
        <f t="shared" si="23"/>
        <v>2.225E-3</v>
      </c>
      <c r="J34" s="100">
        <f t="shared" si="23"/>
        <v>2.225E-3</v>
      </c>
      <c r="K34" s="100">
        <f t="shared" si="23"/>
        <v>2.225E-3</v>
      </c>
      <c r="L34" s="100">
        <f t="shared" si="23"/>
        <v>2.225E-3</v>
      </c>
      <c r="M34" s="100">
        <f t="shared" si="23"/>
        <v>2.225E-3</v>
      </c>
      <c r="N34" s="100">
        <f t="shared" si="23"/>
        <v>2.225E-3</v>
      </c>
      <c r="O34" s="100">
        <f t="shared" ref="O34:Z34" si="24">O33/12</f>
        <v>2.3E-3</v>
      </c>
      <c r="P34" s="100">
        <f t="shared" si="24"/>
        <v>2.3E-3</v>
      </c>
      <c r="Q34" s="100">
        <f t="shared" si="24"/>
        <v>2.3E-3</v>
      </c>
      <c r="R34" s="100">
        <f t="shared" si="24"/>
        <v>2.3E-3</v>
      </c>
      <c r="S34" s="100">
        <f t="shared" si="24"/>
        <v>2.3E-3</v>
      </c>
      <c r="T34" s="100">
        <f t="shared" si="24"/>
        <v>2.3E-3</v>
      </c>
      <c r="U34" s="100">
        <f t="shared" si="24"/>
        <v>2.3E-3</v>
      </c>
      <c r="V34" s="100">
        <f t="shared" si="24"/>
        <v>2.3E-3</v>
      </c>
      <c r="W34" s="100">
        <f t="shared" si="24"/>
        <v>2.3E-3</v>
      </c>
      <c r="X34" s="100">
        <f t="shared" si="24"/>
        <v>2.3E-3</v>
      </c>
      <c r="Y34" s="100">
        <f t="shared" si="24"/>
        <v>2.3E-3</v>
      </c>
      <c r="Z34" s="100">
        <f t="shared" si="24"/>
        <v>2.3E-3</v>
      </c>
      <c r="AA34" s="100">
        <f t="shared" ref="AA34:AL34" si="25">AA33/12</f>
        <v>2.3E-3</v>
      </c>
      <c r="AB34" s="100">
        <f t="shared" si="25"/>
        <v>2.3E-3</v>
      </c>
      <c r="AC34" s="100">
        <f t="shared" si="25"/>
        <v>2.3E-3</v>
      </c>
      <c r="AD34" s="100">
        <f t="shared" si="25"/>
        <v>2.3E-3</v>
      </c>
      <c r="AE34" s="100">
        <f t="shared" si="25"/>
        <v>2.3E-3</v>
      </c>
      <c r="AF34" s="450">
        <f t="shared" si="25"/>
        <v>2.225E-3</v>
      </c>
      <c r="AG34" s="450">
        <f t="shared" si="25"/>
        <v>2.225E-3</v>
      </c>
      <c r="AH34" s="450">
        <f t="shared" si="25"/>
        <v>2.225E-3</v>
      </c>
      <c r="AI34" s="450">
        <f t="shared" si="25"/>
        <v>2.225E-3</v>
      </c>
      <c r="AJ34" s="450">
        <f t="shared" si="25"/>
        <v>2.225E-3</v>
      </c>
      <c r="AK34" s="450">
        <f t="shared" si="25"/>
        <v>2.225E-3</v>
      </c>
      <c r="AL34" s="450">
        <f t="shared" si="25"/>
        <v>2.225E-3</v>
      </c>
      <c r="AM34" s="450">
        <f t="shared" ref="AM34:AX34" si="26">AM33/12</f>
        <v>2.15E-3</v>
      </c>
      <c r="AN34" s="450">
        <f t="shared" si="26"/>
        <v>2.15E-3</v>
      </c>
      <c r="AO34" s="450">
        <f t="shared" si="26"/>
        <v>2.15E-3</v>
      </c>
      <c r="AP34" s="450">
        <f t="shared" si="26"/>
        <v>2.15E-3</v>
      </c>
      <c r="AQ34" s="450">
        <f t="shared" si="26"/>
        <v>2.15E-3</v>
      </c>
      <c r="AR34" s="450">
        <f t="shared" si="26"/>
        <v>2.15E-3</v>
      </c>
      <c r="AS34" s="450">
        <f t="shared" si="26"/>
        <v>2.15E-3</v>
      </c>
      <c r="AT34" s="450">
        <f t="shared" si="26"/>
        <v>2.15E-3</v>
      </c>
      <c r="AU34" s="450">
        <f t="shared" si="26"/>
        <v>2.15E-3</v>
      </c>
      <c r="AV34" s="450">
        <f t="shared" si="26"/>
        <v>2.15E-3</v>
      </c>
      <c r="AW34" s="450">
        <f t="shared" si="26"/>
        <v>2.15E-3</v>
      </c>
      <c r="AX34" s="450">
        <f t="shared" si="26"/>
        <v>2.15E-3</v>
      </c>
    </row>
    <row r="35" spans="1:50" ht="25.5">
      <c r="A35" s="72">
        <v>27</v>
      </c>
      <c r="B35" s="12" t="s">
        <v>22</v>
      </c>
      <c r="AM35" s="344"/>
      <c r="AN35" s="344"/>
      <c r="AO35" s="344"/>
      <c r="AP35" s="344"/>
      <c r="AQ35" s="344"/>
      <c r="AR35" s="344"/>
      <c r="AS35" s="344"/>
      <c r="AT35" s="344"/>
      <c r="AU35" s="344"/>
      <c r="AV35" s="344"/>
      <c r="AW35" s="344"/>
      <c r="AX35" s="344"/>
    </row>
    <row r="36" spans="1:50">
      <c r="A36" s="73">
        <v>28</v>
      </c>
      <c r="B36" s="5" t="s">
        <v>18</v>
      </c>
      <c r="C36" s="158"/>
      <c r="D36" s="158"/>
      <c r="E36" s="158">
        <f>'Def Tax'!$E238</f>
        <v>269.21419954300001</v>
      </c>
      <c r="F36" s="158">
        <f>'Def Tax'!$E239</f>
        <v>275.40519668540543</v>
      </c>
      <c r="G36" s="160">
        <f>'Def Tax'!$E240</f>
        <v>314.1227920243802</v>
      </c>
      <c r="H36" s="158">
        <f>'Def Tax'!$E241</f>
        <v>371.59566871282533</v>
      </c>
      <c r="I36" s="158">
        <f>'Def Tax'!$E242</f>
        <v>466.36705086109248</v>
      </c>
      <c r="J36" s="158">
        <f>'Def Tax'!$E243</f>
        <v>526.59166957753916</v>
      </c>
      <c r="K36" s="158">
        <f>'Def Tax'!$E244</f>
        <v>626.22087177560286</v>
      </c>
      <c r="L36" s="158">
        <f>'Def Tax'!$E245</f>
        <v>667.88310434624111</v>
      </c>
      <c r="M36" s="158">
        <f>'Def Tax'!$E246</f>
        <v>786.45855985366143</v>
      </c>
      <c r="N36" s="158">
        <f>'Def Tax'!$E247</f>
        <v>822.17184341132383</v>
      </c>
      <c r="O36" s="158">
        <f>'Def Tax'!$E250</f>
        <v>1098.3420067968609</v>
      </c>
      <c r="P36" s="158">
        <f>'Def Tax'!$E251</f>
        <v>1127.2301603310848</v>
      </c>
      <c r="Q36" s="158">
        <f>'Def Tax'!$E252</f>
        <v>1145.637562063451</v>
      </c>
      <c r="R36" s="158">
        <f>'Def Tax'!$E253</f>
        <v>1254.5633071560435</v>
      </c>
      <c r="S36" s="158">
        <f>'Def Tax'!$E255</f>
        <v>1366.8334295674445</v>
      </c>
      <c r="T36" s="158">
        <f>'Def Tax'!$E259</f>
        <v>1515.9969335967776</v>
      </c>
      <c r="U36" s="158">
        <f>'Def Tax'!$E260</f>
        <v>1657.3864688765741</v>
      </c>
      <c r="V36" s="158">
        <f>'Def Tax'!$E261</f>
        <v>1797.0549654281408</v>
      </c>
      <c r="W36" s="158">
        <f>'Def Tax'!$E262</f>
        <v>1847.9654046766716</v>
      </c>
      <c r="X36" s="158">
        <f>'Def Tax'!$E264</f>
        <v>1967.8030394893456</v>
      </c>
      <c r="Y36" s="158">
        <f>'Def Tax'!$E268</f>
        <v>1321.9253108496903</v>
      </c>
      <c r="Z36" s="158">
        <f>'Def Tax'!$E272</f>
        <v>894.21423104566497</v>
      </c>
      <c r="AA36" s="158">
        <f>'Def Tax'!$E278</f>
        <v>589.23095959500642</v>
      </c>
      <c r="AB36" s="158">
        <f>'Def Tax'!$E279</f>
        <v>655.69542250956363</v>
      </c>
      <c r="AC36" s="158">
        <f>'Def Tax'!$E280</f>
        <v>772.10873731430092</v>
      </c>
      <c r="AD36" s="158">
        <f>'Def Tax'!$E281</f>
        <v>855.07255703989631</v>
      </c>
      <c r="AE36" s="158">
        <f>'Def Tax'!$E282</f>
        <v>1003.0550045765624</v>
      </c>
      <c r="AF36" s="158">
        <f>'Def Tax'!$E283</f>
        <v>1177.0109557983153</v>
      </c>
      <c r="AG36" s="158">
        <f>'Def Tax'!$E284</f>
        <v>1311.3586701514314</v>
      </c>
      <c r="AH36" s="158">
        <f>'Def Tax'!$E285</f>
        <v>1610.1588202043035</v>
      </c>
      <c r="AI36" s="158">
        <f>'Def Tax'!$E286</f>
        <v>1803.5187463512011</v>
      </c>
      <c r="AJ36" s="158">
        <f>'Def Tax'!$E287</f>
        <v>1986.0590815926134</v>
      </c>
      <c r="AK36" s="158">
        <f>'Def Tax'!$E288</f>
        <v>2194.9114255592413</v>
      </c>
      <c r="AL36" s="158">
        <f>'Def Tax'!$E289</f>
        <v>2496.7679345986126</v>
      </c>
      <c r="AM36" s="443">
        <f>'Def Tax'!$E292</f>
        <v>3008.9514781642306</v>
      </c>
      <c r="AN36" s="443">
        <f>'Def Tax'!$E293</f>
        <v>3160.8697963317522</v>
      </c>
      <c r="AO36" s="443">
        <f>'Def Tax'!$E294</f>
        <v>3401.6279137605634</v>
      </c>
      <c r="AP36" s="443">
        <f>'Def Tax'!$E295</f>
        <v>3686.3266261238996</v>
      </c>
      <c r="AQ36" s="443">
        <f>'Def Tax'!$E296</f>
        <v>3935.8820219891281</v>
      </c>
      <c r="AR36" s="443">
        <f>'Def Tax'!$E297</f>
        <v>4214.349778874488</v>
      </c>
      <c r="AS36" s="443">
        <f>'Def Tax'!$E298</f>
        <v>4316.2407588165424</v>
      </c>
      <c r="AT36" s="443">
        <f>'Def Tax'!$E299</f>
        <v>4529.0142123520454</v>
      </c>
      <c r="AU36" s="443">
        <f>'Def Tax'!$E300</f>
        <v>4729.7693991872129</v>
      </c>
      <c r="AV36" s="443">
        <f>'Def Tax'!$E301</f>
        <v>5018.6837721517295</v>
      </c>
      <c r="AW36" s="443">
        <f>'Def Tax'!$E303</f>
        <v>5249.1425917462693</v>
      </c>
      <c r="AX36" s="443">
        <f>'Def Tax'!$E307</f>
        <v>5542.0205216019076</v>
      </c>
    </row>
    <row r="37" spans="1:50">
      <c r="A37" s="72">
        <v>29</v>
      </c>
      <c r="B37" s="16" t="s">
        <v>23</v>
      </c>
      <c r="AM37" s="344"/>
      <c r="AN37" s="344"/>
      <c r="AO37" s="344"/>
      <c r="AP37" s="344"/>
      <c r="AQ37" s="344"/>
      <c r="AR37" s="344"/>
      <c r="AS37" s="344"/>
      <c r="AT37" s="344"/>
      <c r="AU37" s="344"/>
      <c r="AV37" s="344"/>
      <c r="AW37" s="344"/>
      <c r="AX37" s="344"/>
    </row>
    <row r="38" spans="1:50">
      <c r="A38" s="73">
        <v>30</v>
      </c>
      <c r="B38" s="5" t="s">
        <v>16</v>
      </c>
      <c r="C38" s="78"/>
      <c r="D38" s="78"/>
      <c r="E38" s="78">
        <f>'Income Tax Rates'!$D$16</f>
        <v>8.5972999999999994E-2</v>
      </c>
      <c r="F38" s="78">
        <f>'Income Tax Rates'!$D$16</f>
        <v>8.5972999999999994E-2</v>
      </c>
      <c r="G38" s="78">
        <f>'Income Tax Rates'!$D$16</f>
        <v>8.5972999999999994E-2</v>
      </c>
      <c r="H38" s="78">
        <f>'Income Tax Rates'!$D$16</f>
        <v>8.5972999999999994E-2</v>
      </c>
      <c r="I38" s="78">
        <f>'Income Tax Rates'!$D$16</f>
        <v>8.5972999999999994E-2</v>
      </c>
      <c r="J38" s="78">
        <f>'Income Tax Rates'!$D$16</f>
        <v>8.5972999999999994E-2</v>
      </c>
      <c r="K38" s="78">
        <f>'Income Tax Rates'!$D$16</f>
        <v>8.5972999999999994E-2</v>
      </c>
      <c r="L38" s="78">
        <f>'Income Tax Rates'!$D$16</f>
        <v>8.5972999999999994E-2</v>
      </c>
      <c r="M38" s="78">
        <f>'Income Tax Rates'!$D$16</f>
        <v>8.5972999999999994E-2</v>
      </c>
      <c r="N38" s="78">
        <f>'Income Tax Rates'!$D$16</f>
        <v>8.5972999999999994E-2</v>
      </c>
      <c r="O38" s="78">
        <f>'Income Tax Rates'!$D$33</f>
        <v>8.7230769299999997E-2</v>
      </c>
      <c r="P38" s="78">
        <f>'Income Tax Rates'!$D$33</f>
        <v>8.7230769299999997E-2</v>
      </c>
      <c r="Q38" s="78">
        <f>'Income Tax Rates'!$D$33</f>
        <v>8.7230769299999997E-2</v>
      </c>
      <c r="R38" s="78">
        <f>'Income Tax Rates'!$D$33</f>
        <v>8.7230769299999997E-2</v>
      </c>
      <c r="S38" s="78">
        <f>'Income Tax Rates'!$D$33</f>
        <v>8.7230769299999997E-2</v>
      </c>
      <c r="T38" s="78">
        <f>'Income Tax Rates'!$D$33</f>
        <v>8.7230769299999997E-2</v>
      </c>
      <c r="U38" s="78">
        <f>'Income Tax Rates'!$D$33</f>
        <v>8.7230769299999997E-2</v>
      </c>
      <c r="V38" s="78">
        <f>'Income Tax Rates'!$D$33</f>
        <v>8.7230769299999997E-2</v>
      </c>
      <c r="W38" s="78">
        <f>'Income Tax Rates'!$D$33</f>
        <v>8.7230769299999997E-2</v>
      </c>
      <c r="X38" s="78">
        <f>'Income Tax Rates'!$D$33</f>
        <v>8.7230769299999997E-2</v>
      </c>
      <c r="Y38" s="78">
        <f>'Income Tax Rates'!$D$33</f>
        <v>8.7230769299999997E-2</v>
      </c>
      <c r="Z38" s="78">
        <f>'Income Tax Rates'!$D$33</f>
        <v>8.7230769299999997E-2</v>
      </c>
      <c r="AA38" s="322">
        <f>'Income Tax Rates'!$D$52</f>
        <v>8.795E-2</v>
      </c>
      <c r="AB38" s="322">
        <f>'Income Tax Rates'!$D$52</f>
        <v>8.795E-2</v>
      </c>
      <c r="AC38" s="322">
        <f>'Income Tax Rates'!$D$52</f>
        <v>8.795E-2</v>
      </c>
      <c r="AD38" s="322">
        <f>'Income Tax Rates'!$D$52</f>
        <v>8.795E-2</v>
      </c>
      <c r="AE38" s="322">
        <f>'Income Tax Rates'!$D$52</f>
        <v>8.795E-2</v>
      </c>
      <c r="AF38" s="322">
        <f>'Income Tax Rates'!$D$52</f>
        <v>8.795E-2</v>
      </c>
      <c r="AG38" s="322">
        <f>'Income Tax Rates'!$D$52</f>
        <v>8.795E-2</v>
      </c>
      <c r="AH38" s="322">
        <f>'Income Tax Rates'!$D$52</f>
        <v>8.795E-2</v>
      </c>
      <c r="AI38" s="322">
        <f>'Income Tax Rates'!$D$52</f>
        <v>8.795E-2</v>
      </c>
      <c r="AJ38" s="322">
        <f>'Income Tax Rates'!$D$52</f>
        <v>8.795E-2</v>
      </c>
      <c r="AK38" s="322">
        <f>'Income Tax Rates'!$D$52</f>
        <v>8.795E-2</v>
      </c>
      <c r="AL38" s="322">
        <f>'Income Tax Rates'!$D$52</f>
        <v>8.795E-2</v>
      </c>
      <c r="AM38" s="322">
        <f>'Income Tax Rates'!$D$72</f>
        <v>8.8330000000000006E-2</v>
      </c>
      <c r="AN38" s="322">
        <f>'Income Tax Rates'!$D$72</f>
        <v>8.8330000000000006E-2</v>
      </c>
      <c r="AO38" s="322">
        <f>'Income Tax Rates'!$D$72</f>
        <v>8.8330000000000006E-2</v>
      </c>
      <c r="AP38" s="322">
        <f>'Income Tax Rates'!$D$72</f>
        <v>8.8330000000000006E-2</v>
      </c>
      <c r="AQ38" s="322">
        <f>'Income Tax Rates'!$D$72</f>
        <v>8.8330000000000006E-2</v>
      </c>
      <c r="AR38" s="322">
        <f>'Income Tax Rates'!$D$72</f>
        <v>8.8330000000000006E-2</v>
      </c>
      <c r="AS38" s="322">
        <f>'Income Tax Rates'!$D$72</f>
        <v>8.8330000000000006E-2</v>
      </c>
      <c r="AT38" s="322">
        <f>'Income Tax Rates'!$D$72</f>
        <v>8.8330000000000006E-2</v>
      </c>
      <c r="AU38" s="322">
        <f>'Income Tax Rates'!$D$72</f>
        <v>8.8330000000000006E-2</v>
      </c>
      <c r="AV38" s="322">
        <f>'Income Tax Rates'!$D$72</f>
        <v>8.8330000000000006E-2</v>
      </c>
      <c r="AW38" s="322">
        <f>'Income Tax Rates'!$D$72</f>
        <v>8.8330000000000006E-2</v>
      </c>
      <c r="AX38" s="322">
        <f>'Income Tax Rates'!$D$72</f>
        <v>8.8330000000000006E-2</v>
      </c>
    </row>
    <row r="39" spans="1:50">
      <c r="A39" s="72">
        <v>31</v>
      </c>
      <c r="B39" s="5" t="s">
        <v>49</v>
      </c>
      <c r="C39" s="88"/>
      <c r="D39" s="88"/>
      <c r="E39" s="88">
        <f t="shared" ref="E39:N39" si="27">((E22*(E26-E34))+E36)*E38</f>
        <v>49.462260362772305</v>
      </c>
      <c r="F39" s="88">
        <f t="shared" si="27"/>
        <v>53.736234563760611</v>
      </c>
      <c r="G39" s="88">
        <f t="shared" si="27"/>
        <v>61.807777235437818</v>
      </c>
      <c r="H39" s="88">
        <f t="shared" si="27"/>
        <v>74.292892493951825</v>
      </c>
      <c r="I39" s="88">
        <f t="shared" si="27"/>
        <v>90.089156958264851</v>
      </c>
      <c r="J39" s="88">
        <f t="shared" si="27"/>
        <v>103.12325357167953</v>
      </c>
      <c r="K39" s="88">
        <f t="shared" si="27"/>
        <v>118.56975576314828</v>
      </c>
      <c r="L39" s="88">
        <f t="shared" si="27"/>
        <v>129.94825111218009</v>
      </c>
      <c r="M39" s="88">
        <f t="shared" si="27"/>
        <v>147.59407433122516</v>
      </c>
      <c r="N39" s="88">
        <f t="shared" si="27"/>
        <v>160.08025439129443</v>
      </c>
      <c r="O39" s="88">
        <f t="shared" ref="O39:Z39" si="28">((O22*(O26-O34))+O36)*O38</f>
        <v>192.55696157000935</v>
      </c>
      <c r="P39" s="88">
        <f t="shared" si="28"/>
        <v>196.84379997543925</v>
      </c>
      <c r="Q39" s="88">
        <f t="shared" si="28"/>
        <v>203.73332602058758</v>
      </c>
      <c r="R39" s="88">
        <f t="shared" si="28"/>
        <v>222.633410136572</v>
      </c>
      <c r="S39" s="88">
        <f t="shared" si="28"/>
        <v>243.56507478266104</v>
      </c>
      <c r="T39" s="88">
        <f t="shared" si="28"/>
        <v>268.93676313917484</v>
      </c>
      <c r="U39" s="88">
        <f t="shared" si="28"/>
        <v>293.11889327117711</v>
      </c>
      <c r="V39" s="88">
        <f t="shared" si="28"/>
        <v>313.06907792721341</v>
      </c>
      <c r="W39" s="88">
        <f t="shared" si="28"/>
        <v>324.33500099084762</v>
      </c>
      <c r="X39" s="88">
        <f t="shared" si="28"/>
        <v>312.25739588158638</v>
      </c>
      <c r="Y39" s="88">
        <f t="shared" si="28"/>
        <v>210.38848571978212</v>
      </c>
      <c r="Z39" s="88">
        <f t="shared" si="28"/>
        <v>141.86481950478202</v>
      </c>
      <c r="AA39" s="88">
        <f t="shared" ref="AA39:AL39" si="29">((AA22*(AA26-AA34))+AA36)*AA38</f>
        <v>105.79865127871923</v>
      </c>
      <c r="AB39" s="88">
        <f t="shared" si="29"/>
        <v>119.50119501418922</v>
      </c>
      <c r="AC39" s="88">
        <f t="shared" si="29"/>
        <v>138.28393675658094</v>
      </c>
      <c r="AD39" s="88">
        <f t="shared" si="29"/>
        <v>155.46937255381121</v>
      </c>
      <c r="AE39" s="88">
        <f t="shared" si="29"/>
        <v>182.32161142736666</v>
      </c>
      <c r="AF39" s="88">
        <f t="shared" si="29"/>
        <v>212.58912683004181</v>
      </c>
      <c r="AG39" s="88">
        <f t="shared" si="29"/>
        <v>243.29783467585767</v>
      </c>
      <c r="AH39" s="88">
        <f t="shared" si="29"/>
        <v>291.00261052949787</v>
      </c>
      <c r="AI39" s="88">
        <f t="shared" si="29"/>
        <v>324.11266584868952</v>
      </c>
      <c r="AJ39" s="88">
        <f t="shared" si="29"/>
        <v>356.85672173743779</v>
      </c>
      <c r="AK39" s="88">
        <f t="shared" si="29"/>
        <v>397.1326138130741</v>
      </c>
      <c r="AL39" s="88">
        <f t="shared" si="29"/>
        <v>458.99887026940206</v>
      </c>
      <c r="AM39" s="444">
        <f>((AM22*(AM26-AM34))+AM36)*AM38</f>
        <v>534.16911474484209</v>
      </c>
      <c r="AN39" s="444">
        <f t="shared" ref="AN39:AX39" si="30">((AN22*(AN26-AN34))+AN36)*AN38</f>
        <v>564.23751926923774</v>
      </c>
      <c r="AO39" s="444">
        <f t="shared" si="30"/>
        <v>607.98500729253647</v>
      </c>
      <c r="AP39" s="444">
        <f t="shared" si="30"/>
        <v>655.86826525606523</v>
      </c>
      <c r="AQ39" s="444">
        <f t="shared" si="30"/>
        <v>700.21963593201804</v>
      </c>
      <c r="AR39" s="444">
        <f t="shared" si="30"/>
        <v>740.35921878691556</v>
      </c>
      <c r="AS39" s="444">
        <f t="shared" si="30"/>
        <v>761.82547465877701</v>
      </c>
      <c r="AT39" s="444">
        <f t="shared" si="30"/>
        <v>797.38090071947192</v>
      </c>
      <c r="AU39" s="444">
        <f t="shared" si="30"/>
        <v>835.12780974106511</v>
      </c>
      <c r="AV39" s="444">
        <f t="shared" si="30"/>
        <v>881.81322392484515</v>
      </c>
      <c r="AW39" s="444">
        <f t="shared" si="30"/>
        <v>923.61678584169306</v>
      </c>
      <c r="AX39" s="444">
        <f t="shared" si="30"/>
        <v>974.84417476989722</v>
      </c>
    </row>
    <row r="40" spans="1:50">
      <c r="A40" s="73">
        <v>32</v>
      </c>
      <c r="B40" s="5"/>
      <c r="AM40" s="344"/>
      <c r="AN40" s="344"/>
      <c r="AO40" s="344"/>
      <c r="AP40" s="344"/>
      <c r="AQ40" s="344"/>
      <c r="AR40" s="344"/>
      <c r="AS40" s="344"/>
      <c r="AT40" s="344"/>
      <c r="AU40" s="344"/>
      <c r="AV40" s="344"/>
      <c r="AW40" s="344"/>
      <c r="AX40" s="344"/>
    </row>
    <row r="41" spans="1:50">
      <c r="A41" s="72">
        <v>33</v>
      </c>
      <c r="B41" s="11" t="s">
        <v>50</v>
      </c>
      <c r="AM41" s="344"/>
      <c r="AN41" s="344"/>
      <c r="AO41" s="344"/>
      <c r="AP41" s="344"/>
      <c r="AQ41" s="344"/>
      <c r="AR41" s="344"/>
      <c r="AS41" s="344"/>
      <c r="AT41" s="344"/>
      <c r="AU41" s="344"/>
      <c r="AV41" s="344"/>
      <c r="AW41" s="344"/>
      <c r="AX41" s="344"/>
    </row>
    <row r="42" spans="1:50" ht="32.25" customHeight="1">
      <c r="A42" s="73">
        <v>34</v>
      </c>
      <c r="B42" s="121" t="s">
        <v>109</v>
      </c>
      <c r="AM42" s="344"/>
      <c r="AN42" s="344"/>
      <c r="AO42" s="344"/>
      <c r="AP42" s="344"/>
      <c r="AQ42" s="344"/>
      <c r="AR42" s="344"/>
      <c r="AS42" s="344"/>
      <c r="AT42" s="344"/>
      <c r="AU42" s="344"/>
      <c r="AV42" s="344"/>
      <c r="AW42" s="344"/>
      <c r="AX42" s="344"/>
    </row>
    <row r="43" spans="1:50">
      <c r="A43" s="72">
        <v>35</v>
      </c>
      <c r="B43" s="5" t="s">
        <v>51</v>
      </c>
      <c r="C43" s="14"/>
      <c r="D43" s="14"/>
      <c r="E43" s="14">
        <f>'Income Tax Rates'!$D$17</f>
        <v>0.35</v>
      </c>
      <c r="F43" s="14">
        <f>'Income Tax Rates'!$D$17</f>
        <v>0.35</v>
      </c>
      <c r="G43" s="14">
        <f>'Income Tax Rates'!$D$17</f>
        <v>0.35</v>
      </c>
      <c r="H43" s="14">
        <f>'Income Tax Rates'!$D$17</f>
        <v>0.35</v>
      </c>
      <c r="I43" s="14">
        <f>'Income Tax Rates'!$D$17</f>
        <v>0.35</v>
      </c>
      <c r="J43" s="14">
        <f>'Income Tax Rates'!$D$17</f>
        <v>0.35</v>
      </c>
      <c r="K43" s="14">
        <f>'Income Tax Rates'!$D$17</f>
        <v>0.35</v>
      </c>
      <c r="L43" s="14">
        <f>'Income Tax Rates'!$D$17</f>
        <v>0.35</v>
      </c>
      <c r="M43" s="14">
        <f>'Income Tax Rates'!$D$17</f>
        <v>0.35</v>
      </c>
      <c r="N43" s="14">
        <f>'Income Tax Rates'!$D$17</f>
        <v>0.35</v>
      </c>
      <c r="O43" s="14">
        <f>'Income Tax Rates'!$D$17</f>
        <v>0.35</v>
      </c>
      <c r="P43" s="14">
        <f>'Income Tax Rates'!$D$17</f>
        <v>0.35</v>
      </c>
      <c r="Q43" s="14">
        <f>'Income Tax Rates'!$D$17</f>
        <v>0.35</v>
      </c>
      <c r="R43" s="14">
        <f>'Income Tax Rates'!$D$17</f>
        <v>0.35</v>
      </c>
      <c r="S43" s="14">
        <f>'Income Tax Rates'!$D$17</f>
        <v>0.35</v>
      </c>
      <c r="T43" s="14">
        <f>'Income Tax Rates'!$D$17</f>
        <v>0.35</v>
      </c>
      <c r="U43" s="14">
        <f>'Income Tax Rates'!$D$17</f>
        <v>0.35</v>
      </c>
      <c r="V43" s="14">
        <f>'Income Tax Rates'!$D$17</f>
        <v>0.35</v>
      </c>
      <c r="W43" s="14">
        <f>'Income Tax Rates'!$D$17</f>
        <v>0.35</v>
      </c>
      <c r="X43" s="14">
        <f>'Income Tax Rates'!$D$17</f>
        <v>0.35</v>
      </c>
      <c r="Y43" s="14">
        <f>'Income Tax Rates'!$D$17</f>
        <v>0.35</v>
      </c>
      <c r="Z43" s="14">
        <f>'Income Tax Rates'!$D$17</f>
        <v>0.35</v>
      </c>
      <c r="AA43" s="321">
        <f>'Income Tax Rates'!$D$53</f>
        <v>0.35</v>
      </c>
      <c r="AB43" s="321">
        <f>'Income Tax Rates'!$D$53</f>
        <v>0.35</v>
      </c>
      <c r="AC43" s="321">
        <f>'Income Tax Rates'!$D$53</f>
        <v>0.35</v>
      </c>
      <c r="AD43" s="321">
        <f>'Income Tax Rates'!$D$53</f>
        <v>0.35</v>
      </c>
      <c r="AE43" s="321">
        <f>'Income Tax Rates'!$D$53</f>
        <v>0.35</v>
      </c>
      <c r="AF43" s="321">
        <f>'Income Tax Rates'!$D$53</f>
        <v>0.35</v>
      </c>
      <c r="AG43" s="321">
        <f>'Income Tax Rates'!$D$53</f>
        <v>0.35</v>
      </c>
      <c r="AH43" s="321">
        <f>'Income Tax Rates'!$D$53</f>
        <v>0.35</v>
      </c>
      <c r="AI43" s="321">
        <f>'Income Tax Rates'!$D$53</f>
        <v>0.35</v>
      </c>
      <c r="AJ43" s="321">
        <f>'Income Tax Rates'!$D$53</f>
        <v>0.35</v>
      </c>
      <c r="AK43" s="321">
        <f>'Income Tax Rates'!$D$53</f>
        <v>0.35</v>
      </c>
      <c r="AL43" s="321">
        <f>'Income Tax Rates'!$D$53</f>
        <v>0.35</v>
      </c>
      <c r="AM43" s="321">
        <f>'Income Tax Rates'!$D$73</f>
        <v>0.35</v>
      </c>
      <c r="AN43" s="321">
        <f>'Income Tax Rates'!$D$73</f>
        <v>0.35</v>
      </c>
      <c r="AO43" s="321">
        <f>'Income Tax Rates'!$D$73</f>
        <v>0.35</v>
      </c>
      <c r="AP43" s="321">
        <f>'Income Tax Rates'!$D$73</f>
        <v>0.35</v>
      </c>
      <c r="AQ43" s="321">
        <f>'Income Tax Rates'!$D$73</f>
        <v>0.35</v>
      </c>
      <c r="AR43" s="321">
        <f>'Income Tax Rates'!$D$73</f>
        <v>0.35</v>
      </c>
      <c r="AS43" s="321">
        <f>'Income Tax Rates'!$D$73</f>
        <v>0.35</v>
      </c>
      <c r="AT43" s="321">
        <f>'Income Tax Rates'!$D$73</f>
        <v>0.35</v>
      </c>
      <c r="AU43" s="321">
        <f>'Income Tax Rates'!$D$73</f>
        <v>0.35</v>
      </c>
      <c r="AV43" s="321">
        <f>'Income Tax Rates'!$D$73</f>
        <v>0.35</v>
      </c>
      <c r="AW43" s="321">
        <f>'Income Tax Rates'!$D$73</f>
        <v>0.35</v>
      </c>
      <c r="AX43" s="321">
        <f>'Income Tax Rates'!$D$73</f>
        <v>0.35</v>
      </c>
    </row>
    <row r="44" spans="1:50">
      <c r="A44" s="73">
        <v>36</v>
      </c>
      <c r="B44" s="5" t="s">
        <v>52</v>
      </c>
      <c r="C44" s="88"/>
      <c r="D44" s="88"/>
      <c r="E44" s="88">
        <f t="shared" ref="E44:N44" si="31">((E22*(E26-E34))-E39+E36)*E43</f>
        <v>184.05132435079955</v>
      </c>
      <c r="F44" s="88">
        <f t="shared" si="31"/>
        <v>199.9549770784275</v>
      </c>
      <c r="G44" s="88">
        <f t="shared" si="31"/>
        <v>229.98955510580569</v>
      </c>
      <c r="H44" s="88">
        <f t="shared" si="31"/>
        <v>276.4472378147704</v>
      </c>
      <c r="I44" s="88">
        <f t="shared" si="31"/>
        <v>335.22585757717167</v>
      </c>
      <c r="J44" s="88">
        <f t="shared" si="31"/>
        <v>383.72632491976003</v>
      </c>
      <c r="K44" s="88">
        <f t="shared" si="31"/>
        <v>441.20346332945343</v>
      </c>
      <c r="L44" s="88">
        <f t="shared" si="31"/>
        <v>483.54336293672918</v>
      </c>
      <c r="M44" s="88">
        <f t="shared" si="31"/>
        <v>549.20427509289379</v>
      </c>
      <c r="N44" s="88">
        <f t="shared" si="31"/>
        <v>595.66591997695889</v>
      </c>
      <c r="O44" s="88">
        <f t="shared" ref="O44:Z44" si="32">((O22*(O26-O34))-O39+O36)*O43</f>
        <v>705.21015555649149</v>
      </c>
      <c r="P44" s="88">
        <f t="shared" si="32"/>
        <v>720.91003965359084</v>
      </c>
      <c r="Q44" s="88">
        <f t="shared" si="32"/>
        <v>746.14186557354367</v>
      </c>
      <c r="R44" s="88">
        <f t="shared" si="32"/>
        <v>815.36050690850368</v>
      </c>
      <c r="S44" s="88">
        <f t="shared" si="32"/>
        <v>892.0194984129887</v>
      </c>
      <c r="T44" s="88">
        <f t="shared" si="32"/>
        <v>984.93939155392104</v>
      </c>
      <c r="U44" s="88">
        <f t="shared" si="32"/>
        <v>1073.5027112751684</v>
      </c>
      <c r="V44" s="88">
        <f t="shared" si="32"/>
        <v>1146.5671837821717</v>
      </c>
      <c r="W44" s="88">
        <f t="shared" si="32"/>
        <v>1187.8268883984829</v>
      </c>
      <c r="X44" s="88">
        <f t="shared" si="32"/>
        <v>1143.5945235522224</v>
      </c>
      <c r="Y44" s="88">
        <f t="shared" si="32"/>
        <v>770.51536091983326</v>
      </c>
      <c r="Z44" s="88">
        <f t="shared" si="32"/>
        <v>519.55800826545021</v>
      </c>
      <c r="AA44" s="88">
        <f t="shared" ref="AA44:AL44" si="33">((AA22*(AA26-AA34))-AA39+AA36)*AA43</f>
        <v>383.99978356525924</v>
      </c>
      <c r="AB44" s="88">
        <f t="shared" si="33"/>
        <v>433.73362955590619</v>
      </c>
      <c r="AC44" s="88">
        <f t="shared" si="33"/>
        <v>501.90622605564391</v>
      </c>
      <c r="AD44" s="88">
        <f t="shared" si="33"/>
        <v>564.28134659688703</v>
      </c>
      <c r="AE44" s="88">
        <f t="shared" si="33"/>
        <v>661.74245589329644</v>
      </c>
      <c r="AF44" s="88">
        <f t="shared" si="33"/>
        <v>771.59942687741739</v>
      </c>
      <c r="AG44" s="88">
        <f t="shared" si="33"/>
        <v>883.05772075770994</v>
      </c>
      <c r="AH44" s="88">
        <f t="shared" si="33"/>
        <v>1056.203818382035</v>
      </c>
      <c r="AI44" s="88">
        <f t="shared" si="33"/>
        <v>1176.3778841450146</v>
      </c>
      <c r="AJ44" s="88">
        <f t="shared" si="33"/>
        <v>1295.2235425948895</v>
      </c>
      <c r="AK44" s="88">
        <f t="shared" si="33"/>
        <v>1441.4062552572479</v>
      </c>
      <c r="AL44" s="88">
        <f t="shared" si="33"/>
        <v>1665.9519257558027</v>
      </c>
      <c r="AM44" s="444">
        <f t="shared" ref="AM44:AX44" si="34">((AM22*(AM26-AM34))-AM39+AM36)*AM43</f>
        <v>1929.6398153945493</v>
      </c>
      <c r="AN44" s="444">
        <f t="shared" si="34"/>
        <v>2038.2593311136088</v>
      </c>
      <c r="AO44" s="444">
        <f t="shared" si="34"/>
        <v>2196.2933551390843</v>
      </c>
      <c r="AP44" s="444">
        <f t="shared" si="34"/>
        <v>2369.2674910573865</v>
      </c>
      <c r="AQ44" s="444">
        <f t="shared" si="34"/>
        <v>2529.4829890360006</v>
      </c>
      <c r="AR44" s="444">
        <f t="shared" si="34"/>
        <v>2674.4837670894776</v>
      </c>
      <c r="AS44" s="444">
        <f t="shared" si="34"/>
        <v>2752.0287633732423</v>
      </c>
      <c r="AT44" s="444">
        <f t="shared" si="34"/>
        <v>2880.4696707304684</v>
      </c>
      <c r="AU44" s="444">
        <f t="shared" si="34"/>
        <v>3016.8271211063379</v>
      </c>
      <c r="AV44" s="444">
        <f t="shared" si="34"/>
        <v>3185.4741497729792</v>
      </c>
      <c r="AW44" s="444">
        <f t="shared" si="34"/>
        <v>3336.4859085464022</v>
      </c>
      <c r="AX44" s="444">
        <f t="shared" si="34"/>
        <v>3521.5404288957916</v>
      </c>
    </row>
    <row r="45" spans="1:50">
      <c r="A45" s="72">
        <v>37</v>
      </c>
      <c r="B45" s="5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</row>
    <row r="46" spans="1:50" ht="25.5">
      <c r="A46" s="73">
        <v>38</v>
      </c>
      <c r="B46" s="12" t="s">
        <v>53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AM46" s="344"/>
      <c r="AN46" s="344"/>
      <c r="AO46" s="344"/>
      <c r="AP46" s="344"/>
      <c r="AQ46" s="344"/>
      <c r="AR46" s="344"/>
      <c r="AS46" s="344"/>
      <c r="AT46" s="344"/>
      <c r="AU46" s="344"/>
      <c r="AV46" s="344"/>
      <c r="AW46" s="344"/>
      <c r="AX46" s="344"/>
    </row>
    <row r="47" spans="1:50">
      <c r="A47" s="72">
        <v>39</v>
      </c>
      <c r="B47" s="5" t="s">
        <v>58</v>
      </c>
      <c r="C47" s="158"/>
      <c r="D47" s="158"/>
      <c r="E47" s="158">
        <f>-'Def Tax'!$F238</f>
        <v>-109.26946695311146</v>
      </c>
      <c r="F47" s="158">
        <f>-'Def Tax'!$F239</f>
        <v>-111.7822874462624</v>
      </c>
      <c r="G47" s="158">
        <f>-'Def Tax'!$F240</f>
        <v>-127.49710119523149</v>
      </c>
      <c r="H47" s="158">
        <f>-'Def Tax'!$F241</f>
        <v>-150.82436480416766</v>
      </c>
      <c r="I47" s="158">
        <f>-'Def Tax'!$F242</f>
        <v>-189.29045770465277</v>
      </c>
      <c r="J47" s="158">
        <f>-'Def Tax'!$F243</f>
        <v>-213.73460662314031</v>
      </c>
      <c r="K47" s="158">
        <f>-'Def Tax'!$F244</f>
        <v>-254.17240609889697</v>
      </c>
      <c r="L47" s="158">
        <f>-'Def Tax'!$F245</f>
        <v>-271.08239804136537</v>
      </c>
      <c r="M47" s="158">
        <f>-'Def Tax'!$F246</f>
        <v>-319.21015964908361</v>
      </c>
      <c r="N47" s="158">
        <f>-'Def Tax'!$F247</f>
        <v>-333.70557431931832</v>
      </c>
      <c r="O47" s="158">
        <f>-'Def Tax'!$F250</f>
        <v>-446.69544077678239</v>
      </c>
      <c r="P47" s="158">
        <f>-'Def Tax'!$F251</f>
        <v>-458.44424615465419</v>
      </c>
      <c r="Q47" s="158">
        <f>-'Def Tax'!$F252</f>
        <v>-465.93053219261998</v>
      </c>
      <c r="R47" s="158">
        <f>-'Def Tax'!$F253</f>
        <v>-510.23060759260795</v>
      </c>
      <c r="S47" s="158">
        <f>-'Def Tax'!$F255</f>
        <v>-555.89084047660742</v>
      </c>
      <c r="T47" s="158">
        <f>-'Def Tax'!$F259</f>
        <v>-616.55560315331684</v>
      </c>
      <c r="U47" s="158">
        <f>-'Def Tax'!$F260</f>
        <v>-674.05869453304433</v>
      </c>
      <c r="V47" s="158">
        <f>-'Def Tax'!$F261</f>
        <v>-730.86183985904438</v>
      </c>
      <c r="W47" s="158">
        <f>-'Def Tax'!$F262</f>
        <v>-751.56710375638352</v>
      </c>
      <c r="X47" s="158">
        <f>-'Def Tax'!$F264</f>
        <v>-800.30504218815565</v>
      </c>
      <c r="Y47" s="158">
        <f>-'Def Tax'!$F268</f>
        <v>-537.62671895439985</v>
      </c>
      <c r="Z47" s="158">
        <f>-'Def Tax'!$F272</f>
        <v>-363.67672147104884</v>
      </c>
      <c r="AA47" s="158">
        <f>-'Def Tax'!$F278</f>
        <v>-239.93484674708662</v>
      </c>
      <c r="AB47" s="158">
        <f>-'Def Tax'!$F279</f>
        <v>-266.99917604589433</v>
      </c>
      <c r="AC47" s="158">
        <f>-'Def Tax'!$F280</f>
        <v>-314.40267783438333</v>
      </c>
      <c r="AD47" s="158">
        <f>-'Def Tax'!$F281</f>
        <v>-348.18554522664579</v>
      </c>
      <c r="AE47" s="158">
        <f>-'Def Tax'!$F282</f>
        <v>-408.44399786357621</v>
      </c>
      <c r="AF47" s="158">
        <f>-'Def Tax'!$F283</f>
        <v>-479.27886120107399</v>
      </c>
      <c r="AG47" s="158">
        <f>-'Def Tax'!$F284</f>
        <v>-533.98525048566285</v>
      </c>
      <c r="AH47" s="158">
        <f>-'Def Tax'!$F285</f>
        <v>-655.65667158719236</v>
      </c>
      <c r="AI47" s="158">
        <f>-'Def Tax'!$F286</f>
        <v>-734.39283351420909</v>
      </c>
      <c r="AJ47" s="158">
        <f>-'Def Tax'!$F287</f>
        <v>-808.72325802451223</v>
      </c>
      <c r="AK47" s="158">
        <f>-'Def Tax'!$F288</f>
        <v>-893.7679324877231</v>
      </c>
      <c r="AL47" s="158">
        <f>-'Def Tax'!$F289</f>
        <v>-1016.683902968555</v>
      </c>
      <c r="AM47" s="443">
        <f>-'Def Tax'!$F292</f>
        <v>-1225.8468322041074</v>
      </c>
      <c r="AN47" s="443">
        <f>-'Def Tax'!$F293</f>
        <v>-1287.7383550255558</v>
      </c>
      <c r="AO47" s="443">
        <f>-'Def Tax'!$F294</f>
        <v>-1385.8232120660534</v>
      </c>
      <c r="AP47" s="443">
        <f>-'Def Tax'!$F295</f>
        <v>-1501.8094674828767</v>
      </c>
      <c r="AQ47" s="443">
        <f>-'Def Tax'!$F296</f>
        <v>-1603.4783357583708</v>
      </c>
      <c r="AR47" s="443">
        <f>-'Def Tax'!$F297</f>
        <v>-1716.9260999134663</v>
      </c>
      <c r="AS47" s="443">
        <f>-'Def Tax'!$F298</f>
        <v>-1758.4364851418593</v>
      </c>
      <c r="AT47" s="443">
        <f>-'Def Tax'!$F299</f>
        <v>-1845.1203901122233</v>
      </c>
      <c r="AU47" s="443">
        <f>-'Def Tax'!$F300</f>
        <v>-1926.9080532288704</v>
      </c>
      <c r="AV47" s="443">
        <f>-'Def Tax'!$F301</f>
        <v>-2044.6117687746146</v>
      </c>
      <c r="AW47" s="443">
        <f>-'Def Tax'!$F303</f>
        <v>-2138.5006918774302</v>
      </c>
      <c r="AX47" s="443">
        <f>-'Def Tax'!$F307</f>
        <v>-2257.8191605006173</v>
      </c>
    </row>
    <row r="48" spans="1:50">
      <c r="A48" s="73">
        <v>40</v>
      </c>
      <c r="B48" s="5"/>
      <c r="AM48" s="344"/>
      <c r="AN48" s="344"/>
      <c r="AO48" s="344"/>
      <c r="AP48" s="344"/>
      <c r="AQ48" s="344"/>
      <c r="AR48" s="344"/>
      <c r="AS48" s="344"/>
      <c r="AT48" s="344"/>
      <c r="AU48" s="344"/>
      <c r="AV48" s="344"/>
      <c r="AW48" s="344"/>
      <c r="AX48" s="344"/>
    </row>
    <row r="49" spans="1:50">
      <c r="A49" s="72">
        <v>41</v>
      </c>
      <c r="B49" s="11" t="s">
        <v>54</v>
      </c>
      <c r="AM49" s="344"/>
      <c r="AN49" s="344"/>
      <c r="AO49" s="344"/>
      <c r="AP49" s="344"/>
      <c r="AQ49" s="344"/>
      <c r="AR49" s="344"/>
      <c r="AS49" s="344"/>
      <c r="AT49" s="344"/>
      <c r="AU49" s="344"/>
      <c r="AV49" s="344"/>
      <c r="AW49" s="344"/>
      <c r="AX49" s="344"/>
    </row>
    <row r="50" spans="1:50">
      <c r="A50" s="73">
        <v>42</v>
      </c>
      <c r="B50" s="11" t="s">
        <v>55</v>
      </c>
      <c r="AM50" s="344"/>
      <c r="AN50" s="344"/>
      <c r="AO50" s="344"/>
      <c r="AP50" s="344"/>
      <c r="AQ50" s="344"/>
      <c r="AR50" s="344"/>
      <c r="AS50" s="344"/>
      <c r="AT50" s="344"/>
      <c r="AU50" s="344"/>
      <c r="AV50" s="344"/>
      <c r="AW50" s="344"/>
      <c r="AX50" s="344"/>
    </row>
    <row r="51" spans="1:50" ht="25.5">
      <c r="A51" s="72">
        <v>43</v>
      </c>
      <c r="B51" s="12" t="s">
        <v>56</v>
      </c>
      <c r="AM51" s="344"/>
      <c r="AN51" s="344"/>
      <c r="AO51" s="344"/>
      <c r="AP51" s="344"/>
      <c r="AQ51" s="344"/>
      <c r="AR51" s="344"/>
      <c r="AS51" s="344"/>
      <c r="AT51" s="344"/>
      <c r="AU51" s="344"/>
      <c r="AV51" s="344"/>
      <c r="AW51" s="344"/>
      <c r="AX51" s="344"/>
    </row>
    <row r="52" spans="1:50">
      <c r="A52" s="73">
        <v>44</v>
      </c>
      <c r="B52" s="5" t="s">
        <v>57</v>
      </c>
      <c r="C52" s="79"/>
      <c r="D52" s="79"/>
      <c r="E52" s="79">
        <f>'Income Tax Rates'!$D$19</f>
        <v>0.40588299999999994</v>
      </c>
      <c r="F52" s="79">
        <f>'Income Tax Rates'!$D$19</f>
        <v>0.40588299999999994</v>
      </c>
      <c r="G52" s="79">
        <f>'Income Tax Rates'!$D$19</f>
        <v>0.40588299999999994</v>
      </c>
      <c r="H52" s="79">
        <f>'Income Tax Rates'!$D$19</f>
        <v>0.40588299999999994</v>
      </c>
      <c r="I52" s="79">
        <f>'Income Tax Rates'!$D$19</f>
        <v>0.40588299999999994</v>
      </c>
      <c r="J52" s="79">
        <f>'Income Tax Rates'!$D$19</f>
        <v>0.40588299999999994</v>
      </c>
      <c r="K52" s="79">
        <f>'Income Tax Rates'!$D$19</f>
        <v>0.40588299999999994</v>
      </c>
      <c r="L52" s="79">
        <f>'Income Tax Rates'!$D$19</f>
        <v>0.40588299999999994</v>
      </c>
      <c r="M52" s="79">
        <f>'Income Tax Rates'!$D$19</f>
        <v>0.40588299999999994</v>
      </c>
      <c r="N52" s="79">
        <f>'Income Tax Rates'!$D$19</f>
        <v>0.40588299999999994</v>
      </c>
      <c r="O52" s="79">
        <f>'Income Tax Rates'!$D$36</f>
        <v>0.40669976930000001</v>
      </c>
      <c r="P52" s="79">
        <f>'Income Tax Rates'!$D$36</f>
        <v>0.40669976930000001</v>
      </c>
      <c r="Q52" s="79">
        <f>'Income Tax Rates'!$D$36</f>
        <v>0.40669976930000001</v>
      </c>
      <c r="R52" s="79">
        <f>'Income Tax Rates'!$D$36</f>
        <v>0.40669976930000001</v>
      </c>
      <c r="S52" s="79">
        <f>'Income Tax Rates'!$D$36</f>
        <v>0.40669976930000001</v>
      </c>
      <c r="T52" s="79">
        <f>'Income Tax Rates'!$D$36</f>
        <v>0.40669976930000001</v>
      </c>
      <c r="U52" s="79">
        <f>'Income Tax Rates'!$D$36</f>
        <v>0.40669976930000001</v>
      </c>
      <c r="V52" s="79">
        <f>'Income Tax Rates'!$D$36</f>
        <v>0.40669976930000001</v>
      </c>
      <c r="W52" s="79">
        <f>'Income Tax Rates'!$D$36</f>
        <v>0.40669976930000001</v>
      </c>
      <c r="X52" s="79">
        <f>'Income Tax Rates'!$D$36</f>
        <v>0.40669976930000001</v>
      </c>
      <c r="Y52" s="79">
        <f>'Income Tax Rates'!$D$36</f>
        <v>0.40669976930000001</v>
      </c>
      <c r="Z52" s="79">
        <f>'Income Tax Rates'!$D$36</f>
        <v>0.40669976930000001</v>
      </c>
      <c r="AA52" s="79">
        <f>'Income Tax Rates'!$D$56</f>
        <v>0.40720000000000001</v>
      </c>
      <c r="AB52" s="79">
        <f>'Income Tax Rates'!$D$56</f>
        <v>0.40720000000000001</v>
      </c>
      <c r="AC52" s="79">
        <f>'Income Tax Rates'!$D$56</f>
        <v>0.40720000000000001</v>
      </c>
      <c r="AD52" s="79">
        <f>'Income Tax Rates'!$D$56</f>
        <v>0.40720000000000001</v>
      </c>
      <c r="AE52" s="79">
        <f>'Income Tax Rates'!$D$56</f>
        <v>0.40720000000000001</v>
      </c>
      <c r="AF52" s="79">
        <f>'Income Tax Rates'!$D$56</f>
        <v>0.40720000000000001</v>
      </c>
      <c r="AG52" s="79">
        <f>'Income Tax Rates'!$D$56</f>
        <v>0.40720000000000001</v>
      </c>
      <c r="AH52" s="79">
        <f>'Income Tax Rates'!$D$56</f>
        <v>0.40720000000000001</v>
      </c>
      <c r="AI52" s="79">
        <f>'Income Tax Rates'!$D$56</f>
        <v>0.40720000000000001</v>
      </c>
      <c r="AJ52" s="79">
        <f>'Income Tax Rates'!$D$56</f>
        <v>0.40720000000000001</v>
      </c>
      <c r="AK52" s="79">
        <f>'Income Tax Rates'!$D$56</f>
        <v>0.40720000000000001</v>
      </c>
      <c r="AL52" s="79">
        <f>'Income Tax Rates'!$D$56</f>
        <v>0.40720000000000001</v>
      </c>
      <c r="AM52" s="79">
        <f>'Income Tax Rates'!$D$76</f>
        <v>0.40739999999999998</v>
      </c>
      <c r="AN52" s="79">
        <f>'Income Tax Rates'!$D$76</f>
        <v>0.40739999999999998</v>
      </c>
      <c r="AO52" s="79">
        <f>'Income Tax Rates'!$D$76</f>
        <v>0.40739999999999998</v>
      </c>
      <c r="AP52" s="79">
        <f>'Income Tax Rates'!$D$76</f>
        <v>0.40739999999999998</v>
      </c>
      <c r="AQ52" s="79">
        <f>'Income Tax Rates'!$D$76</f>
        <v>0.40739999999999998</v>
      </c>
      <c r="AR52" s="79">
        <f>'Income Tax Rates'!$D$76</f>
        <v>0.40739999999999998</v>
      </c>
      <c r="AS52" s="79">
        <f>'Income Tax Rates'!$D$76</f>
        <v>0.40739999999999998</v>
      </c>
      <c r="AT52" s="79">
        <f>'Income Tax Rates'!$D$76</f>
        <v>0.40739999999999998</v>
      </c>
      <c r="AU52" s="79">
        <f>'Income Tax Rates'!$D$76</f>
        <v>0.40739999999999998</v>
      </c>
      <c r="AV52" s="79">
        <f>'Income Tax Rates'!$D$76</f>
        <v>0.40739999999999998</v>
      </c>
      <c r="AW52" s="79">
        <f>'Income Tax Rates'!$D$76</f>
        <v>0.40739999999999998</v>
      </c>
      <c r="AX52" s="79">
        <f>'Income Tax Rates'!$D$76</f>
        <v>0.40739999999999998</v>
      </c>
    </row>
    <row r="53" spans="1:50">
      <c r="A53" s="72">
        <v>45</v>
      </c>
      <c r="B53" s="5" t="s">
        <v>59</v>
      </c>
      <c r="C53" s="80"/>
      <c r="D53" s="80"/>
      <c r="E53" s="80">
        <f t="shared" ref="E53:N53" si="35">1/(1-E52)</f>
        <v>1.683170149987292</v>
      </c>
      <c r="F53" s="80">
        <f t="shared" si="35"/>
        <v>1.683170149987292</v>
      </c>
      <c r="G53" s="80">
        <f t="shared" si="35"/>
        <v>1.683170149987292</v>
      </c>
      <c r="H53" s="80">
        <f t="shared" si="35"/>
        <v>1.683170149987292</v>
      </c>
      <c r="I53" s="80">
        <f t="shared" si="35"/>
        <v>1.683170149987292</v>
      </c>
      <c r="J53" s="80">
        <f t="shared" si="35"/>
        <v>1.683170149987292</v>
      </c>
      <c r="K53" s="80">
        <f t="shared" si="35"/>
        <v>1.683170149987292</v>
      </c>
      <c r="L53" s="80">
        <f t="shared" si="35"/>
        <v>1.683170149987292</v>
      </c>
      <c r="M53" s="80">
        <f t="shared" si="35"/>
        <v>1.683170149987292</v>
      </c>
      <c r="N53" s="80">
        <f t="shared" si="35"/>
        <v>1.683170149987292</v>
      </c>
      <c r="O53" s="80">
        <f t="shared" ref="O53:Z53" si="36">1/(1-O52)</f>
        <v>1.6854872933727989</v>
      </c>
      <c r="P53" s="80">
        <f t="shared" si="36"/>
        <v>1.6854872933727989</v>
      </c>
      <c r="Q53" s="80">
        <f t="shared" si="36"/>
        <v>1.6854872933727989</v>
      </c>
      <c r="R53" s="80">
        <f t="shared" si="36"/>
        <v>1.6854872933727989</v>
      </c>
      <c r="S53" s="80">
        <f t="shared" si="36"/>
        <v>1.6854872933727989</v>
      </c>
      <c r="T53" s="80">
        <f t="shared" si="36"/>
        <v>1.6854872933727989</v>
      </c>
      <c r="U53" s="80">
        <f t="shared" si="36"/>
        <v>1.6854872933727989</v>
      </c>
      <c r="V53" s="80">
        <f t="shared" si="36"/>
        <v>1.6854872933727989</v>
      </c>
      <c r="W53" s="80">
        <f t="shared" si="36"/>
        <v>1.6854872933727989</v>
      </c>
      <c r="X53" s="80">
        <f t="shared" si="36"/>
        <v>1.6854872933727989</v>
      </c>
      <c r="Y53" s="80">
        <f t="shared" si="36"/>
        <v>1.6854872933727989</v>
      </c>
      <c r="Z53" s="80">
        <f t="shared" si="36"/>
        <v>1.6854872933727989</v>
      </c>
      <c r="AA53" s="80">
        <f t="shared" ref="AA53:AL53" si="37">1/(1-AA52)</f>
        <v>1.6869095816464237</v>
      </c>
      <c r="AB53" s="80">
        <f t="shared" si="37"/>
        <v>1.6869095816464237</v>
      </c>
      <c r="AC53" s="80">
        <f t="shared" si="37"/>
        <v>1.6869095816464237</v>
      </c>
      <c r="AD53" s="80">
        <f t="shared" si="37"/>
        <v>1.6869095816464237</v>
      </c>
      <c r="AE53" s="80">
        <f t="shared" si="37"/>
        <v>1.6869095816464237</v>
      </c>
      <c r="AF53" s="80">
        <f t="shared" si="37"/>
        <v>1.6869095816464237</v>
      </c>
      <c r="AG53" s="80">
        <f t="shared" si="37"/>
        <v>1.6869095816464237</v>
      </c>
      <c r="AH53" s="80">
        <f t="shared" si="37"/>
        <v>1.6869095816464237</v>
      </c>
      <c r="AI53" s="80">
        <f t="shared" si="37"/>
        <v>1.6869095816464237</v>
      </c>
      <c r="AJ53" s="80">
        <f t="shared" si="37"/>
        <v>1.6869095816464237</v>
      </c>
      <c r="AK53" s="80">
        <f t="shared" si="37"/>
        <v>1.6869095816464237</v>
      </c>
      <c r="AL53" s="80">
        <f t="shared" si="37"/>
        <v>1.6869095816464237</v>
      </c>
      <c r="AM53" s="451">
        <f t="shared" ref="AM53:AX53" si="38">1/(1-AM52)</f>
        <v>1.6874789065136686</v>
      </c>
      <c r="AN53" s="451">
        <f t="shared" si="38"/>
        <v>1.6874789065136686</v>
      </c>
      <c r="AO53" s="451">
        <f t="shared" si="38"/>
        <v>1.6874789065136686</v>
      </c>
      <c r="AP53" s="451">
        <f t="shared" si="38"/>
        <v>1.6874789065136686</v>
      </c>
      <c r="AQ53" s="451">
        <f t="shared" si="38"/>
        <v>1.6874789065136686</v>
      </c>
      <c r="AR53" s="451">
        <f t="shared" si="38"/>
        <v>1.6874789065136686</v>
      </c>
      <c r="AS53" s="451">
        <f t="shared" si="38"/>
        <v>1.6874789065136686</v>
      </c>
      <c r="AT53" s="451">
        <f t="shared" si="38"/>
        <v>1.6874789065136686</v>
      </c>
      <c r="AU53" s="451">
        <f t="shared" si="38"/>
        <v>1.6874789065136686</v>
      </c>
      <c r="AV53" s="451">
        <f t="shared" si="38"/>
        <v>1.6874789065136686</v>
      </c>
      <c r="AW53" s="451">
        <f t="shared" si="38"/>
        <v>1.6874789065136686</v>
      </c>
      <c r="AX53" s="451">
        <f t="shared" si="38"/>
        <v>1.6874789065136686</v>
      </c>
    </row>
    <row r="54" spans="1:50">
      <c r="A54" s="73">
        <v>46</v>
      </c>
      <c r="B54" s="5"/>
      <c r="C54" s="79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</row>
    <row r="55" spans="1:50" ht="15.75">
      <c r="A55" s="72">
        <v>47</v>
      </c>
      <c r="B55" s="53" t="s">
        <v>94</v>
      </c>
      <c r="C55" s="79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AM55" s="344"/>
      <c r="AN55" s="344"/>
      <c r="AO55" s="344"/>
      <c r="AP55" s="344"/>
      <c r="AQ55" s="344"/>
      <c r="AR55" s="344"/>
      <c r="AS55" s="344"/>
      <c r="AT55" s="344"/>
      <c r="AU55" s="344"/>
      <c r="AV55" s="344"/>
      <c r="AW55" s="344"/>
      <c r="AX55" s="344"/>
    </row>
    <row r="56" spans="1:50">
      <c r="A56" s="73">
        <v>48</v>
      </c>
      <c r="B56" s="5" t="s">
        <v>49</v>
      </c>
      <c r="C56" s="90"/>
      <c r="D56" s="90"/>
      <c r="E56" s="90">
        <f t="shared" ref="E56:Z56" si="39">E39</f>
        <v>49.462260362772305</v>
      </c>
      <c r="F56" s="90">
        <f t="shared" si="39"/>
        <v>53.736234563760611</v>
      </c>
      <c r="G56" s="90">
        <f t="shared" si="39"/>
        <v>61.807777235437818</v>
      </c>
      <c r="H56" s="90">
        <f t="shared" si="39"/>
        <v>74.292892493951825</v>
      </c>
      <c r="I56" s="90">
        <f t="shared" si="39"/>
        <v>90.089156958264851</v>
      </c>
      <c r="J56" s="90">
        <f t="shared" si="39"/>
        <v>103.12325357167953</v>
      </c>
      <c r="K56" s="90">
        <f t="shared" si="39"/>
        <v>118.56975576314828</v>
      </c>
      <c r="L56" s="90">
        <f t="shared" si="39"/>
        <v>129.94825111218009</v>
      </c>
      <c r="M56" s="90">
        <f t="shared" si="39"/>
        <v>147.59407433122516</v>
      </c>
      <c r="N56" s="90">
        <f t="shared" si="39"/>
        <v>160.08025439129443</v>
      </c>
      <c r="O56" s="90">
        <f t="shared" si="39"/>
        <v>192.55696157000935</v>
      </c>
      <c r="P56" s="90">
        <f t="shared" si="39"/>
        <v>196.84379997543925</v>
      </c>
      <c r="Q56" s="90">
        <f t="shared" si="39"/>
        <v>203.73332602058758</v>
      </c>
      <c r="R56" s="90">
        <f t="shared" si="39"/>
        <v>222.633410136572</v>
      </c>
      <c r="S56" s="90">
        <f t="shared" si="39"/>
        <v>243.56507478266104</v>
      </c>
      <c r="T56" s="90">
        <f t="shared" si="39"/>
        <v>268.93676313917484</v>
      </c>
      <c r="U56" s="90">
        <f t="shared" si="39"/>
        <v>293.11889327117711</v>
      </c>
      <c r="V56" s="90">
        <f t="shared" si="39"/>
        <v>313.06907792721341</v>
      </c>
      <c r="W56" s="90">
        <f t="shared" si="39"/>
        <v>324.33500099084762</v>
      </c>
      <c r="X56" s="90">
        <f t="shared" si="39"/>
        <v>312.25739588158638</v>
      </c>
      <c r="Y56" s="90">
        <f t="shared" si="39"/>
        <v>210.38848571978212</v>
      </c>
      <c r="Z56" s="90">
        <f t="shared" si="39"/>
        <v>141.86481950478202</v>
      </c>
      <c r="AA56" s="90">
        <f t="shared" ref="AA56:AL56" si="40">AA39</f>
        <v>105.79865127871923</v>
      </c>
      <c r="AB56" s="90">
        <f t="shared" si="40"/>
        <v>119.50119501418922</v>
      </c>
      <c r="AC56" s="90">
        <f t="shared" si="40"/>
        <v>138.28393675658094</v>
      </c>
      <c r="AD56" s="90">
        <f t="shared" si="40"/>
        <v>155.46937255381121</v>
      </c>
      <c r="AE56" s="90">
        <f t="shared" si="40"/>
        <v>182.32161142736666</v>
      </c>
      <c r="AF56" s="90">
        <f t="shared" si="40"/>
        <v>212.58912683004181</v>
      </c>
      <c r="AG56" s="90">
        <f t="shared" si="40"/>
        <v>243.29783467585767</v>
      </c>
      <c r="AH56" s="90">
        <f t="shared" si="40"/>
        <v>291.00261052949787</v>
      </c>
      <c r="AI56" s="90">
        <f t="shared" si="40"/>
        <v>324.11266584868952</v>
      </c>
      <c r="AJ56" s="90">
        <f t="shared" si="40"/>
        <v>356.85672173743779</v>
      </c>
      <c r="AK56" s="90">
        <f t="shared" si="40"/>
        <v>397.1326138130741</v>
      </c>
      <c r="AL56" s="90">
        <f t="shared" si="40"/>
        <v>458.99887026940206</v>
      </c>
      <c r="AM56" s="90">
        <f t="shared" ref="AM56:AX56" si="41">AM39</f>
        <v>534.16911474484209</v>
      </c>
      <c r="AN56" s="90">
        <f t="shared" si="41"/>
        <v>564.23751926923774</v>
      </c>
      <c r="AO56" s="90">
        <f t="shared" si="41"/>
        <v>607.98500729253647</v>
      </c>
      <c r="AP56" s="90">
        <f t="shared" si="41"/>
        <v>655.86826525606523</v>
      </c>
      <c r="AQ56" s="90">
        <f t="shared" si="41"/>
        <v>700.21963593201804</v>
      </c>
      <c r="AR56" s="90">
        <f t="shared" si="41"/>
        <v>740.35921878691556</v>
      </c>
      <c r="AS56" s="90">
        <f t="shared" si="41"/>
        <v>761.82547465877701</v>
      </c>
      <c r="AT56" s="90">
        <f t="shared" si="41"/>
        <v>797.38090071947192</v>
      </c>
      <c r="AU56" s="90">
        <f t="shared" si="41"/>
        <v>835.12780974106511</v>
      </c>
      <c r="AV56" s="90">
        <f t="shared" si="41"/>
        <v>881.81322392484515</v>
      </c>
      <c r="AW56" s="90">
        <f t="shared" si="41"/>
        <v>923.61678584169306</v>
      </c>
      <c r="AX56" s="90">
        <f t="shared" si="41"/>
        <v>974.84417476989722</v>
      </c>
    </row>
    <row r="57" spans="1:50">
      <c r="A57" s="72">
        <v>49</v>
      </c>
      <c r="B57" s="5" t="s">
        <v>52</v>
      </c>
      <c r="C57" s="90"/>
      <c r="D57" s="90"/>
      <c r="E57" s="90">
        <f t="shared" ref="E57:Z57" si="42">E44</f>
        <v>184.05132435079955</v>
      </c>
      <c r="F57" s="90">
        <f t="shared" si="42"/>
        <v>199.9549770784275</v>
      </c>
      <c r="G57" s="90">
        <f t="shared" si="42"/>
        <v>229.98955510580569</v>
      </c>
      <c r="H57" s="90">
        <f t="shared" si="42"/>
        <v>276.4472378147704</v>
      </c>
      <c r="I57" s="90">
        <f t="shared" si="42"/>
        <v>335.22585757717167</v>
      </c>
      <c r="J57" s="90">
        <f t="shared" si="42"/>
        <v>383.72632491976003</v>
      </c>
      <c r="K57" s="90">
        <f t="shared" si="42"/>
        <v>441.20346332945343</v>
      </c>
      <c r="L57" s="90">
        <f t="shared" si="42"/>
        <v>483.54336293672918</v>
      </c>
      <c r="M57" s="90">
        <f t="shared" si="42"/>
        <v>549.20427509289379</v>
      </c>
      <c r="N57" s="90">
        <f t="shared" si="42"/>
        <v>595.66591997695889</v>
      </c>
      <c r="O57" s="90">
        <f t="shared" si="42"/>
        <v>705.21015555649149</v>
      </c>
      <c r="P57" s="90">
        <f t="shared" si="42"/>
        <v>720.91003965359084</v>
      </c>
      <c r="Q57" s="90">
        <f t="shared" si="42"/>
        <v>746.14186557354367</v>
      </c>
      <c r="R57" s="90">
        <f t="shared" si="42"/>
        <v>815.36050690850368</v>
      </c>
      <c r="S57" s="90">
        <f t="shared" si="42"/>
        <v>892.0194984129887</v>
      </c>
      <c r="T57" s="90">
        <f t="shared" si="42"/>
        <v>984.93939155392104</v>
      </c>
      <c r="U57" s="90">
        <f t="shared" si="42"/>
        <v>1073.5027112751684</v>
      </c>
      <c r="V57" s="90">
        <f t="shared" si="42"/>
        <v>1146.5671837821717</v>
      </c>
      <c r="W57" s="90">
        <f t="shared" si="42"/>
        <v>1187.8268883984829</v>
      </c>
      <c r="X57" s="90">
        <f t="shared" si="42"/>
        <v>1143.5945235522224</v>
      </c>
      <c r="Y57" s="90">
        <f t="shared" si="42"/>
        <v>770.51536091983326</v>
      </c>
      <c r="Z57" s="90">
        <f t="shared" si="42"/>
        <v>519.55800826545021</v>
      </c>
      <c r="AA57" s="90">
        <f t="shared" ref="AA57:AL57" si="43">AA44</f>
        <v>383.99978356525924</v>
      </c>
      <c r="AB57" s="90">
        <f t="shared" si="43"/>
        <v>433.73362955590619</v>
      </c>
      <c r="AC57" s="90">
        <f t="shared" si="43"/>
        <v>501.90622605564391</v>
      </c>
      <c r="AD57" s="90">
        <f t="shared" si="43"/>
        <v>564.28134659688703</v>
      </c>
      <c r="AE57" s="90">
        <f t="shared" si="43"/>
        <v>661.74245589329644</v>
      </c>
      <c r="AF57" s="90">
        <f t="shared" si="43"/>
        <v>771.59942687741739</v>
      </c>
      <c r="AG57" s="90">
        <f t="shared" si="43"/>
        <v>883.05772075770994</v>
      </c>
      <c r="AH57" s="90">
        <f t="shared" si="43"/>
        <v>1056.203818382035</v>
      </c>
      <c r="AI57" s="90">
        <f t="shared" si="43"/>
        <v>1176.3778841450146</v>
      </c>
      <c r="AJ57" s="90">
        <f t="shared" si="43"/>
        <v>1295.2235425948895</v>
      </c>
      <c r="AK57" s="90">
        <f t="shared" si="43"/>
        <v>1441.4062552572479</v>
      </c>
      <c r="AL57" s="90">
        <f t="shared" si="43"/>
        <v>1665.9519257558027</v>
      </c>
      <c r="AM57" s="90">
        <f t="shared" ref="AM57:AX57" si="44">AM44</f>
        <v>1929.6398153945493</v>
      </c>
      <c r="AN57" s="90">
        <f t="shared" si="44"/>
        <v>2038.2593311136088</v>
      </c>
      <c r="AO57" s="90">
        <f t="shared" si="44"/>
        <v>2196.2933551390843</v>
      </c>
      <c r="AP57" s="90">
        <f t="shared" si="44"/>
        <v>2369.2674910573865</v>
      </c>
      <c r="AQ57" s="90">
        <f t="shared" si="44"/>
        <v>2529.4829890360006</v>
      </c>
      <c r="AR57" s="90">
        <f t="shared" si="44"/>
        <v>2674.4837670894776</v>
      </c>
      <c r="AS57" s="90">
        <f t="shared" si="44"/>
        <v>2752.0287633732423</v>
      </c>
      <c r="AT57" s="90">
        <f t="shared" si="44"/>
        <v>2880.4696707304684</v>
      </c>
      <c r="AU57" s="90">
        <f t="shared" si="44"/>
        <v>3016.8271211063379</v>
      </c>
      <c r="AV57" s="90">
        <f t="shared" si="44"/>
        <v>3185.4741497729792</v>
      </c>
      <c r="AW57" s="90">
        <f t="shared" si="44"/>
        <v>3336.4859085464022</v>
      </c>
      <c r="AX57" s="90">
        <f t="shared" si="44"/>
        <v>3521.5404288957916</v>
      </c>
    </row>
    <row r="58" spans="1:50">
      <c r="A58" s="73">
        <v>50</v>
      </c>
      <c r="B58" s="5" t="s">
        <v>58</v>
      </c>
      <c r="C58" s="91"/>
      <c r="D58" s="91"/>
      <c r="E58" s="91">
        <f t="shared" ref="E58:Z58" si="45">E47</f>
        <v>-109.26946695311146</v>
      </c>
      <c r="F58" s="91">
        <f t="shared" si="45"/>
        <v>-111.7822874462624</v>
      </c>
      <c r="G58" s="91">
        <f t="shared" si="45"/>
        <v>-127.49710119523149</v>
      </c>
      <c r="H58" s="91">
        <f t="shared" si="45"/>
        <v>-150.82436480416766</v>
      </c>
      <c r="I58" s="91">
        <f t="shared" si="45"/>
        <v>-189.29045770465277</v>
      </c>
      <c r="J58" s="91">
        <f t="shared" si="45"/>
        <v>-213.73460662314031</v>
      </c>
      <c r="K58" s="91">
        <f t="shared" si="45"/>
        <v>-254.17240609889697</v>
      </c>
      <c r="L58" s="91">
        <f t="shared" si="45"/>
        <v>-271.08239804136537</v>
      </c>
      <c r="M58" s="91">
        <f t="shared" si="45"/>
        <v>-319.21015964908361</v>
      </c>
      <c r="N58" s="91">
        <f t="shared" si="45"/>
        <v>-333.70557431931832</v>
      </c>
      <c r="O58" s="91">
        <f t="shared" si="45"/>
        <v>-446.69544077678239</v>
      </c>
      <c r="P58" s="91">
        <f t="shared" si="45"/>
        <v>-458.44424615465419</v>
      </c>
      <c r="Q58" s="91">
        <f t="shared" si="45"/>
        <v>-465.93053219261998</v>
      </c>
      <c r="R58" s="91">
        <f t="shared" si="45"/>
        <v>-510.23060759260795</v>
      </c>
      <c r="S58" s="91">
        <f t="shared" si="45"/>
        <v>-555.89084047660742</v>
      </c>
      <c r="T58" s="91">
        <f t="shared" si="45"/>
        <v>-616.55560315331684</v>
      </c>
      <c r="U58" s="91">
        <f t="shared" si="45"/>
        <v>-674.05869453304433</v>
      </c>
      <c r="V58" s="91">
        <f t="shared" si="45"/>
        <v>-730.86183985904438</v>
      </c>
      <c r="W58" s="91">
        <f t="shared" si="45"/>
        <v>-751.56710375638352</v>
      </c>
      <c r="X58" s="91">
        <f t="shared" si="45"/>
        <v>-800.30504218815565</v>
      </c>
      <c r="Y58" s="91">
        <f t="shared" si="45"/>
        <v>-537.62671895439985</v>
      </c>
      <c r="Z58" s="91">
        <f t="shared" si="45"/>
        <v>-363.67672147104884</v>
      </c>
      <c r="AA58" s="91">
        <f t="shared" ref="AA58:AL58" si="46">AA47</f>
        <v>-239.93484674708662</v>
      </c>
      <c r="AB58" s="91">
        <f t="shared" si="46"/>
        <v>-266.99917604589433</v>
      </c>
      <c r="AC58" s="91">
        <f t="shared" si="46"/>
        <v>-314.40267783438333</v>
      </c>
      <c r="AD58" s="91">
        <f t="shared" si="46"/>
        <v>-348.18554522664579</v>
      </c>
      <c r="AE58" s="91">
        <f t="shared" si="46"/>
        <v>-408.44399786357621</v>
      </c>
      <c r="AF58" s="91">
        <f t="shared" si="46"/>
        <v>-479.27886120107399</v>
      </c>
      <c r="AG58" s="91">
        <f t="shared" si="46"/>
        <v>-533.98525048566285</v>
      </c>
      <c r="AH58" s="91">
        <f t="shared" si="46"/>
        <v>-655.65667158719236</v>
      </c>
      <c r="AI58" s="91">
        <f t="shared" si="46"/>
        <v>-734.39283351420909</v>
      </c>
      <c r="AJ58" s="91">
        <f t="shared" si="46"/>
        <v>-808.72325802451223</v>
      </c>
      <c r="AK58" s="91">
        <f t="shared" si="46"/>
        <v>-893.7679324877231</v>
      </c>
      <c r="AL58" s="91">
        <f t="shared" si="46"/>
        <v>-1016.683902968555</v>
      </c>
      <c r="AM58" s="449">
        <f t="shared" ref="AM58:AX58" si="47">AM47</f>
        <v>-1225.8468322041074</v>
      </c>
      <c r="AN58" s="449">
        <f t="shared" si="47"/>
        <v>-1287.7383550255558</v>
      </c>
      <c r="AO58" s="449">
        <f t="shared" si="47"/>
        <v>-1385.8232120660534</v>
      </c>
      <c r="AP58" s="449">
        <f t="shared" si="47"/>
        <v>-1501.8094674828767</v>
      </c>
      <c r="AQ58" s="449">
        <f t="shared" si="47"/>
        <v>-1603.4783357583708</v>
      </c>
      <c r="AR58" s="449">
        <f t="shared" si="47"/>
        <v>-1716.9260999134663</v>
      </c>
      <c r="AS58" s="449">
        <f t="shared" si="47"/>
        <v>-1758.4364851418593</v>
      </c>
      <c r="AT58" s="449">
        <f t="shared" si="47"/>
        <v>-1845.1203901122233</v>
      </c>
      <c r="AU58" s="449">
        <f t="shared" si="47"/>
        <v>-1926.9080532288704</v>
      </c>
      <c r="AV58" s="449">
        <f t="shared" si="47"/>
        <v>-2044.6117687746146</v>
      </c>
      <c r="AW58" s="449">
        <f t="shared" si="47"/>
        <v>-2138.5006918774302</v>
      </c>
      <c r="AX58" s="449">
        <f t="shared" si="47"/>
        <v>-2257.8191605006173</v>
      </c>
    </row>
    <row r="59" spans="1:50">
      <c r="A59" s="72">
        <v>51</v>
      </c>
      <c r="B59" s="5" t="s">
        <v>59</v>
      </c>
      <c r="C59" s="57"/>
      <c r="D59" s="57"/>
      <c r="E59" s="57">
        <f t="shared" ref="E59:Z59" si="48">E53</f>
        <v>1.683170149987292</v>
      </c>
      <c r="F59" s="57">
        <f t="shared" si="48"/>
        <v>1.683170149987292</v>
      </c>
      <c r="G59" s="57">
        <f t="shared" si="48"/>
        <v>1.683170149987292</v>
      </c>
      <c r="H59" s="57">
        <f t="shared" si="48"/>
        <v>1.683170149987292</v>
      </c>
      <c r="I59" s="57">
        <f t="shared" si="48"/>
        <v>1.683170149987292</v>
      </c>
      <c r="J59" s="57">
        <f t="shared" si="48"/>
        <v>1.683170149987292</v>
      </c>
      <c r="K59" s="57">
        <f t="shared" si="48"/>
        <v>1.683170149987292</v>
      </c>
      <c r="L59" s="57">
        <f t="shared" si="48"/>
        <v>1.683170149987292</v>
      </c>
      <c r="M59" s="57">
        <f t="shared" si="48"/>
        <v>1.683170149987292</v>
      </c>
      <c r="N59" s="57">
        <f t="shared" si="48"/>
        <v>1.683170149987292</v>
      </c>
      <c r="O59" s="57">
        <f t="shared" si="48"/>
        <v>1.6854872933727989</v>
      </c>
      <c r="P59" s="57">
        <f t="shared" si="48"/>
        <v>1.6854872933727989</v>
      </c>
      <c r="Q59" s="57">
        <f t="shared" si="48"/>
        <v>1.6854872933727989</v>
      </c>
      <c r="R59" s="57">
        <f t="shared" si="48"/>
        <v>1.6854872933727989</v>
      </c>
      <c r="S59" s="57">
        <f t="shared" si="48"/>
        <v>1.6854872933727989</v>
      </c>
      <c r="T59" s="57">
        <f t="shared" si="48"/>
        <v>1.6854872933727989</v>
      </c>
      <c r="U59" s="57">
        <f t="shared" si="48"/>
        <v>1.6854872933727989</v>
      </c>
      <c r="V59" s="57">
        <f t="shared" si="48"/>
        <v>1.6854872933727989</v>
      </c>
      <c r="W59" s="57">
        <f t="shared" si="48"/>
        <v>1.6854872933727989</v>
      </c>
      <c r="X59" s="57">
        <f t="shared" si="48"/>
        <v>1.6854872933727989</v>
      </c>
      <c r="Y59" s="57">
        <f t="shared" si="48"/>
        <v>1.6854872933727989</v>
      </c>
      <c r="Z59" s="57">
        <f t="shared" si="48"/>
        <v>1.6854872933727989</v>
      </c>
      <c r="AA59" s="57">
        <f t="shared" ref="AA59:AL59" si="49">AA53</f>
        <v>1.6869095816464237</v>
      </c>
      <c r="AB59" s="57">
        <f t="shared" si="49"/>
        <v>1.6869095816464237</v>
      </c>
      <c r="AC59" s="57">
        <f t="shared" si="49"/>
        <v>1.6869095816464237</v>
      </c>
      <c r="AD59" s="57">
        <f t="shared" si="49"/>
        <v>1.6869095816464237</v>
      </c>
      <c r="AE59" s="57">
        <f t="shared" si="49"/>
        <v>1.6869095816464237</v>
      </c>
      <c r="AF59" s="57">
        <f t="shared" si="49"/>
        <v>1.6869095816464237</v>
      </c>
      <c r="AG59" s="57">
        <f t="shared" si="49"/>
        <v>1.6869095816464237</v>
      </c>
      <c r="AH59" s="57">
        <f t="shared" si="49"/>
        <v>1.6869095816464237</v>
      </c>
      <c r="AI59" s="57">
        <f t="shared" si="49"/>
        <v>1.6869095816464237</v>
      </c>
      <c r="AJ59" s="57">
        <f t="shared" si="49"/>
        <v>1.6869095816464237</v>
      </c>
      <c r="AK59" s="57">
        <f t="shared" si="49"/>
        <v>1.6869095816464237</v>
      </c>
      <c r="AL59" s="57">
        <f t="shared" si="49"/>
        <v>1.6869095816464237</v>
      </c>
      <c r="AM59" s="438">
        <f t="shared" ref="AM59:AX59" si="50">AM53</f>
        <v>1.6874789065136686</v>
      </c>
      <c r="AN59" s="438">
        <f t="shared" si="50"/>
        <v>1.6874789065136686</v>
      </c>
      <c r="AO59" s="438">
        <f t="shared" si="50"/>
        <v>1.6874789065136686</v>
      </c>
      <c r="AP59" s="438">
        <f t="shared" si="50"/>
        <v>1.6874789065136686</v>
      </c>
      <c r="AQ59" s="438">
        <f t="shared" si="50"/>
        <v>1.6874789065136686</v>
      </c>
      <c r="AR59" s="438">
        <f t="shared" si="50"/>
        <v>1.6874789065136686</v>
      </c>
      <c r="AS59" s="438">
        <f t="shared" si="50"/>
        <v>1.6874789065136686</v>
      </c>
      <c r="AT59" s="438">
        <f t="shared" si="50"/>
        <v>1.6874789065136686</v>
      </c>
      <c r="AU59" s="438">
        <f t="shared" si="50"/>
        <v>1.6874789065136686</v>
      </c>
      <c r="AV59" s="438">
        <f t="shared" si="50"/>
        <v>1.6874789065136686</v>
      </c>
      <c r="AW59" s="438">
        <f t="shared" si="50"/>
        <v>1.6874789065136686</v>
      </c>
      <c r="AX59" s="438">
        <f t="shared" si="50"/>
        <v>1.6874789065136686</v>
      </c>
    </row>
    <row r="60" spans="1:50">
      <c r="A60" s="73">
        <v>52</v>
      </c>
      <c r="B60" s="61" t="s">
        <v>60</v>
      </c>
      <c r="C60" s="66"/>
      <c r="D60" s="66"/>
      <c r="E60" s="66">
        <f t="shared" ref="E60:N60" si="51">(E56+E57+E58)*E59</f>
        <v>209.12399032591287</v>
      </c>
      <c r="F60" s="66">
        <f t="shared" si="51"/>
        <v>238.85686522339151</v>
      </c>
      <c r="G60" s="66">
        <f t="shared" si="51"/>
        <v>276.54524470097982</v>
      </c>
      <c r="H60" s="66">
        <f t="shared" si="51"/>
        <v>336.49224900912537</v>
      </c>
      <c r="I60" s="66">
        <f t="shared" si="51"/>
        <v>397.26948872155435</v>
      </c>
      <c r="J60" s="66">
        <f t="shared" si="51"/>
        <v>459.69896816334023</v>
      </c>
      <c r="K60" s="66">
        <f t="shared" si="51"/>
        <v>514.37816624285233</v>
      </c>
      <c r="L60" s="66">
        <f t="shared" si="51"/>
        <v>576.33297146444863</v>
      </c>
      <c r="M60" s="66">
        <f t="shared" si="51"/>
        <v>635.5451700170762</v>
      </c>
      <c r="N60" s="66">
        <f t="shared" si="51"/>
        <v>710.36614008509275</v>
      </c>
      <c r="O60" s="66">
        <f t="shared" ref="O60:Z60" si="52">(O56+O57+O58)*O59</f>
        <v>760.27557888781803</v>
      </c>
      <c r="P60" s="66">
        <f t="shared" si="52"/>
        <v>774.16048352528651</v>
      </c>
      <c r="Q60" s="66">
        <f t="shared" si="52"/>
        <v>815.68257411687432</v>
      </c>
      <c r="R60" s="66">
        <f t="shared" si="52"/>
        <v>889.53835199051082</v>
      </c>
      <c r="S60" s="66">
        <f t="shared" si="52"/>
        <v>977.06642054579322</v>
      </c>
      <c r="T60" s="66">
        <f t="shared" si="52"/>
        <v>1074.1956914256416</v>
      </c>
      <c r="U60" s="66">
        <f t="shared" si="52"/>
        <v>1167.3059846887081</v>
      </c>
      <c r="V60" s="66">
        <f t="shared" si="52"/>
        <v>1228.3400277638571</v>
      </c>
      <c r="W60" s="66">
        <f t="shared" si="52"/>
        <v>1281.97284658994</v>
      </c>
      <c r="X60" s="66">
        <f t="shared" si="52"/>
        <v>1104.9159318077661</v>
      </c>
      <c r="Y60" s="66">
        <f t="shared" si="52"/>
        <v>747.13796615622255</v>
      </c>
      <c r="Z60" s="66">
        <f t="shared" si="52"/>
        <v>501.8472788185004</v>
      </c>
      <c r="AA60" s="66">
        <f t="shared" ref="AA60:AL60" si="53">(AA56+AA57+AA58)*AA59</f>
        <v>421.49728086520219</v>
      </c>
      <c r="AB60" s="66">
        <f t="shared" si="53"/>
        <v>482.85365810425276</v>
      </c>
      <c r="AC60" s="66">
        <f t="shared" si="53"/>
        <v>549.57402998961106</v>
      </c>
      <c r="AD60" s="66">
        <f t="shared" si="53"/>
        <v>626.79685209860406</v>
      </c>
      <c r="AE60" s="66">
        <f t="shared" si="53"/>
        <v>734.85166912464047</v>
      </c>
      <c r="AF60" s="66">
        <f t="shared" si="53"/>
        <v>851.73699815517068</v>
      </c>
      <c r="AG60" s="66">
        <f t="shared" si="53"/>
        <v>999.27514329943438</v>
      </c>
      <c r="AH60" s="66">
        <f t="shared" si="53"/>
        <v>1166.581911815689</v>
      </c>
      <c r="AI60" s="66">
        <f t="shared" si="53"/>
        <v>1292.3375784067052</v>
      </c>
      <c r="AJ60" s="66">
        <f t="shared" si="53"/>
        <v>1422.6670146892966</v>
      </c>
      <c r="AK60" s="66">
        <f t="shared" si="53"/>
        <v>1593.7431453822519</v>
      </c>
      <c r="AL60" s="66">
        <f t="shared" si="53"/>
        <v>1869.5460409187751</v>
      </c>
      <c r="AM60" s="446">
        <f t="shared" ref="AM60:AX60" si="54">(AM56+AM57+AM58)*AM59</f>
        <v>2089.0349273291999</v>
      </c>
      <c r="AN60" s="446">
        <f t="shared" si="54"/>
        <v>2218.6272280750777</v>
      </c>
      <c r="AO60" s="446">
        <f t="shared" si="54"/>
        <v>2393.6131460775691</v>
      </c>
      <c r="AP60" s="446">
        <f t="shared" si="54"/>
        <v>2570.5809801393434</v>
      </c>
      <c r="AQ60" s="446">
        <f t="shared" si="54"/>
        <v>2744.2191853014642</v>
      </c>
      <c r="AR60" s="446">
        <f t="shared" si="54"/>
        <v>2865.1989300758128</v>
      </c>
      <c r="AS60" s="446">
        <f t="shared" si="54"/>
        <v>2962.2304301217691</v>
      </c>
      <c r="AT60" s="446">
        <f t="shared" si="54"/>
        <v>3092.693522338368</v>
      </c>
      <c r="AU60" s="446">
        <f t="shared" si="54"/>
        <v>3248.4760000312735</v>
      </c>
      <c r="AV60" s="446">
        <f t="shared" si="54"/>
        <v>3413.2224180276912</v>
      </c>
      <c r="AW60" s="446">
        <f t="shared" si="54"/>
        <v>3580.1586272539066</v>
      </c>
      <c r="AX60" s="446">
        <f t="shared" si="54"/>
        <v>3777.5319661914809</v>
      </c>
    </row>
    <row r="61" spans="1:50">
      <c r="A61" s="72">
        <v>53</v>
      </c>
      <c r="AM61" s="344"/>
      <c r="AN61" s="344"/>
      <c r="AO61" s="344"/>
      <c r="AP61" s="344"/>
      <c r="AQ61" s="344"/>
      <c r="AR61" s="344"/>
      <c r="AS61" s="344"/>
      <c r="AT61" s="344"/>
      <c r="AU61" s="344"/>
      <c r="AV61" s="344"/>
      <c r="AW61" s="344"/>
      <c r="AX61" s="344"/>
    </row>
    <row r="62" spans="1:50">
      <c r="A62" s="73">
        <v>54</v>
      </c>
      <c r="B62" s="64" t="s">
        <v>197</v>
      </c>
      <c r="AM62" s="344"/>
      <c r="AN62" s="344"/>
      <c r="AO62" s="344"/>
      <c r="AP62" s="344"/>
      <c r="AQ62" s="344"/>
      <c r="AR62" s="344"/>
      <c r="AS62" s="344"/>
      <c r="AT62" s="344"/>
      <c r="AU62" s="344"/>
      <c r="AV62" s="344"/>
      <c r="AW62" s="344"/>
      <c r="AX62" s="344"/>
    </row>
    <row r="63" spans="1:50" ht="15.75">
      <c r="A63" s="72">
        <v>55</v>
      </c>
      <c r="B63" s="1" t="s">
        <v>9</v>
      </c>
      <c r="AM63" s="344"/>
      <c r="AN63" s="344"/>
      <c r="AO63" s="344"/>
      <c r="AP63" s="344"/>
      <c r="AQ63" s="344"/>
      <c r="AR63" s="344"/>
      <c r="AS63" s="344"/>
      <c r="AT63" s="344"/>
      <c r="AU63" s="344"/>
      <c r="AV63" s="344"/>
      <c r="AW63" s="344"/>
      <c r="AX63" s="344"/>
    </row>
    <row r="64" spans="1:50" ht="15">
      <c r="A64" s="73">
        <v>56</v>
      </c>
      <c r="B64" s="2" t="s">
        <v>63</v>
      </c>
      <c r="AM64" s="344"/>
      <c r="AN64" s="344"/>
      <c r="AO64" s="344"/>
      <c r="AP64" s="344"/>
      <c r="AQ64" s="344"/>
      <c r="AR64" s="344"/>
      <c r="AS64" s="344"/>
      <c r="AT64" s="344"/>
      <c r="AU64" s="344"/>
      <c r="AV64" s="344"/>
      <c r="AW64" s="344"/>
      <c r="AX64" s="344"/>
    </row>
    <row r="65" spans="1:50">
      <c r="A65" s="72">
        <v>57</v>
      </c>
      <c r="B65" s="5" t="s">
        <v>13</v>
      </c>
      <c r="C65" s="65"/>
      <c r="D65" s="65"/>
      <c r="E65" s="65">
        <f t="shared" ref="E65:Z65" si="55">E22</f>
        <v>57003.535854067493</v>
      </c>
      <c r="F65" s="65">
        <f t="shared" si="55"/>
        <v>65108.188526657003</v>
      </c>
      <c r="G65" s="65">
        <f t="shared" si="55"/>
        <v>75381.377988654363</v>
      </c>
      <c r="H65" s="65">
        <f t="shared" si="55"/>
        <v>91721.876104370691</v>
      </c>
      <c r="I65" s="65">
        <f t="shared" si="55"/>
        <v>108288.69098759352</v>
      </c>
      <c r="J65" s="65">
        <f t="shared" si="55"/>
        <v>125305.86821905253</v>
      </c>
      <c r="K65" s="65">
        <f t="shared" si="55"/>
        <v>140210.46699925209</v>
      </c>
      <c r="L65" s="65">
        <f t="shared" si="55"/>
        <v>157098.25182485121</v>
      </c>
      <c r="M65" s="65">
        <f t="shared" si="55"/>
        <v>173238.47042300671</v>
      </c>
      <c r="N65" s="65">
        <f t="shared" si="55"/>
        <v>193633.34068632542</v>
      </c>
      <c r="O65" s="65">
        <f t="shared" si="55"/>
        <v>212981.49083168144</v>
      </c>
      <c r="P65" s="65">
        <f t="shared" si="55"/>
        <v>216871.16852293524</v>
      </c>
      <c r="Q65" s="65">
        <f t="shared" si="55"/>
        <v>228503.05628340523</v>
      </c>
      <c r="R65" s="65">
        <f t="shared" si="55"/>
        <v>249192.808697175</v>
      </c>
      <c r="S65" s="65">
        <f t="shared" si="55"/>
        <v>273712.68046817882</v>
      </c>
      <c r="T65" s="65">
        <f t="shared" si="55"/>
        <v>300922.20390577335</v>
      </c>
      <c r="U65" s="65">
        <f t="shared" si="55"/>
        <v>327005.86232125608</v>
      </c>
      <c r="V65" s="65">
        <f t="shared" si="55"/>
        <v>344103.76416259364</v>
      </c>
      <c r="W65" s="65">
        <f t="shared" si="55"/>
        <v>359128.31608720636</v>
      </c>
      <c r="X65" s="65">
        <f t="shared" si="55"/>
        <v>309528.04240560008</v>
      </c>
      <c r="Y65" s="65">
        <f t="shared" si="55"/>
        <v>209301.13003188561</v>
      </c>
      <c r="Z65" s="65">
        <f t="shared" si="55"/>
        <v>140586.08557774703</v>
      </c>
      <c r="AA65" s="65">
        <f t="shared" ref="AA65:AL65" si="56">AA22</f>
        <v>117851.16283083943</v>
      </c>
      <c r="AB65" s="65">
        <f t="shared" si="56"/>
        <v>135006.18609561765</v>
      </c>
      <c r="AC65" s="65">
        <f t="shared" si="56"/>
        <v>153661.63959149132</v>
      </c>
      <c r="AD65" s="65">
        <f t="shared" si="56"/>
        <v>175252.85345408809</v>
      </c>
      <c r="AE65" s="65">
        <f t="shared" si="56"/>
        <v>205465.06730187387</v>
      </c>
      <c r="AF65" s="65">
        <f t="shared" si="56"/>
        <v>234211.135431551</v>
      </c>
      <c r="AG65" s="65">
        <f t="shared" si="56"/>
        <v>274780.21224403579</v>
      </c>
      <c r="AH65" s="65">
        <f t="shared" si="56"/>
        <v>320787.34385315154</v>
      </c>
      <c r="AI65" s="65">
        <f t="shared" si="56"/>
        <v>355368.00537927193</v>
      </c>
      <c r="AJ65" s="65">
        <f t="shared" si="56"/>
        <v>391206.10637829662</v>
      </c>
      <c r="AK65" s="65">
        <f t="shared" si="56"/>
        <v>438248.30494865228</v>
      </c>
      <c r="AL65" s="65">
        <f t="shared" si="56"/>
        <v>514087.55064917263</v>
      </c>
      <c r="AM65" s="310">
        <f>AM22</f>
        <v>575650.31613393291</v>
      </c>
      <c r="AN65" s="310">
        <f t="shared" ref="AN65:AX65" si="57">AN22</f>
        <v>611360.74742662034</v>
      </c>
      <c r="AO65" s="310">
        <f t="shared" si="57"/>
        <v>659579.59558407241</v>
      </c>
      <c r="AP65" s="310">
        <f t="shared" si="57"/>
        <v>708344.2995644249</v>
      </c>
      <c r="AQ65" s="310">
        <f t="shared" si="57"/>
        <v>756191.70224151528</v>
      </c>
      <c r="AR65" s="310">
        <f t="shared" si="57"/>
        <v>789527.93778275652</v>
      </c>
      <c r="AS65" s="310">
        <f t="shared" si="57"/>
        <v>816266.00058713951</v>
      </c>
      <c r="AT65" s="310">
        <f t="shared" si="57"/>
        <v>852215.98357656272</v>
      </c>
      <c r="AU65" s="310">
        <f t="shared" si="57"/>
        <v>895143.25308323512</v>
      </c>
      <c r="AV65" s="310">
        <f t="shared" si="57"/>
        <v>940540.10080395313</v>
      </c>
      <c r="AW65" s="310">
        <f t="shared" si="57"/>
        <v>986540.77846351266</v>
      </c>
      <c r="AX65" s="310">
        <f t="shared" si="57"/>
        <v>1040928.5258719409</v>
      </c>
    </row>
    <row r="66" spans="1:50">
      <c r="A66" s="73">
        <v>58</v>
      </c>
      <c r="B66" s="5" t="s">
        <v>48</v>
      </c>
      <c r="C66" s="122"/>
      <c r="D66" s="122"/>
      <c r="E66" s="122">
        <f t="shared" ref="E66:Z66" si="58">E26</f>
        <v>7.5950000000000002E-3</v>
      </c>
      <c r="F66" s="122">
        <f t="shared" si="58"/>
        <v>7.5950000000000002E-3</v>
      </c>
      <c r="G66" s="122">
        <f t="shared" si="58"/>
        <v>7.5950000000000002E-3</v>
      </c>
      <c r="H66" s="122">
        <f t="shared" si="58"/>
        <v>7.5950000000000002E-3</v>
      </c>
      <c r="I66" s="122">
        <f t="shared" si="58"/>
        <v>7.5950000000000002E-3</v>
      </c>
      <c r="J66" s="122">
        <f t="shared" si="58"/>
        <v>7.5950000000000002E-3</v>
      </c>
      <c r="K66" s="122">
        <f t="shared" si="58"/>
        <v>7.5950000000000002E-3</v>
      </c>
      <c r="L66" s="122">
        <f t="shared" si="58"/>
        <v>7.5950000000000002E-3</v>
      </c>
      <c r="M66" s="122">
        <f t="shared" si="58"/>
        <v>7.5950000000000002E-3</v>
      </c>
      <c r="N66" s="122">
        <f t="shared" si="58"/>
        <v>7.5950000000000002E-3</v>
      </c>
      <c r="O66" s="122">
        <f t="shared" si="58"/>
        <v>7.5075000000000003E-3</v>
      </c>
      <c r="P66" s="122">
        <f t="shared" si="58"/>
        <v>7.5075000000000003E-3</v>
      </c>
      <c r="Q66" s="122">
        <f t="shared" si="58"/>
        <v>7.5075000000000003E-3</v>
      </c>
      <c r="R66" s="122">
        <f t="shared" si="58"/>
        <v>7.5075000000000003E-3</v>
      </c>
      <c r="S66" s="122">
        <f t="shared" si="58"/>
        <v>7.5075000000000003E-3</v>
      </c>
      <c r="T66" s="122">
        <f t="shared" si="58"/>
        <v>7.5075000000000003E-3</v>
      </c>
      <c r="U66" s="122">
        <f t="shared" si="58"/>
        <v>7.5075000000000003E-3</v>
      </c>
      <c r="V66" s="122">
        <f t="shared" si="58"/>
        <v>7.5075000000000003E-3</v>
      </c>
      <c r="W66" s="122">
        <f t="shared" si="58"/>
        <v>7.5075000000000003E-3</v>
      </c>
      <c r="X66" s="122">
        <f t="shared" si="58"/>
        <v>7.5075000000000003E-3</v>
      </c>
      <c r="Y66" s="122">
        <f t="shared" si="58"/>
        <v>7.5075000000000003E-3</v>
      </c>
      <c r="Z66" s="122">
        <f t="shared" si="58"/>
        <v>7.5075000000000003E-3</v>
      </c>
      <c r="AA66" s="122">
        <f t="shared" ref="AA66:AL66" si="59">AA26</f>
        <v>7.5075000000000003E-3</v>
      </c>
      <c r="AB66" s="122">
        <f t="shared" si="59"/>
        <v>7.5075000000000003E-3</v>
      </c>
      <c r="AC66" s="122">
        <f t="shared" si="59"/>
        <v>7.5075000000000003E-3</v>
      </c>
      <c r="AD66" s="122">
        <f t="shared" si="59"/>
        <v>7.5075000000000003E-3</v>
      </c>
      <c r="AE66" s="122">
        <f t="shared" si="59"/>
        <v>7.5075000000000003E-3</v>
      </c>
      <c r="AF66" s="122">
        <f t="shared" si="59"/>
        <v>7.5199999999999998E-3</v>
      </c>
      <c r="AG66" s="122">
        <f t="shared" si="59"/>
        <v>7.5199999999999998E-3</v>
      </c>
      <c r="AH66" s="122">
        <f t="shared" si="59"/>
        <v>7.5199999999999998E-3</v>
      </c>
      <c r="AI66" s="122">
        <f t="shared" si="59"/>
        <v>7.5199999999999998E-3</v>
      </c>
      <c r="AJ66" s="122">
        <f t="shared" si="59"/>
        <v>7.5199999999999998E-3</v>
      </c>
      <c r="AK66" s="122">
        <f t="shared" si="59"/>
        <v>7.5199999999999998E-3</v>
      </c>
      <c r="AL66" s="122">
        <f t="shared" si="59"/>
        <v>7.5199999999999998E-3</v>
      </c>
      <c r="AM66" s="307">
        <f t="shared" ref="AM66:AX66" si="60">AM26</f>
        <v>7.4283333333333328E-3</v>
      </c>
      <c r="AN66" s="307">
        <f t="shared" si="60"/>
        <v>7.4283333333333328E-3</v>
      </c>
      <c r="AO66" s="307">
        <f t="shared" si="60"/>
        <v>7.4283333333333328E-3</v>
      </c>
      <c r="AP66" s="307">
        <f t="shared" si="60"/>
        <v>7.4283333333333328E-3</v>
      </c>
      <c r="AQ66" s="307">
        <f t="shared" si="60"/>
        <v>7.4283333333333328E-3</v>
      </c>
      <c r="AR66" s="307">
        <f t="shared" si="60"/>
        <v>7.4283333333333328E-3</v>
      </c>
      <c r="AS66" s="307">
        <f t="shared" si="60"/>
        <v>7.4283333333333328E-3</v>
      </c>
      <c r="AT66" s="307">
        <f t="shared" si="60"/>
        <v>7.4283333333333328E-3</v>
      </c>
      <c r="AU66" s="307">
        <f t="shared" si="60"/>
        <v>7.4283333333333328E-3</v>
      </c>
      <c r="AV66" s="307">
        <f t="shared" si="60"/>
        <v>7.4283333333333328E-3</v>
      </c>
      <c r="AW66" s="307">
        <f t="shared" si="60"/>
        <v>7.4283333333333328E-3</v>
      </c>
      <c r="AX66" s="307">
        <f t="shared" si="60"/>
        <v>7.4283333333333328E-3</v>
      </c>
    </row>
    <row r="67" spans="1:50">
      <c r="A67" s="72">
        <v>59</v>
      </c>
      <c r="B67" s="5" t="s">
        <v>111</v>
      </c>
      <c r="C67" s="60"/>
      <c r="D67" s="60"/>
      <c r="E67" s="60">
        <f t="shared" ref="E67:N67" si="61">E65*E66</f>
        <v>432.9418548116426</v>
      </c>
      <c r="F67" s="60">
        <f t="shared" si="61"/>
        <v>494.49669185995992</v>
      </c>
      <c r="G67" s="60">
        <f t="shared" si="61"/>
        <v>572.52156582382986</v>
      </c>
      <c r="H67" s="60">
        <f t="shared" si="61"/>
        <v>696.62764901269543</v>
      </c>
      <c r="I67" s="60">
        <f t="shared" si="61"/>
        <v>822.45260805077282</v>
      </c>
      <c r="J67" s="60">
        <f t="shared" si="61"/>
        <v>951.69806912370393</v>
      </c>
      <c r="K67" s="60">
        <f t="shared" si="61"/>
        <v>1064.8984968593197</v>
      </c>
      <c r="L67" s="60">
        <f t="shared" si="61"/>
        <v>1193.161222609745</v>
      </c>
      <c r="M67" s="60">
        <f t="shared" si="61"/>
        <v>1315.7461828627361</v>
      </c>
      <c r="N67" s="60">
        <f t="shared" si="61"/>
        <v>1470.6452225126416</v>
      </c>
      <c r="O67" s="60">
        <f t="shared" ref="O67:Z67" si="62">O65*O66</f>
        <v>1598.9585424188485</v>
      </c>
      <c r="P67" s="60">
        <f t="shared" si="62"/>
        <v>1628.1602976859365</v>
      </c>
      <c r="Q67" s="60">
        <f t="shared" si="62"/>
        <v>1715.4866950476649</v>
      </c>
      <c r="R67" s="60">
        <f t="shared" si="62"/>
        <v>1870.8150112940414</v>
      </c>
      <c r="S67" s="60">
        <f t="shared" si="62"/>
        <v>2054.8979486148528</v>
      </c>
      <c r="T67" s="60">
        <f t="shared" si="62"/>
        <v>2259.1734458225933</v>
      </c>
      <c r="U67" s="60">
        <f t="shared" si="62"/>
        <v>2454.9965113768303</v>
      </c>
      <c r="V67" s="60">
        <f t="shared" si="62"/>
        <v>2583.3590094506717</v>
      </c>
      <c r="W67" s="60">
        <f t="shared" si="62"/>
        <v>2696.1558330247017</v>
      </c>
      <c r="X67" s="60">
        <f t="shared" si="62"/>
        <v>2323.7817783600426</v>
      </c>
      <c r="Y67" s="60">
        <f t="shared" si="62"/>
        <v>1571.3282337143812</v>
      </c>
      <c r="Z67" s="60">
        <f t="shared" si="62"/>
        <v>1055.4500374749359</v>
      </c>
      <c r="AA67" s="60">
        <f t="shared" ref="AA67:AL67" si="63">AA65*AA66</f>
        <v>884.76760495252699</v>
      </c>
      <c r="AB67" s="60">
        <f t="shared" si="63"/>
        <v>1013.5589421128495</v>
      </c>
      <c r="AC67" s="60">
        <f t="shared" si="63"/>
        <v>1153.614759233121</v>
      </c>
      <c r="AD67" s="60">
        <f t="shared" si="63"/>
        <v>1315.7107973065665</v>
      </c>
      <c r="AE67" s="60">
        <f t="shared" si="63"/>
        <v>1542.5289927688182</v>
      </c>
      <c r="AF67" s="60">
        <f t="shared" si="63"/>
        <v>1761.2677384452634</v>
      </c>
      <c r="AG67" s="60">
        <f t="shared" si="63"/>
        <v>2066.347196075149</v>
      </c>
      <c r="AH67" s="60">
        <f t="shared" si="63"/>
        <v>2412.3208257756996</v>
      </c>
      <c r="AI67" s="60">
        <f t="shared" si="63"/>
        <v>2672.3674004521249</v>
      </c>
      <c r="AJ67" s="60">
        <f t="shared" si="63"/>
        <v>2941.8699199647904</v>
      </c>
      <c r="AK67" s="60">
        <f t="shared" si="63"/>
        <v>3295.6272532138651</v>
      </c>
      <c r="AL67" s="60">
        <f t="shared" si="63"/>
        <v>3865.9383808817779</v>
      </c>
      <c r="AM67" s="437">
        <f>AM65*AM66</f>
        <v>4276.1224316815651</v>
      </c>
      <c r="AN67" s="437">
        <f t="shared" ref="AN67:AX67" si="64">AN65*AN66</f>
        <v>4541.3914188007448</v>
      </c>
      <c r="AO67" s="437">
        <f t="shared" si="64"/>
        <v>4899.577095863684</v>
      </c>
      <c r="AP67" s="437">
        <f t="shared" si="64"/>
        <v>5261.8175719310693</v>
      </c>
      <c r="AQ67" s="437">
        <f t="shared" si="64"/>
        <v>5617.2440281507224</v>
      </c>
      <c r="AR67" s="437">
        <f t="shared" si="64"/>
        <v>5864.8766978295762</v>
      </c>
      <c r="AS67" s="437">
        <f t="shared" si="64"/>
        <v>6063.4959410281344</v>
      </c>
      <c r="AT67" s="437">
        <f t="shared" si="64"/>
        <v>6330.5443980012333</v>
      </c>
      <c r="AU67" s="437">
        <f t="shared" si="64"/>
        <v>6649.422464986631</v>
      </c>
      <c r="AV67" s="437">
        <f t="shared" si="64"/>
        <v>6986.6453821386976</v>
      </c>
      <c r="AW67" s="437">
        <f t="shared" si="64"/>
        <v>7328.3537493531257</v>
      </c>
      <c r="AX67" s="437">
        <f t="shared" si="64"/>
        <v>7732.3640663520673</v>
      </c>
    </row>
    <row r="68" spans="1:50">
      <c r="A68" s="73">
        <v>60</v>
      </c>
      <c r="B68" s="5" t="s">
        <v>60</v>
      </c>
      <c r="C68" s="65"/>
      <c r="D68" s="65"/>
      <c r="E68" s="65">
        <f t="shared" ref="E68:Z68" si="65">E60</f>
        <v>209.12399032591287</v>
      </c>
      <c r="F68" s="65">
        <f t="shared" si="65"/>
        <v>238.85686522339151</v>
      </c>
      <c r="G68" s="65">
        <f t="shared" si="65"/>
        <v>276.54524470097982</v>
      </c>
      <c r="H68" s="65">
        <f t="shared" si="65"/>
        <v>336.49224900912537</v>
      </c>
      <c r="I68" s="65">
        <f t="shared" si="65"/>
        <v>397.26948872155435</v>
      </c>
      <c r="J68" s="65">
        <f t="shared" si="65"/>
        <v>459.69896816334023</v>
      </c>
      <c r="K68" s="65">
        <f t="shared" si="65"/>
        <v>514.37816624285233</v>
      </c>
      <c r="L68" s="65">
        <f t="shared" si="65"/>
        <v>576.33297146444863</v>
      </c>
      <c r="M68" s="65">
        <f t="shared" si="65"/>
        <v>635.5451700170762</v>
      </c>
      <c r="N68" s="65">
        <f t="shared" si="65"/>
        <v>710.36614008509275</v>
      </c>
      <c r="O68" s="65">
        <f t="shared" si="65"/>
        <v>760.27557888781803</v>
      </c>
      <c r="P68" s="65">
        <f t="shared" si="65"/>
        <v>774.16048352528651</v>
      </c>
      <c r="Q68" s="65">
        <f t="shared" si="65"/>
        <v>815.68257411687432</v>
      </c>
      <c r="R68" s="65">
        <f t="shared" si="65"/>
        <v>889.53835199051082</v>
      </c>
      <c r="S68" s="65">
        <f t="shared" si="65"/>
        <v>977.06642054579322</v>
      </c>
      <c r="T68" s="65">
        <f t="shared" si="65"/>
        <v>1074.1956914256416</v>
      </c>
      <c r="U68" s="65">
        <f t="shared" si="65"/>
        <v>1167.3059846887081</v>
      </c>
      <c r="V68" s="65">
        <f t="shared" si="65"/>
        <v>1228.3400277638571</v>
      </c>
      <c r="W68" s="65">
        <f t="shared" si="65"/>
        <v>1281.97284658994</v>
      </c>
      <c r="X68" s="65">
        <f t="shared" si="65"/>
        <v>1104.9159318077661</v>
      </c>
      <c r="Y68" s="65">
        <f t="shared" si="65"/>
        <v>747.13796615622255</v>
      </c>
      <c r="Z68" s="65">
        <f t="shared" si="65"/>
        <v>501.8472788185004</v>
      </c>
      <c r="AA68" s="65">
        <f t="shared" ref="AA68:AL68" si="66">AA60</f>
        <v>421.49728086520219</v>
      </c>
      <c r="AB68" s="65">
        <f t="shared" si="66"/>
        <v>482.85365810425276</v>
      </c>
      <c r="AC68" s="65">
        <f t="shared" si="66"/>
        <v>549.57402998961106</v>
      </c>
      <c r="AD68" s="65">
        <f t="shared" si="66"/>
        <v>626.79685209860406</v>
      </c>
      <c r="AE68" s="65">
        <f t="shared" si="66"/>
        <v>734.85166912464047</v>
      </c>
      <c r="AF68" s="65">
        <f t="shared" si="66"/>
        <v>851.73699815517068</v>
      </c>
      <c r="AG68" s="65">
        <f t="shared" si="66"/>
        <v>999.27514329943438</v>
      </c>
      <c r="AH68" s="65">
        <f t="shared" si="66"/>
        <v>1166.581911815689</v>
      </c>
      <c r="AI68" s="65">
        <f t="shared" si="66"/>
        <v>1292.3375784067052</v>
      </c>
      <c r="AJ68" s="65">
        <f t="shared" si="66"/>
        <v>1422.6670146892966</v>
      </c>
      <c r="AK68" s="65">
        <f t="shared" si="66"/>
        <v>1593.7431453822519</v>
      </c>
      <c r="AL68" s="65">
        <f t="shared" si="66"/>
        <v>1869.5460409187751</v>
      </c>
      <c r="AM68" s="310">
        <f>AM60</f>
        <v>2089.0349273291999</v>
      </c>
      <c r="AN68" s="310">
        <f t="shared" ref="AN68:AX68" si="67">AN60</f>
        <v>2218.6272280750777</v>
      </c>
      <c r="AO68" s="310">
        <f t="shared" si="67"/>
        <v>2393.6131460775691</v>
      </c>
      <c r="AP68" s="310">
        <f t="shared" si="67"/>
        <v>2570.5809801393434</v>
      </c>
      <c r="AQ68" s="310">
        <f t="shared" si="67"/>
        <v>2744.2191853014642</v>
      </c>
      <c r="AR68" s="310">
        <f t="shared" si="67"/>
        <v>2865.1989300758128</v>
      </c>
      <c r="AS68" s="310">
        <f t="shared" si="67"/>
        <v>2962.2304301217691</v>
      </c>
      <c r="AT68" s="310">
        <f t="shared" si="67"/>
        <v>3092.693522338368</v>
      </c>
      <c r="AU68" s="310">
        <f t="shared" si="67"/>
        <v>3248.4760000312735</v>
      </c>
      <c r="AV68" s="310">
        <f t="shared" si="67"/>
        <v>3413.2224180276912</v>
      </c>
      <c r="AW68" s="310">
        <f t="shared" si="67"/>
        <v>3580.1586272539066</v>
      </c>
      <c r="AX68" s="310">
        <f t="shared" si="67"/>
        <v>3777.5319661914809</v>
      </c>
    </row>
    <row r="69" spans="1:50">
      <c r="A69" s="72">
        <v>61</v>
      </c>
      <c r="B69" s="61" t="s">
        <v>112</v>
      </c>
      <c r="C69" s="66"/>
      <c r="D69" s="66"/>
      <c r="E69" s="66">
        <f t="shared" ref="E69:N69" si="68">E67+E68</f>
        <v>642.06584513755547</v>
      </c>
      <c r="F69" s="66">
        <f t="shared" si="68"/>
        <v>733.35355708335146</v>
      </c>
      <c r="G69" s="66">
        <f t="shared" si="68"/>
        <v>849.06681052480963</v>
      </c>
      <c r="H69" s="66">
        <f t="shared" si="68"/>
        <v>1033.1198980218207</v>
      </c>
      <c r="I69" s="66">
        <f t="shared" si="68"/>
        <v>1219.7220967723272</v>
      </c>
      <c r="J69" s="66">
        <f t="shared" si="68"/>
        <v>1411.3970372870442</v>
      </c>
      <c r="K69" s="66">
        <f t="shared" si="68"/>
        <v>1579.2766631021721</v>
      </c>
      <c r="L69" s="66">
        <f t="shared" si="68"/>
        <v>1769.4941940741937</v>
      </c>
      <c r="M69" s="66">
        <f t="shared" si="68"/>
        <v>1951.2913528798122</v>
      </c>
      <c r="N69" s="66">
        <f t="shared" si="68"/>
        <v>2181.0113625977342</v>
      </c>
      <c r="O69" s="66">
        <f t="shared" ref="O69:Z69" si="69">O67+O68</f>
        <v>2359.2341213066666</v>
      </c>
      <c r="P69" s="66">
        <f t="shared" si="69"/>
        <v>2402.3207812112232</v>
      </c>
      <c r="Q69" s="66">
        <f t="shared" si="69"/>
        <v>2531.1692691645394</v>
      </c>
      <c r="R69" s="66">
        <f t="shared" si="69"/>
        <v>2760.353363284552</v>
      </c>
      <c r="S69" s="66">
        <f t="shared" si="69"/>
        <v>3031.9643691606461</v>
      </c>
      <c r="T69" s="66">
        <f t="shared" si="69"/>
        <v>3333.3691372482349</v>
      </c>
      <c r="U69" s="66">
        <f t="shared" si="69"/>
        <v>3622.3024960655384</v>
      </c>
      <c r="V69" s="66">
        <f t="shared" si="69"/>
        <v>3811.6990372145287</v>
      </c>
      <c r="W69" s="66">
        <f t="shared" si="69"/>
        <v>3978.1286796146414</v>
      </c>
      <c r="X69" s="66">
        <f t="shared" si="69"/>
        <v>3428.6977101678085</v>
      </c>
      <c r="Y69" s="66">
        <f t="shared" si="69"/>
        <v>2318.4661998706038</v>
      </c>
      <c r="Z69" s="66">
        <f t="shared" si="69"/>
        <v>1557.2973162934363</v>
      </c>
      <c r="AA69" s="66">
        <f t="shared" ref="AA69:AL69" si="70">AA67+AA68</f>
        <v>1306.2648858177292</v>
      </c>
      <c r="AB69" s="66">
        <f t="shared" si="70"/>
        <v>1496.4126002171024</v>
      </c>
      <c r="AC69" s="66">
        <f t="shared" si="70"/>
        <v>1703.1887892227321</v>
      </c>
      <c r="AD69" s="66">
        <f t="shared" si="70"/>
        <v>1942.5076494051705</v>
      </c>
      <c r="AE69" s="66">
        <f t="shared" si="70"/>
        <v>2277.3806618934586</v>
      </c>
      <c r="AF69" s="66">
        <f t="shared" si="70"/>
        <v>2613.0047366004342</v>
      </c>
      <c r="AG69" s="66">
        <f t="shared" si="70"/>
        <v>3065.6223393745831</v>
      </c>
      <c r="AH69" s="66">
        <f t="shared" si="70"/>
        <v>3578.9027375913884</v>
      </c>
      <c r="AI69" s="66">
        <f t="shared" si="70"/>
        <v>3964.7049788588301</v>
      </c>
      <c r="AJ69" s="66">
        <f t="shared" si="70"/>
        <v>4364.5369346540865</v>
      </c>
      <c r="AK69" s="66">
        <f t="shared" si="70"/>
        <v>4889.3703985961165</v>
      </c>
      <c r="AL69" s="66">
        <f t="shared" si="70"/>
        <v>5735.4844218005528</v>
      </c>
      <c r="AM69" s="446">
        <f t="shared" ref="AM69:AX69" si="71">AM67+AM68</f>
        <v>6365.1573590107655</v>
      </c>
      <c r="AN69" s="446">
        <f t="shared" si="71"/>
        <v>6760.018646875822</v>
      </c>
      <c r="AO69" s="446">
        <f t="shared" si="71"/>
        <v>7293.1902419412527</v>
      </c>
      <c r="AP69" s="446">
        <f t="shared" si="71"/>
        <v>7832.3985520704127</v>
      </c>
      <c r="AQ69" s="446">
        <f t="shared" si="71"/>
        <v>8361.4632134521871</v>
      </c>
      <c r="AR69" s="446">
        <f t="shared" si="71"/>
        <v>8730.0756279053894</v>
      </c>
      <c r="AS69" s="446">
        <f t="shared" si="71"/>
        <v>9025.7263711499036</v>
      </c>
      <c r="AT69" s="446">
        <f t="shared" si="71"/>
        <v>9423.2379203396013</v>
      </c>
      <c r="AU69" s="446">
        <f t="shared" si="71"/>
        <v>9897.8984650179045</v>
      </c>
      <c r="AV69" s="446">
        <f t="shared" si="71"/>
        <v>10399.867800166388</v>
      </c>
      <c r="AW69" s="446">
        <f t="shared" si="71"/>
        <v>10908.512376607032</v>
      </c>
      <c r="AX69" s="446">
        <f t="shared" si="71"/>
        <v>11509.896032543547</v>
      </c>
    </row>
    <row r="70" spans="1:50">
      <c r="AM70" s="344"/>
      <c r="AN70" s="344"/>
      <c r="AO70" s="344"/>
      <c r="AP70" s="344"/>
      <c r="AQ70" s="344"/>
      <c r="AR70" s="344"/>
      <c r="AS70" s="344"/>
      <c r="AT70" s="344"/>
      <c r="AU70" s="344"/>
      <c r="AV70" s="344"/>
      <c r="AW70" s="344"/>
      <c r="AX70" s="344"/>
    </row>
    <row r="71" spans="1:50">
      <c r="AM71" s="344"/>
      <c r="AN71" s="344"/>
      <c r="AO71" s="344"/>
      <c r="AP71" s="344"/>
      <c r="AQ71" s="344"/>
      <c r="AR71" s="344"/>
      <c r="AS71" s="344"/>
      <c r="AT71" s="344"/>
      <c r="AU71" s="344"/>
      <c r="AV71" s="344"/>
      <c r="AW71" s="344"/>
      <c r="AX71" s="344"/>
    </row>
    <row r="72" spans="1:50">
      <c r="AM72" s="344"/>
      <c r="AN72" s="344"/>
      <c r="AO72" s="344"/>
      <c r="AP72" s="344"/>
      <c r="AQ72" s="344"/>
      <c r="AR72" s="344"/>
      <c r="AS72" s="344"/>
      <c r="AT72" s="344"/>
      <c r="AU72" s="344"/>
      <c r="AV72" s="344"/>
      <c r="AW72" s="344"/>
      <c r="AX72" s="344"/>
    </row>
    <row r="73" spans="1:50">
      <c r="AM73" s="344"/>
      <c r="AN73" s="344"/>
      <c r="AO73" s="344"/>
      <c r="AP73" s="344"/>
      <c r="AQ73" s="344"/>
      <c r="AR73" s="344"/>
      <c r="AS73" s="344"/>
      <c r="AT73" s="344"/>
      <c r="AU73" s="344"/>
      <c r="AV73" s="344"/>
      <c r="AW73" s="344"/>
      <c r="AX73" s="344"/>
    </row>
  </sheetData>
  <mergeCells count="24">
    <mergeCell ref="AA3:AL3"/>
    <mergeCell ref="AA4:AL4"/>
    <mergeCell ref="AA5:AL5"/>
    <mergeCell ref="AM1:AX1"/>
    <mergeCell ref="AM2:AX2"/>
    <mergeCell ref="AM3:AX3"/>
    <mergeCell ref="AM4:AX4"/>
    <mergeCell ref="AM5:AX5"/>
    <mergeCell ref="AM16:AX16"/>
    <mergeCell ref="AA16:AL16"/>
    <mergeCell ref="C16:N16"/>
    <mergeCell ref="O16:Z16"/>
    <mergeCell ref="E1:N1"/>
    <mergeCell ref="E2:N2"/>
    <mergeCell ref="E3:N3"/>
    <mergeCell ref="E4:N4"/>
    <mergeCell ref="E5:N5"/>
    <mergeCell ref="O1:Z1"/>
    <mergeCell ref="O2:Z2"/>
    <mergeCell ref="O3:Z3"/>
    <mergeCell ref="O4:Z4"/>
    <mergeCell ref="O5:Z5"/>
    <mergeCell ref="AA1:AL1"/>
    <mergeCell ref="AA2:AL2"/>
  </mergeCells>
  <phoneticPr fontId="4" type="noConversion"/>
  <printOptions horizontalCentered="1"/>
  <pageMargins left="0.75" right="0.75" top="0.32" bottom="0.43" header="0.25" footer="0.23"/>
  <pageSetup scale="50" fitToWidth="0" orientation="portrait" r:id="rId1"/>
  <headerFooter alignWithMargins="0">
    <oddHeader>&amp;RTO9 Annual Update
Attachment 4
WP-Schedule 3-CWIPBA Model
Page &amp;P of &amp;N</oddHeader>
    <oddFooter>&amp;R&amp;A</oddFooter>
  </headerFooter>
  <rowBreaks count="1" manualBreakCount="1">
    <brk id="72" max="13" man="1"/>
  </rowBreaks>
  <colBreaks count="3" manualBreakCount="3">
    <brk id="14" min="7" max="68" man="1"/>
    <brk id="26" min="7" max="68" man="1"/>
    <brk id="38" min="7" max="68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4"/>
  </sheetPr>
  <dimension ref="A1:AX73"/>
  <sheetViews>
    <sheetView topLeftCell="AM1" zoomScaleNormal="100" workbookViewId="0">
      <selection activeCell="AM1" sqref="AM1:AX1"/>
    </sheetView>
  </sheetViews>
  <sheetFormatPr defaultRowHeight="12.75"/>
  <cols>
    <col min="1" max="1" width="5.28515625" style="74" customWidth="1"/>
    <col min="2" max="2" width="52.85546875" customWidth="1"/>
    <col min="3" max="3" width="7.42578125" customWidth="1"/>
    <col min="4" max="4" width="8.28515625" customWidth="1"/>
    <col min="5" max="5" width="9.28515625" customWidth="1" collapsed="1"/>
    <col min="6" max="8" width="9.28515625" customWidth="1"/>
    <col min="9" max="18" width="10.28515625" customWidth="1"/>
    <col min="19" max="25" width="9.140625" customWidth="1"/>
    <col min="26" max="26" width="9.42578125" bestFit="1" customWidth="1"/>
    <col min="27" max="27" width="9.28515625" bestFit="1" customWidth="1" collapsed="1"/>
    <col min="28" max="34" width="9.28515625" bestFit="1" customWidth="1"/>
    <col min="35" max="35" width="10" bestFit="1" customWidth="1"/>
    <col min="36" max="37" width="9.28515625" bestFit="1" customWidth="1"/>
    <col min="38" max="38" width="9.42578125" bestFit="1" customWidth="1"/>
    <col min="39" max="46" width="9.28515625" bestFit="1" customWidth="1"/>
    <col min="47" max="47" width="10" bestFit="1" customWidth="1"/>
    <col min="48" max="49" width="9.28515625" bestFit="1" customWidth="1"/>
    <col min="50" max="50" width="9.140625" customWidth="1"/>
  </cols>
  <sheetData>
    <row r="1" spans="1:50" ht="15.75" customHeight="1">
      <c r="A1" s="597"/>
      <c r="B1" s="597"/>
      <c r="C1" s="628" t="s">
        <v>0</v>
      </c>
      <c r="D1" s="628"/>
      <c r="E1" s="628"/>
      <c r="F1" s="628"/>
      <c r="G1" s="628"/>
      <c r="H1" s="628"/>
      <c r="I1" s="628"/>
      <c r="J1" s="628"/>
      <c r="K1" s="628"/>
      <c r="L1" s="628"/>
      <c r="M1" s="628"/>
      <c r="N1" s="628"/>
      <c r="O1" s="628" t="s">
        <v>0</v>
      </c>
      <c r="P1" s="628"/>
      <c r="Q1" s="628"/>
      <c r="R1" s="628"/>
      <c r="S1" s="628"/>
      <c r="T1" s="628"/>
      <c r="U1" s="628"/>
      <c r="V1" s="628"/>
      <c r="W1" s="628"/>
      <c r="X1" s="628"/>
      <c r="Y1" s="628"/>
      <c r="Z1" s="628"/>
      <c r="AA1" s="628" t="s">
        <v>0</v>
      </c>
      <c r="AB1" s="628"/>
      <c r="AC1" s="628"/>
      <c r="AD1" s="628"/>
      <c r="AE1" s="628"/>
      <c r="AF1" s="628"/>
      <c r="AG1" s="628"/>
      <c r="AH1" s="628"/>
      <c r="AI1" s="628"/>
      <c r="AJ1" s="628"/>
      <c r="AK1" s="628"/>
      <c r="AL1" s="628"/>
      <c r="AM1" s="628" t="s">
        <v>0</v>
      </c>
      <c r="AN1" s="628"/>
      <c r="AO1" s="628"/>
      <c r="AP1" s="628"/>
      <c r="AQ1" s="628"/>
      <c r="AR1" s="628"/>
      <c r="AS1" s="628"/>
      <c r="AT1" s="628"/>
      <c r="AU1" s="628"/>
      <c r="AV1" s="628"/>
      <c r="AW1" s="628"/>
      <c r="AX1" s="628"/>
    </row>
    <row r="2" spans="1:50" ht="15" customHeight="1">
      <c r="A2" s="598"/>
      <c r="B2" s="598"/>
      <c r="C2" s="626" t="s">
        <v>6</v>
      </c>
      <c r="D2" s="626"/>
      <c r="E2" s="626"/>
      <c r="F2" s="626"/>
      <c r="G2" s="626"/>
      <c r="H2" s="626"/>
      <c r="I2" s="626"/>
      <c r="J2" s="626"/>
      <c r="K2" s="626"/>
      <c r="L2" s="626"/>
      <c r="M2" s="626"/>
      <c r="N2" s="626"/>
      <c r="O2" s="626" t="s">
        <v>6</v>
      </c>
      <c r="P2" s="626"/>
      <c r="Q2" s="626"/>
      <c r="R2" s="626"/>
      <c r="S2" s="626"/>
      <c r="T2" s="626"/>
      <c r="U2" s="626"/>
      <c r="V2" s="626"/>
      <c r="W2" s="626"/>
      <c r="X2" s="626"/>
      <c r="Y2" s="626"/>
      <c r="Z2" s="626"/>
      <c r="AA2" s="626" t="s">
        <v>6</v>
      </c>
      <c r="AB2" s="626"/>
      <c r="AC2" s="626"/>
      <c r="AD2" s="626"/>
      <c r="AE2" s="626"/>
      <c r="AF2" s="626"/>
      <c r="AG2" s="626"/>
      <c r="AH2" s="626"/>
      <c r="AI2" s="626"/>
      <c r="AJ2" s="626"/>
      <c r="AK2" s="626"/>
      <c r="AL2" s="626"/>
      <c r="AM2" s="626" t="s">
        <v>6</v>
      </c>
      <c r="AN2" s="626"/>
      <c r="AO2" s="626"/>
      <c r="AP2" s="626"/>
      <c r="AQ2" s="626"/>
      <c r="AR2" s="626"/>
      <c r="AS2" s="626"/>
      <c r="AT2" s="626"/>
      <c r="AU2" s="626"/>
      <c r="AV2" s="626"/>
      <c r="AW2" s="626"/>
      <c r="AX2" s="626"/>
    </row>
    <row r="3" spans="1:50" ht="15" customHeight="1">
      <c r="A3" s="603"/>
      <c r="B3" s="603"/>
      <c r="C3" s="642" t="s">
        <v>37</v>
      </c>
      <c r="D3" s="642"/>
      <c r="E3" s="642"/>
      <c r="F3" s="642"/>
      <c r="G3" s="642"/>
      <c r="H3" s="642"/>
      <c r="I3" s="642"/>
      <c r="J3" s="642"/>
      <c r="K3" s="642"/>
      <c r="L3" s="642"/>
      <c r="M3" s="642"/>
      <c r="N3" s="642"/>
      <c r="O3" s="642" t="s">
        <v>193</v>
      </c>
      <c r="P3" s="642"/>
      <c r="Q3" s="642"/>
      <c r="R3" s="642"/>
      <c r="S3" s="642"/>
      <c r="T3" s="642"/>
      <c r="U3" s="642"/>
      <c r="V3" s="642"/>
      <c r="W3" s="642"/>
      <c r="X3" s="642"/>
      <c r="Y3" s="642"/>
      <c r="Z3" s="642"/>
      <c r="AA3" s="642" t="s">
        <v>231</v>
      </c>
      <c r="AB3" s="642"/>
      <c r="AC3" s="642"/>
      <c r="AD3" s="642"/>
      <c r="AE3" s="642"/>
      <c r="AF3" s="642"/>
      <c r="AG3" s="642"/>
      <c r="AH3" s="642"/>
      <c r="AI3" s="642"/>
      <c r="AJ3" s="642"/>
      <c r="AK3" s="642"/>
      <c r="AL3" s="642"/>
      <c r="AM3" s="642" t="s">
        <v>274</v>
      </c>
      <c r="AN3" s="642"/>
      <c r="AO3" s="642"/>
      <c r="AP3" s="642"/>
      <c r="AQ3" s="642"/>
      <c r="AR3" s="642"/>
      <c r="AS3" s="642"/>
      <c r="AT3" s="642"/>
      <c r="AU3" s="642"/>
      <c r="AV3" s="642"/>
      <c r="AW3" s="642"/>
      <c r="AX3" s="642"/>
    </row>
    <row r="4" spans="1:50">
      <c r="A4" s="596"/>
      <c r="B4" s="596"/>
      <c r="C4" s="627" t="s">
        <v>1</v>
      </c>
      <c r="D4" s="627"/>
      <c r="E4" s="627"/>
      <c r="F4" s="627"/>
      <c r="G4" s="627"/>
      <c r="H4" s="627"/>
      <c r="I4" s="627"/>
      <c r="J4" s="627"/>
      <c r="K4" s="627"/>
      <c r="L4" s="627"/>
      <c r="M4" s="627"/>
      <c r="N4" s="627"/>
      <c r="O4" s="627" t="s">
        <v>1</v>
      </c>
      <c r="P4" s="627"/>
      <c r="Q4" s="627"/>
      <c r="R4" s="627"/>
      <c r="S4" s="627"/>
      <c r="T4" s="627"/>
      <c r="U4" s="627"/>
      <c r="V4" s="627"/>
      <c r="W4" s="627"/>
      <c r="X4" s="627"/>
      <c r="Y4" s="627"/>
      <c r="Z4" s="627"/>
      <c r="AA4" s="627" t="s">
        <v>1</v>
      </c>
      <c r="AB4" s="627"/>
      <c r="AC4" s="627"/>
      <c r="AD4" s="627"/>
      <c r="AE4" s="627"/>
      <c r="AF4" s="627"/>
      <c r="AG4" s="627"/>
      <c r="AH4" s="627"/>
      <c r="AI4" s="627"/>
      <c r="AJ4" s="627"/>
      <c r="AK4" s="627"/>
      <c r="AL4" s="627"/>
      <c r="AM4" s="627" t="s">
        <v>1</v>
      </c>
      <c r="AN4" s="627"/>
      <c r="AO4" s="627"/>
      <c r="AP4" s="627"/>
      <c r="AQ4" s="627"/>
      <c r="AR4" s="627"/>
      <c r="AS4" s="627"/>
      <c r="AT4" s="627"/>
      <c r="AU4" s="627"/>
      <c r="AV4" s="627"/>
      <c r="AW4" s="627"/>
      <c r="AX4" s="627"/>
    </row>
    <row r="5" spans="1:50" ht="15.75" customHeight="1">
      <c r="A5" s="597"/>
      <c r="B5" s="597"/>
      <c r="C5" s="628" t="s">
        <v>7</v>
      </c>
      <c r="D5" s="628"/>
      <c r="E5" s="628"/>
      <c r="F5" s="628"/>
      <c r="G5" s="628"/>
      <c r="H5" s="628"/>
      <c r="I5" s="628"/>
      <c r="J5" s="628"/>
      <c r="K5" s="628"/>
      <c r="L5" s="628"/>
      <c r="M5" s="628"/>
      <c r="N5" s="628"/>
      <c r="O5" s="628" t="s">
        <v>7</v>
      </c>
      <c r="P5" s="628"/>
      <c r="Q5" s="628"/>
      <c r="R5" s="628"/>
      <c r="S5" s="628"/>
      <c r="T5" s="628"/>
      <c r="U5" s="628"/>
      <c r="V5" s="628"/>
      <c r="W5" s="628"/>
      <c r="X5" s="628"/>
      <c r="Y5" s="628"/>
      <c r="Z5" s="628"/>
      <c r="AA5" s="628" t="s">
        <v>7</v>
      </c>
      <c r="AB5" s="628"/>
      <c r="AC5" s="628"/>
      <c r="AD5" s="628"/>
      <c r="AE5" s="628"/>
      <c r="AF5" s="628"/>
      <c r="AG5" s="628"/>
      <c r="AH5" s="628"/>
      <c r="AI5" s="628"/>
      <c r="AJ5" s="628"/>
      <c r="AK5" s="628"/>
      <c r="AL5" s="628"/>
      <c r="AM5" s="628" t="s">
        <v>7</v>
      </c>
      <c r="AN5" s="628"/>
      <c r="AO5" s="628"/>
      <c r="AP5" s="628"/>
      <c r="AQ5" s="628"/>
      <c r="AR5" s="628"/>
      <c r="AS5" s="628"/>
      <c r="AT5" s="628"/>
      <c r="AU5" s="628"/>
      <c r="AV5" s="628"/>
      <c r="AW5" s="628"/>
      <c r="AX5" s="628"/>
    </row>
    <row r="6" spans="1:50">
      <c r="A6" s="72"/>
    </row>
    <row r="7" spans="1:50">
      <c r="A7" s="72"/>
    </row>
    <row r="8" spans="1:50">
      <c r="A8" s="75" t="s">
        <v>2</v>
      </c>
      <c r="B8" s="3"/>
    </row>
    <row r="9" spans="1:50">
      <c r="A9" s="72">
        <v>1</v>
      </c>
      <c r="B9" s="67" t="s">
        <v>110</v>
      </c>
    </row>
    <row r="10" spans="1:50">
      <c r="A10" s="73">
        <v>2</v>
      </c>
      <c r="B10" t="s">
        <v>61</v>
      </c>
    </row>
    <row r="11" spans="1:50" ht="15.75">
      <c r="A11" s="72">
        <v>3</v>
      </c>
      <c r="B11" s="1" t="s">
        <v>96</v>
      </c>
    </row>
    <row r="12" spans="1:50">
      <c r="A12" s="73">
        <v>4</v>
      </c>
    </row>
    <row r="13" spans="1:50">
      <c r="A13" s="72">
        <v>5</v>
      </c>
      <c r="B13" s="64" t="s">
        <v>62</v>
      </c>
    </row>
    <row r="14" spans="1:50" ht="15.75">
      <c r="A14" s="73">
        <v>6</v>
      </c>
      <c r="B14" s="1" t="s">
        <v>66</v>
      </c>
    </row>
    <row r="15" spans="1:50">
      <c r="A15" s="72">
        <v>7</v>
      </c>
      <c r="B15" s="64"/>
    </row>
    <row r="16" spans="1:50" ht="15.75">
      <c r="A16" s="73">
        <v>8</v>
      </c>
      <c r="B16" s="81" t="s">
        <v>97</v>
      </c>
      <c r="C16" s="631">
        <v>2008</v>
      </c>
      <c r="D16" s="632"/>
      <c r="E16" s="632"/>
      <c r="F16" s="632"/>
      <c r="G16" s="632"/>
      <c r="H16" s="632"/>
      <c r="I16" s="632"/>
      <c r="J16" s="632"/>
      <c r="K16" s="632"/>
      <c r="L16" s="632"/>
      <c r="M16" s="632"/>
      <c r="N16" s="633"/>
      <c r="O16" s="631">
        <v>2009</v>
      </c>
      <c r="P16" s="632"/>
      <c r="Q16" s="632"/>
      <c r="R16" s="632"/>
      <c r="S16" s="632"/>
      <c r="T16" s="632"/>
      <c r="U16" s="632"/>
      <c r="V16" s="632"/>
      <c r="W16" s="632"/>
      <c r="X16" s="632"/>
      <c r="Y16" s="632"/>
      <c r="Z16" s="633"/>
      <c r="AA16" s="631">
        <v>2010</v>
      </c>
      <c r="AB16" s="632"/>
      <c r="AC16" s="632"/>
      <c r="AD16" s="632"/>
      <c r="AE16" s="632"/>
      <c r="AF16" s="632"/>
      <c r="AG16" s="632"/>
      <c r="AH16" s="632"/>
      <c r="AI16" s="632"/>
      <c r="AJ16" s="632"/>
      <c r="AK16" s="632"/>
      <c r="AL16" s="633"/>
      <c r="AM16" s="631">
        <v>2011</v>
      </c>
      <c r="AN16" s="632"/>
      <c r="AO16" s="632"/>
      <c r="AP16" s="632"/>
      <c r="AQ16" s="632"/>
      <c r="AR16" s="632"/>
      <c r="AS16" s="632"/>
      <c r="AT16" s="632"/>
      <c r="AU16" s="632"/>
      <c r="AV16" s="632"/>
      <c r="AW16" s="632"/>
      <c r="AX16" s="633"/>
    </row>
    <row r="17" spans="1:50" ht="21" thickBot="1">
      <c r="A17" s="72">
        <v>9</v>
      </c>
      <c r="B17" s="102" t="s">
        <v>329</v>
      </c>
      <c r="C17" s="119" t="s">
        <v>100</v>
      </c>
      <c r="D17" s="119" t="s">
        <v>76</v>
      </c>
      <c r="E17" s="119" t="s">
        <v>77</v>
      </c>
      <c r="F17" s="119" t="s">
        <v>78</v>
      </c>
      <c r="G17" s="119" t="s">
        <v>75</v>
      </c>
      <c r="H17" s="119" t="s">
        <v>79</v>
      </c>
      <c r="I17" s="119" t="s">
        <v>80</v>
      </c>
      <c r="J17" s="119" t="s">
        <v>81</v>
      </c>
      <c r="K17" s="119" t="s">
        <v>82</v>
      </c>
      <c r="L17" s="119" t="s">
        <v>83</v>
      </c>
      <c r="M17" s="119" t="s">
        <v>84</v>
      </c>
      <c r="N17" s="119" t="s">
        <v>101</v>
      </c>
      <c r="O17" s="119" t="s">
        <v>100</v>
      </c>
      <c r="P17" s="119" t="s">
        <v>76</v>
      </c>
      <c r="Q17" s="119" t="s">
        <v>77</v>
      </c>
      <c r="R17" s="119" t="s">
        <v>78</v>
      </c>
      <c r="S17" s="119" t="s">
        <v>75</v>
      </c>
      <c r="T17" s="119" t="s">
        <v>79</v>
      </c>
      <c r="U17" s="119" t="s">
        <v>80</v>
      </c>
      <c r="V17" s="119" t="s">
        <v>81</v>
      </c>
      <c r="W17" s="119" t="s">
        <v>82</v>
      </c>
      <c r="X17" s="119" t="s">
        <v>83</v>
      </c>
      <c r="Y17" s="119" t="s">
        <v>84</v>
      </c>
      <c r="Z17" s="119" t="s">
        <v>101</v>
      </c>
      <c r="AA17" s="260" t="s">
        <v>100</v>
      </c>
      <c r="AB17" s="119" t="s">
        <v>76</v>
      </c>
      <c r="AC17" s="119" t="s">
        <v>77</v>
      </c>
      <c r="AD17" s="119" t="s">
        <v>78</v>
      </c>
      <c r="AE17" s="119" t="s">
        <v>75</v>
      </c>
      <c r="AF17" s="119" t="s">
        <v>79</v>
      </c>
      <c r="AG17" s="119" t="s">
        <v>80</v>
      </c>
      <c r="AH17" s="119" t="s">
        <v>81</v>
      </c>
      <c r="AI17" s="119" t="s">
        <v>82</v>
      </c>
      <c r="AJ17" s="119" t="s">
        <v>83</v>
      </c>
      <c r="AK17" s="119" t="s">
        <v>84</v>
      </c>
      <c r="AL17" s="119" t="s">
        <v>101</v>
      </c>
      <c r="AM17" s="260" t="s">
        <v>100</v>
      </c>
      <c r="AN17" s="119" t="s">
        <v>76</v>
      </c>
      <c r="AO17" s="119" t="s">
        <v>77</v>
      </c>
      <c r="AP17" s="119" t="s">
        <v>78</v>
      </c>
      <c r="AQ17" s="119" t="s">
        <v>75</v>
      </c>
      <c r="AR17" s="119" t="s">
        <v>79</v>
      </c>
      <c r="AS17" s="119" t="s">
        <v>80</v>
      </c>
      <c r="AT17" s="119" t="s">
        <v>81</v>
      </c>
      <c r="AU17" s="119" t="s">
        <v>82</v>
      </c>
      <c r="AV17" s="119" t="s">
        <v>83</v>
      </c>
      <c r="AW17" s="119" t="s">
        <v>84</v>
      </c>
      <c r="AX17" s="119" t="s">
        <v>101</v>
      </c>
    </row>
    <row r="18" spans="1:50" ht="34.5" customHeight="1" thickTop="1">
      <c r="A18" s="73">
        <v>10</v>
      </c>
      <c r="B18" s="52" t="s">
        <v>17</v>
      </c>
      <c r="C18" s="4"/>
    </row>
    <row r="19" spans="1:50">
      <c r="A19" s="72">
        <v>11</v>
      </c>
      <c r="B19" s="5" t="s">
        <v>146</v>
      </c>
      <c r="C19" s="7"/>
      <c r="D19" s="7"/>
      <c r="E19" s="164">
        <f>'Rancho Vista CWIP Balance'!E17+'Def Tax'!F502</f>
        <v>32412.308204956902</v>
      </c>
      <c r="F19" s="164">
        <f>E20</f>
        <v>66759.774533455202</v>
      </c>
      <c r="G19" s="164">
        <f>F20</f>
        <v>72652.643229147303</v>
      </c>
      <c r="H19" s="164">
        <f t="shared" ref="H19:N19" si="0">IF(H20=0,0,G20)</f>
        <v>76301.1482935854</v>
      </c>
      <c r="I19" s="164">
        <f t="shared" si="0"/>
        <v>101764.62141859853</v>
      </c>
      <c r="J19" s="164">
        <f t="shared" si="0"/>
        <v>143822.92314556596</v>
      </c>
      <c r="K19" s="164">
        <f t="shared" si="0"/>
        <v>119219.98997031359</v>
      </c>
      <c r="L19" s="164">
        <f t="shared" si="0"/>
        <v>121414.58045019324</v>
      </c>
      <c r="M19" s="164">
        <f t="shared" si="0"/>
        <v>125541.38063900561</v>
      </c>
      <c r="N19" s="164">
        <f t="shared" si="0"/>
        <v>139637.55510994248</v>
      </c>
      <c r="O19" s="164">
        <f t="shared" ref="O19:Z19" si="1">IF(O20=0,0,N20)</f>
        <v>153167.3121799425</v>
      </c>
      <c r="P19" s="164">
        <f t="shared" si="1"/>
        <v>156004.7747560883</v>
      </c>
      <c r="Q19" s="164">
        <f t="shared" si="1"/>
        <v>161957.76351729577</v>
      </c>
      <c r="R19" s="164">
        <f t="shared" si="1"/>
        <v>162538.22165157201</v>
      </c>
      <c r="S19" s="164">
        <f t="shared" si="1"/>
        <v>0</v>
      </c>
      <c r="T19" s="164">
        <f t="shared" si="1"/>
        <v>0</v>
      </c>
      <c r="U19" s="164">
        <f t="shared" si="1"/>
        <v>0</v>
      </c>
      <c r="V19" s="164">
        <f t="shared" si="1"/>
        <v>0</v>
      </c>
      <c r="W19" s="164">
        <f t="shared" si="1"/>
        <v>0</v>
      </c>
      <c r="X19" s="164">
        <f t="shared" si="1"/>
        <v>0</v>
      </c>
      <c r="Y19" s="164">
        <f t="shared" si="1"/>
        <v>0</v>
      </c>
      <c r="Z19" s="164">
        <f t="shared" si="1"/>
        <v>0</v>
      </c>
      <c r="AA19" s="164">
        <f t="shared" ref="AA19:AL19" si="2">IF(AA20=0,0,Z20)</f>
        <v>0</v>
      </c>
      <c r="AB19" s="164">
        <f t="shared" si="2"/>
        <v>0</v>
      </c>
      <c r="AC19" s="164">
        <f t="shared" si="2"/>
        <v>0</v>
      </c>
      <c r="AD19" s="164">
        <f t="shared" si="2"/>
        <v>0</v>
      </c>
      <c r="AE19" s="164">
        <f t="shared" si="2"/>
        <v>0</v>
      </c>
      <c r="AF19" s="164">
        <f t="shared" si="2"/>
        <v>0</v>
      </c>
      <c r="AG19" s="164">
        <f t="shared" si="2"/>
        <v>0</v>
      </c>
      <c r="AH19" s="164">
        <f t="shared" si="2"/>
        <v>0</v>
      </c>
      <c r="AI19" s="164">
        <f t="shared" si="2"/>
        <v>0</v>
      </c>
      <c r="AJ19" s="164">
        <f t="shared" si="2"/>
        <v>0</v>
      </c>
      <c r="AK19" s="164">
        <f t="shared" si="2"/>
        <v>0</v>
      </c>
      <c r="AL19" s="164">
        <f t="shared" si="2"/>
        <v>0</v>
      </c>
      <c r="AM19" s="448">
        <f t="shared" ref="AM19" si="3">IF(AM20=0,0,AL20)</f>
        <v>0</v>
      </c>
      <c r="AN19" s="448">
        <f t="shared" ref="AN19" si="4">IF(AN20=0,0,AM20)</f>
        <v>0</v>
      </c>
      <c r="AO19" s="448">
        <f t="shared" ref="AO19" si="5">IF(AO20=0,0,AN20)</f>
        <v>0</v>
      </c>
      <c r="AP19" s="448">
        <f t="shared" ref="AP19" si="6">IF(AP20=0,0,AO20)</f>
        <v>0</v>
      </c>
      <c r="AQ19" s="448">
        <f t="shared" ref="AQ19" si="7">IF(AQ20=0,0,AP20)</f>
        <v>0</v>
      </c>
      <c r="AR19" s="448">
        <f t="shared" ref="AR19" si="8">IF(AR20=0,0,AQ20)</f>
        <v>0</v>
      </c>
      <c r="AS19" s="448">
        <f t="shared" ref="AS19" si="9">IF(AS20=0,0,AR20)</f>
        <v>0</v>
      </c>
      <c r="AT19" s="448">
        <f t="shared" ref="AT19" si="10">IF(AT20=0,0,AS20)</f>
        <v>0</v>
      </c>
      <c r="AU19" s="448">
        <f t="shared" ref="AU19" si="11">IF(AU20=0,0,AT20)</f>
        <v>0</v>
      </c>
      <c r="AV19" s="448">
        <f t="shared" ref="AV19" si="12">IF(AV20=0,0,AU20)</f>
        <v>0</v>
      </c>
      <c r="AW19" s="448">
        <f t="shared" ref="AW19" si="13">IF(AW20=0,0,AV20)</f>
        <v>0</v>
      </c>
      <c r="AX19" s="448">
        <f t="shared" ref="AX19" si="14">IF(AX20=0,0,AW20)</f>
        <v>0</v>
      </c>
    </row>
    <row r="20" spans="1:50">
      <c r="A20" s="73">
        <v>12</v>
      </c>
      <c r="B20" s="5" t="s">
        <v>147</v>
      </c>
      <c r="C20" s="8"/>
      <c r="D20" s="8"/>
      <c r="E20" s="196">
        <f>'Rancho Vista CWIP Balance'!$E$18+'Def Tax'!F503</f>
        <v>66759.774533455202</v>
      </c>
      <c r="F20" s="196">
        <f>'Rancho Vista CWIP Balance'!$E$19+'Def Tax'!F504</f>
        <v>72652.643229147303</v>
      </c>
      <c r="G20" s="196">
        <f>'Rancho Vista CWIP Balance'!$E$20+'Def Tax'!F505</f>
        <v>76301.1482935854</v>
      </c>
      <c r="H20" s="196">
        <f>'Rancho Vista CWIP Balance'!$E$21+'Def Tax'!F506</f>
        <v>101764.62141859853</v>
      </c>
      <c r="I20" s="196">
        <f>'Rancho Vista CWIP Balance'!$E$22+'Def Tax'!F507</f>
        <v>143822.92314556596</v>
      </c>
      <c r="J20" s="317">
        <f>'Rancho Vista CWIP Balance'!$E$23+'Def Tax'!F511</f>
        <v>119219.98997031359</v>
      </c>
      <c r="K20" s="196">
        <f>'Rancho Vista CWIP Balance'!$E$24+'Def Tax'!F513</f>
        <v>121414.58045019324</v>
      </c>
      <c r="L20" s="196">
        <f>'Rancho Vista CWIP Balance'!$E$25+'Def Tax'!F514</f>
        <v>125541.38063900561</v>
      </c>
      <c r="M20" s="196">
        <f>'Rancho Vista CWIP Balance'!$E$26+'Def Tax'!F515</f>
        <v>139637.55510994248</v>
      </c>
      <c r="N20" s="196">
        <f>'Rancho Vista CWIP Balance'!$E$27+'Def Tax'!F516</f>
        <v>153167.3121799425</v>
      </c>
      <c r="O20" s="196">
        <f>'Rancho Vista CWIP Balance'!$E$28+'Def Tax'!F519</f>
        <v>156004.7747560883</v>
      </c>
      <c r="P20" s="196">
        <f>'Rancho Vista CWIP Balance'!$E$29+'Def Tax'!F520</f>
        <v>161957.76351729577</v>
      </c>
      <c r="Q20" s="196">
        <f>'Rancho Vista CWIP Balance'!$E$30+'Def Tax'!F521</f>
        <v>162538.22165157201</v>
      </c>
      <c r="R20" s="196">
        <f>'Rancho Vista CWIP Balance'!$E$31+'Def Tax'!F522</f>
        <v>174729.09004503445</v>
      </c>
      <c r="S20" s="317">
        <f>'Rancho Vista CWIP Balance'!$E$32+'Def Tax'!F526</f>
        <v>0</v>
      </c>
      <c r="T20" s="196">
        <f>'Rancho Vista CWIP Balance'!$E$33+'Def Tax'!F528</f>
        <v>0</v>
      </c>
      <c r="U20" s="196">
        <f>'Rancho Vista CWIP Balance'!$E$34+'Def Tax'!F529</f>
        <v>0</v>
      </c>
      <c r="V20" s="196">
        <f>'Rancho Vista CWIP Balance'!$E$35+'Def Tax'!F530</f>
        <v>0</v>
      </c>
      <c r="W20" s="196">
        <f>'Rancho Vista CWIP Balance'!$E$36+'Def Tax'!F531</f>
        <v>0</v>
      </c>
      <c r="X20" s="196">
        <f>'Rancho Vista CWIP Balance'!$E$37+'Def Tax'!F532</f>
        <v>0</v>
      </c>
      <c r="Y20" s="196">
        <f>'Rancho Vista CWIP Balance'!$E$38+'Def Tax'!F533</f>
        <v>0</v>
      </c>
      <c r="Z20" s="196">
        <f>'Rancho Vista CWIP Balance'!$E$39+'Def Tax'!F534</f>
        <v>0</v>
      </c>
      <c r="AA20" s="196">
        <f>'Rancho Vista CWIP Balance'!$E$40+'Def Tax'!F537</f>
        <v>0</v>
      </c>
      <c r="AB20" s="196">
        <f>'Rancho Vista CWIP Balance'!$E$41+'Def Tax'!F538</f>
        <v>0</v>
      </c>
      <c r="AC20" s="196">
        <f>'Rancho Vista CWIP Balance'!$E$42+'Def Tax'!F539</f>
        <v>0</v>
      </c>
      <c r="AD20" s="196">
        <f>'Rancho Vista CWIP Balance'!$E$43+'Def Tax'!F540</f>
        <v>0</v>
      </c>
      <c r="AE20" s="196">
        <f>'Rancho Vista CWIP Balance'!$E$44+'Def Tax'!F541</f>
        <v>0</v>
      </c>
      <c r="AF20" s="196">
        <f>'Rancho Vista CWIP Balance'!$E$45+'Def Tax'!F542</f>
        <v>0</v>
      </c>
      <c r="AG20" s="196">
        <f>'Rancho Vista CWIP Balance'!$E$46+'Def Tax'!F543</f>
        <v>0</v>
      </c>
      <c r="AH20" s="196">
        <f>'Rancho Vista CWIP Balance'!$E$47+'Def Tax'!F544</f>
        <v>0</v>
      </c>
      <c r="AI20" s="196">
        <f>'Rancho Vista CWIP Balance'!$E$48+'Def Tax'!F545</f>
        <v>0</v>
      </c>
      <c r="AJ20" s="196">
        <f>'Rancho Vista CWIP Balance'!$E$49+'Def Tax'!F546</f>
        <v>0</v>
      </c>
      <c r="AK20" s="196">
        <f>'Rancho Vista CWIP Balance'!$E$50+'Def Tax'!F547</f>
        <v>0</v>
      </c>
      <c r="AL20" s="196">
        <f>'Rancho Vista CWIP Balance'!$E$51+'Def Tax'!$F$548</f>
        <v>0</v>
      </c>
      <c r="AM20" s="317">
        <f>'Rancho Vista CWIP Balance'!$E$52+'Def Tax'!$F$551</f>
        <v>0</v>
      </c>
      <c r="AN20" s="317">
        <f>'Rancho Vista CWIP Balance'!$E$53+'Def Tax'!$F$552</f>
        <v>0</v>
      </c>
      <c r="AO20" s="317">
        <f>'Rancho Vista CWIP Balance'!$E$54+'Def Tax'!$F$553</f>
        <v>0</v>
      </c>
      <c r="AP20" s="317">
        <f>'Rancho Vista CWIP Balance'!$E$55+'Def Tax'!$F$554</f>
        <v>0</v>
      </c>
      <c r="AQ20" s="317">
        <f>'Rancho Vista CWIP Balance'!$E$56+'Def Tax'!$F$555</f>
        <v>0</v>
      </c>
      <c r="AR20" s="317">
        <f>'Rancho Vista CWIP Balance'!$E$57+'Def Tax'!$F$556</f>
        <v>0</v>
      </c>
      <c r="AS20" s="317">
        <f>'Rancho Vista CWIP Balance'!$E$58+'Def Tax'!$F$557</f>
        <v>0</v>
      </c>
      <c r="AT20" s="317">
        <f>'Rancho Vista CWIP Balance'!$E$59+'Def Tax'!$F$558</f>
        <v>0</v>
      </c>
      <c r="AU20" s="317">
        <f>'Rancho Vista CWIP Balance'!$E$60+'Def Tax'!$F$559</f>
        <v>0</v>
      </c>
      <c r="AV20" s="317">
        <f>'Rancho Vista CWIP Balance'!$E$61+'Def Tax'!$F$560</f>
        <v>0</v>
      </c>
      <c r="AW20" s="317">
        <f>'Rancho Vista CWIP Balance'!$E$62+'Def Tax'!$F$561</f>
        <v>0</v>
      </c>
      <c r="AX20" s="317">
        <f>'Rancho Vista CWIP Balance'!$E$63+'Def Tax'!$F$562</f>
        <v>0</v>
      </c>
    </row>
    <row r="21" spans="1:50">
      <c r="A21" s="72">
        <v>13</v>
      </c>
      <c r="B21" s="5" t="s">
        <v>12</v>
      </c>
      <c r="C21" s="76"/>
      <c r="D21" s="9"/>
      <c r="E21" s="9">
        <f t="shared" ref="E21:N21" si="15">SUM(E19:E20)</f>
        <v>99172.082738412108</v>
      </c>
      <c r="F21" s="9">
        <f t="shared" si="15"/>
        <v>139412.4177626025</v>
      </c>
      <c r="G21" s="9">
        <f t="shared" si="15"/>
        <v>148953.7915227327</v>
      </c>
      <c r="H21" s="9">
        <f t="shared" si="15"/>
        <v>178065.76971218392</v>
      </c>
      <c r="I21" s="9">
        <f t="shared" si="15"/>
        <v>245587.54456416448</v>
      </c>
      <c r="J21" s="9">
        <f t="shared" si="15"/>
        <v>263042.91311587952</v>
      </c>
      <c r="K21" s="9">
        <f t="shared" si="15"/>
        <v>240634.57042050682</v>
      </c>
      <c r="L21" s="9">
        <f t="shared" si="15"/>
        <v>246955.96108919886</v>
      </c>
      <c r="M21" s="9">
        <f t="shared" si="15"/>
        <v>265178.93574894808</v>
      </c>
      <c r="N21" s="9">
        <f t="shared" si="15"/>
        <v>292804.86728988495</v>
      </c>
      <c r="O21" s="9">
        <f t="shared" ref="O21:Z21" si="16">SUM(O19:O20)</f>
        <v>309172.08693603077</v>
      </c>
      <c r="P21" s="9">
        <f t="shared" si="16"/>
        <v>317962.5382733841</v>
      </c>
      <c r="Q21" s="9">
        <f t="shared" si="16"/>
        <v>324495.98516886774</v>
      </c>
      <c r="R21" s="9">
        <f t="shared" si="16"/>
        <v>337267.31169660646</v>
      </c>
      <c r="S21" s="9">
        <f t="shared" si="16"/>
        <v>0</v>
      </c>
      <c r="T21" s="9">
        <f t="shared" si="16"/>
        <v>0</v>
      </c>
      <c r="U21" s="9">
        <f t="shared" si="16"/>
        <v>0</v>
      </c>
      <c r="V21" s="9">
        <f t="shared" si="16"/>
        <v>0</v>
      </c>
      <c r="W21" s="9">
        <f t="shared" si="16"/>
        <v>0</v>
      </c>
      <c r="X21" s="9">
        <f t="shared" si="16"/>
        <v>0</v>
      </c>
      <c r="Y21" s="9">
        <f t="shared" si="16"/>
        <v>0</v>
      </c>
      <c r="Z21" s="9">
        <f t="shared" si="16"/>
        <v>0</v>
      </c>
      <c r="AA21" s="9">
        <f t="shared" ref="AA21:AL21" si="17">SUM(AA19:AA20)</f>
        <v>0</v>
      </c>
      <c r="AB21" s="9">
        <f t="shared" si="17"/>
        <v>0</v>
      </c>
      <c r="AC21" s="9">
        <f t="shared" si="17"/>
        <v>0</v>
      </c>
      <c r="AD21" s="9">
        <f t="shared" si="17"/>
        <v>0</v>
      </c>
      <c r="AE21" s="9">
        <f t="shared" si="17"/>
        <v>0</v>
      </c>
      <c r="AF21" s="9">
        <f t="shared" si="17"/>
        <v>0</v>
      </c>
      <c r="AG21" s="9">
        <f t="shared" si="17"/>
        <v>0</v>
      </c>
      <c r="AH21" s="9">
        <f t="shared" si="17"/>
        <v>0</v>
      </c>
      <c r="AI21" s="9">
        <f t="shared" si="17"/>
        <v>0</v>
      </c>
      <c r="AJ21" s="9">
        <f t="shared" si="17"/>
        <v>0</v>
      </c>
      <c r="AK21" s="9">
        <f t="shared" si="17"/>
        <v>0</v>
      </c>
      <c r="AL21" s="9">
        <f t="shared" si="17"/>
        <v>0</v>
      </c>
      <c r="AM21" s="435">
        <f t="shared" ref="AM21:AX21" si="18">SUM(AM19:AM20)</f>
        <v>0</v>
      </c>
      <c r="AN21" s="435">
        <f t="shared" si="18"/>
        <v>0</v>
      </c>
      <c r="AO21" s="435">
        <f t="shared" si="18"/>
        <v>0</v>
      </c>
      <c r="AP21" s="435">
        <f t="shared" si="18"/>
        <v>0</v>
      </c>
      <c r="AQ21" s="435">
        <f t="shared" si="18"/>
        <v>0</v>
      </c>
      <c r="AR21" s="435">
        <f t="shared" si="18"/>
        <v>0</v>
      </c>
      <c r="AS21" s="435">
        <f t="shared" si="18"/>
        <v>0</v>
      </c>
      <c r="AT21" s="435">
        <f t="shared" si="18"/>
        <v>0</v>
      </c>
      <c r="AU21" s="435">
        <f t="shared" si="18"/>
        <v>0</v>
      </c>
      <c r="AV21" s="435">
        <f t="shared" si="18"/>
        <v>0</v>
      </c>
      <c r="AW21" s="435">
        <f t="shared" si="18"/>
        <v>0</v>
      </c>
      <c r="AX21" s="435">
        <f t="shared" si="18"/>
        <v>0</v>
      </c>
    </row>
    <row r="22" spans="1:50">
      <c r="A22" s="73">
        <v>14</v>
      </c>
      <c r="B22" s="61" t="s">
        <v>13</v>
      </c>
      <c r="C22" s="77"/>
      <c r="D22" s="62"/>
      <c r="E22" s="62">
        <f t="shared" ref="E22:N22" si="19">E21/2</f>
        <v>49586.041369206054</v>
      </c>
      <c r="F22" s="62">
        <f t="shared" si="19"/>
        <v>69706.208881301252</v>
      </c>
      <c r="G22" s="62">
        <f t="shared" si="19"/>
        <v>74476.895761366352</v>
      </c>
      <c r="H22" s="62">
        <f t="shared" si="19"/>
        <v>89032.884856091958</v>
      </c>
      <c r="I22" s="62">
        <f t="shared" si="19"/>
        <v>122793.77228208224</v>
      </c>
      <c r="J22" s="62">
        <f t="shared" si="19"/>
        <v>131521.45655793976</v>
      </c>
      <c r="K22" s="62">
        <f t="shared" si="19"/>
        <v>120317.28521025341</v>
      </c>
      <c r="L22" s="62">
        <f t="shared" si="19"/>
        <v>123477.98054459943</v>
      </c>
      <c r="M22" s="62">
        <f t="shared" si="19"/>
        <v>132589.46787447404</v>
      </c>
      <c r="N22" s="62">
        <f t="shared" si="19"/>
        <v>146402.43364494247</v>
      </c>
      <c r="O22" s="62">
        <f t="shared" ref="O22:Z22" si="20">O21/2</f>
        <v>154586.04346801538</v>
      </c>
      <c r="P22" s="62">
        <f t="shared" si="20"/>
        <v>158981.26913669205</v>
      </c>
      <c r="Q22" s="62">
        <f t="shared" si="20"/>
        <v>162247.99258443387</v>
      </c>
      <c r="R22" s="62">
        <f t="shared" si="20"/>
        <v>168633.65584830323</v>
      </c>
      <c r="S22" s="62">
        <f t="shared" si="20"/>
        <v>0</v>
      </c>
      <c r="T22" s="62">
        <f t="shared" si="20"/>
        <v>0</v>
      </c>
      <c r="U22" s="62">
        <f t="shared" si="20"/>
        <v>0</v>
      </c>
      <c r="V22" s="62">
        <f t="shared" si="20"/>
        <v>0</v>
      </c>
      <c r="W22" s="62">
        <f t="shared" si="20"/>
        <v>0</v>
      </c>
      <c r="X22" s="62">
        <f t="shared" si="20"/>
        <v>0</v>
      </c>
      <c r="Y22" s="62">
        <f t="shared" si="20"/>
        <v>0</v>
      </c>
      <c r="Z22" s="62">
        <f t="shared" si="20"/>
        <v>0</v>
      </c>
      <c r="AA22" s="62">
        <f t="shared" ref="AA22:AL22" si="21">AA21/2</f>
        <v>0</v>
      </c>
      <c r="AB22" s="62">
        <f t="shared" si="21"/>
        <v>0</v>
      </c>
      <c r="AC22" s="62">
        <f t="shared" si="21"/>
        <v>0</v>
      </c>
      <c r="AD22" s="62">
        <f t="shared" si="21"/>
        <v>0</v>
      </c>
      <c r="AE22" s="62">
        <f t="shared" si="21"/>
        <v>0</v>
      </c>
      <c r="AF22" s="62">
        <f t="shared" si="21"/>
        <v>0</v>
      </c>
      <c r="AG22" s="62">
        <f t="shared" si="21"/>
        <v>0</v>
      </c>
      <c r="AH22" s="62">
        <f t="shared" si="21"/>
        <v>0</v>
      </c>
      <c r="AI22" s="62">
        <f t="shared" si="21"/>
        <v>0</v>
      </c>
      <c r="AJ22" s="62">
        <f t="shared" si="21"/>
        <v>0</v>
      </c>
      <c r="AK22" s="62">
        <f t="shared" si="21"/>
        <v>0</v>
      </c>
      <c r="AL22" s="62">
        <f t="shared" si="21"/>
        <v>0</v>
      </c>
      <c r="AM22" s="440">
        <f>AM21/2</f>
        <v>0</v>
      </c>
      <c r="AN22" s="440">
        <f t="shared" ref="AN22:AX22" si="22">AN21/2</f>
        <v>0</v>
      </c>
      <c r="AO22" s="440">
        <f t="shared" si="22"/>
        <v>0</v>
      </c>
      <c r="AP22" s="440">
        <f t="shared" si="22"/>
        <v>0</v>
      </c>
      <c r="AQ22" s="440">
        <f t="shared" si="22"/>
        <v>0</v>
      </c>
      <c r="AR22" s="440">
        <f t="shared" si="22"/>
        <v>0</v>
      </c>
      <c r="AS22" s="440">
        <f t="shared" si="22"/>
        <v>0</v>
      </c>
      <c r="AT22" s="440">
        <f t="shared" si="22"/>
        <v>0</v>
      </c>
      <c r="AU22" s="440">
        <f t="shared" si="22"/>
        <v>0</v>
      </c>
      <c r="AV22" s="440">
        <f t="shared" si="22"/>
        <v>0</v>
      </c>
      <c r="AW22" s="440">
        <f t="shared" si="22"/>
        <v>0</v>
      </c>
      <c r="AX22" s="440">
        <f t="shared" si="22"/>
        <v>0</v>
      </c>
    </row>
    <row r="23" spans="1:50">
      <c r="A23" s="72">
        <v>15</v>
      </c>
      <c r="B23" s="5"/>
      <c r="AM23" s="344"/>
      <c r="AN23" s="344"/>
      <c r="AO23" s="344"/>
      <c r="AP23" s="344"/>
      <c r="AQ23" s="344"/>
      <c r="AR23" s="344"/>
      <c r="AS23" s="344"/>
      <c r="AT23" s="344"/>
      <c r="AU23" s="344"/>
      <c r="AV23" s="344"/>
      <c r="AW23" s="344"/>
      <c r="AX23" s="344"/>
    </row>
    <row r="24" spans="1:50" ht="28.5">
      <c r="A24" s="73">
        <v>16</v>
      </c>
      <c r="B24" s="52" t="s">
        <v>14</v>
      </c>
      <c r="AM24" s="344"/>
      <c r="AN24" s="344"/>
      <c r="AO24" s="344"/>
      <c r="AP24" s="344"/>
      <c r="AQ24" s="344"/>
      <c r="AR24" s="344"/>
      <c r="AS24" s="344"/>
      <c r="AT24" s="344"/>
      <c r="AU24" s="344"/>
      <c r="AV24" s="344"/>
      <c r="AW24" s="344"/>
      <c r="AX24" s="344"/>
    </row>
    <row r="25" spans="1:50">
      <c r="A25" s="72">
        <v>17</v>
      </c>
      <c r="B25" s="51" t="s">
        <v>47</v>
      </c>
      <c r="C25" s="89"/>
      <c r="D25" s="89"/>
      <c r="E25" s="89">
        <f>'Cost of Capital'!$D$28</f>
        <v>8.8739999999999999E-2</v>
      </c>
      <c r="F25" s="89">
        <f>'Cost of Capital'!$D$28</f>
        <v>8.8739999999999999E-2</v>
      </c>
      <c r="G25" s="89">
        <f>'Cost of Capital'!$D$28</f>
        <v>8.8739999999999999E-2</v>
      </c>
      <c r="H25" s="89">
        <f>'Cost of Capital'!$D$28</f>
        <v>8.8739999999999999E-2</v>
      </c>
      <c r="I25" s="89">
        <f>'Cost of Capital'!$D$28</f>
        <v>8.8739999999999999E-2</v>
      </c>
      <c r="J25" s="89">
        <f>'Cost of Capital'!$D$28</f>
        <v>8.8739999999999999E-2</v>
      </c>
      <c r="K25" s="89">
        <f>'Cost of Capital'!$D$28</f>
        <v>8.8739999999999999E-2</v>
      </c>
      <c r="L25" s="89">
        <f>'Cost of Capital'!$D$28</f>
        <v>8.8739999999999999E-2</v>
      </c>
      <c r="M25" s="89">
        <f>'Cost of Capital'!$D$28</f>
        <v>8.8739999999999999E-2</v>
      </c>
      <c r="N25" s="89">
        <f>'Cost of Capital'!$D$28</f>
        <v>8.8739999999999999E-2</v>
      </c>
      <c r="O25" s="89">
        <f>'Cost of Capital'!$D$54</f>
        <v>8.7690000000000004E-2</v>
      </c>
      <c r="P25" s="89">
        <f>'Cost of Capital'!$D$54</f>
        <v>8.7690000000000004E-2</v>
      </c>
      <c r="Q25" s="89">
        <f>'Cost of Capital'!$D$54</f>
        <v>8.7690000000000004E-2</v>
      </c>
      <c r="R25" s="89">
        <f>'Cost of Capital'!$D$54</f>
        <v>8.7690000000000004E-2</v>
      </c>
      <c r="S25" s="89">
        <f>'Cost of Capital'!$D$54</f>
        <v>8.7690000000000004E-2</v>
      </c>
      <c r="T25" s="89">
        <f>'Cost of Capital'!$D$54</f>
        <v>8.7690000000000004E-2</v>
      </c>
      <c r="U25" s="89">
        <f>'Cost of Capital'!$D$54</f>
        <v>8.7690000000000004E-2</v>
      </c>
      <c r="V25" s="89">
        <f>'Cost of Capital'!$D$54</f>
        <v>8.7690000000000004E-2</v>
      </c>
      <c r="W25" s="89">
        <f>'Cost of Capital'!$D$54</f>
        <v>8.7690000000000004E-2</v>
      </c>
      <c r="X25" s="89">
        <f>'Cost of Capital'!$D$54</f>
        <v>8.7690000000000004E-2</v>
      </c>
      <c r="Y25" s="89">
        <f>'Cost of Capital'!$D$54</f>
        <v>8.7690000000000004E-2</v>
      </c>
      <c r="Z25" s="89">
        <f>'Cost of Capital'!$D$54</f>
        <v>8.7690000000000004E-2</v>
      </c>
      <c r="AA25" s="89">
        <f>'Cost of Capital'!$D$54</f>
        <v>8.7690000000000004E-2</v>
      </c>
      <c r="AB25" s="89">
        <f>'Cost of Capital'!$D$54</f>
        <v>8.7690000000000004E-2</v>
      </c>
      <c r="AC25" s="89">
        <f>'Cost of Capital'!$D$54</f>
        <v>8.7690000000000004E-2</v>
      </c>
      <c r="AD25" s="89">
        <f>'Cost of Capital'!$D$54</f>
        <v>8.7690000000000004E-2</v>
      </c>
      <c r="AE25" s="89">
        <f>'Cost of Capital'!$D$54</f>
        <v>8.7690000000000004E-2</v>
      </c>
      <c r="AF25" s="89">
        <f>'Cost of Capital'!$D$83</f>
        <v>8.788E-2</v>
      </c>
      <c r="AG25" s="89">
        <f>'Cost of Capital'!$D$83</f>
        <v>8.788E-2</v>
      </c>
      <c r="AH25" s="89">
        <f>'Cost of Capital'!$D$83</f>
        <v>8.788E-2</v>
      </c>
      <c r="AI25" s="89">
        <f>'Cost of Capital'!$D$83</f>
        <v>8.788E-2</v>
      </c>
      <c r="AJ25" s="89">
        <f>'Cost of Capital'!$D$83</f>
        <v>8.788E-2</v>
      </c>
      <c r="AK25" s="89">
        <f>'Cost of Capital'!$D$83</f>
        <v>8.788E-2</v>
      </c>
      <c r="AL25" s="89">
        <f>'Cost of Capital'!$D$83</f>
        <v>8.788E-2</v>
      </c>
      <c r="AM25" s="308">
        <f>'Cost of Capital'!$D$137</f>
        <v>8.6740000000000012E-2</v>
      </c>
      <c r="AN25" s="308">
        <f>'Cost of Capital'!$D$137</f>
        <v>8.6740000000000012E-2</v>
      </c>
      <c r="AO25" s="308">
        <f>'Cost of Capital'!$D$137</f>
        <v>8.6740000000000012E-2</v>
      </c>
      <c r="AP25" s="308">
        <f>'Cost of Capital'!$D$137</f>
        <v>8.6740000000000012E-2</v>
      </c>
      <c r="AQ25" s="308">
        <f>'Cost of Capital'!$D$137</f>
        <v>8.6740000000000012E-2</v>
      </c>
      <c r="AR25" s="308">
        <f>'Cost of Capital'!$D$137</f>
        <v>8.6740000000000012E-2</v>
      </c>
      <c r="AS25" s="308">
        <f>'Cost of Capital'!$D$137</f>
        <v>8.6740000000000012E-2</v>
      </c>
      <c r="AT25" s="308">
        <f>'Cost of Capital'!$D$137</f>
        <v>8.6740000000000012E-2</v>
      </c>
      <c r="AU25" s="308">
        <f>'Cost of Capital'!$D$137</f>
        <v>8.6740000000000012E-2</v>
      </c>
      <c r="AV25" s="308">
        <f>'Cost of Capital'!$D$137</f>
        <v>8.6740000000000012E-2</v>
      </c>
      <c r="AW25" s="308">
        <f>'Cost of Capital'!$D$137</f>
        <v>8.6740000000000012E-2</v>
      </c>
      <c r="AX25" s="308">
        <f>'Cost of Capital'!$D$137</f>
        <v>8.6740000000000012E-2</v>
      </c>
    </row>
    <row r="26" spans="1:50">
      <c r="A26" s="73">
        <v>18</v>
      </c>
      <c r="B26" s="61" t="s">
        <v>48</v>
      </c>
      <c r="C26" s="85"/>
      <c r="D26" s="85"/>
      <c r="E26" s="85">
        <f>'Cost of Capital'!$D$29</f>
        <v>7.3949999999999997E-3</v>
      </c>
      <c r="F26" s="85">
        <f>'Cost of Capital'!$D$29</f>
        <v>7.3949999999999997E-3</v>
      </c>
      <c r="G26" s="85">
        <f>'Cost of Capital'!$D$29</f>
        <v>7.3949999999999997E-3</v>
      </c>
      <c r="H26" s="85">
        <f>'Cost of Capital'!$D$29</f>
        <v>7.3949999999999997E-3</v>
      </c>
      <c r="I26" s="85">
        <f>'Cost of Capital'!$D$29</f>
        <v>7.3949999999999997E-3</v>
      </c>
      <c r="J26" s="85">
        <f>'Cost of Capital'!$D$29</f>
        <v>7.3949999999999997E-3</v>
      </c>
      <c r="K26" s="85">
        <f>'Cost of Capital'!$D$29</f>
        <v>7.3949999999999997E-3</v>
      </c>
      <c r="L26" s="85">
        <f>'Cost of Capital'!$D$29</f>
        <v>7.3949999999999997E-3</v>
      </c>
      <c r="M26" s="85">
        <f>'Cost of Capital'!$D$29</f>
        <v>7.3949999999999997E-3</v>
      </c>
      <c r="N26" s="85">
        <f>'Cost of Capital'!$D$29</f>
        <v>7.3949999999999997E-3</v>
      </c>
      <c r="O26" s="85">
        <f>'Cost of Capital'!$D$55</f>
        <v>7.3075000000000006E-3</v>
      </c>
      <c r="P26" s="85">
        <f>'Cost of Capital'!$D$55</f>
        <v>7.3075000000000006E-3</v>
      </c>
      <c r="Q26" s="85">
        <f>'Cost of Capital'!$D$55</f>
        <v>7.3075000000000006E-3</v>
      </c>
      <c r="R26" s="85">
        <f>'Cost of Capital'!$D$55</f>
        <v>7.3075000000000006E-3</v>
      </c>
      <c r="S26" s="85">
        <f>'Cost of Capital'!$D$55</f>
        <v>7.3075000000000006E-3</v>
      </c>
      <c r="T26" s="85">
        <f>'Cost of Capital'!$D$55</f>
        <v>7.3075000000000006E-3</v>
      </c>
      <c r="U26" s="85">
        <f>'Cost of Capital'!$D$55</f>
        <v>7.3075000000000006E-3</v>
      </c>
      <c r="V26" s="85">
        <f>'Cost of Capital'!$D$55</f>
        <v>7.3075000000000006E-3</v>
      </c>
      <c r="W26" s="85">
        <f>'Cost of Capital'!$D$55</f>
        <v>7.3075000000000006E-3</v>
      </c>
      <c r="X26" s="85">
        <f>'Cost of Capital'!$D$55</f>
        <v>7.3075000000000006E-3</v>
      </c>
      <c r="Y26" s="85">
        <f>'Cost of Capital'!$D$55</f>
        <v>7.3075000000000006E-3</v>
      </c>
      <c r="Z26" s="85">
        <f>'Cost of Capital'!$D$55</f>
        <v>7.3075000000000006E-3</v>
      </c>
      <c r="AA26" s="85">
        <f>'Cost of Capital'!$D$55</f>
        <v>7.3075000000000006E-3</v>
      </c>
      <c r="AB26" s="85">
        <f>'Cost of Capital'!$D$55</f>
        <v>7.3075000000000006E-3</v>
      </c>
      <c r="AC26" s="85">
        <f>'Cost of Capital'!$D$55</f>
        <v>7.3075000000000006E-3</v>
      </c>
      <c r="AD26" s="85">
        <f>'Cost of Capital'!$D$55</f>
        <v>7.3075000000000006E-3</v>
      </c>
      <c r="AE26" s="85">
        <f>'Cost of Capital'!$D$55</f>
        <v>7.3075000000000006E-3</v>
      </c>
      <c r="AF26" s="85">
        <f>'Cost of Capital'!$D$84</f>
        <v>7.3200000000000001E-3</v>
      </c>
      <c r="AG26" s="85">
        <f>'Cost of Capital'!$D$84</f>
        <v>7.3200000000000001E-3</v>
      </c>
      <c r="AH26" s="85">
        <f>'Cost of Capital'!$D$84</f>
        <v>7.3200000000000001E-3</v>
      </c>
      <c r="AI26" s="85">
        <f>'Cost of Capital'!$D$84</f>
        <v>7.3200000000000001E-3</v>
      </c>
      <c r="AJ26" s="85">
        <f>'Cost of Capital'!$D$84</f>
        <v>7.3200000000000001E-3</v>
      </c>
      <c r="AK26" s="85">
        <f>'Cost of Capital'!$D$84</f>
        <v>7.3200000000000001E-3</v>
      </c>
      <c r="AL26" s="85">
        <f>'Cost of Capital'!$D$84</f>
        <v>7.3200000000000001E-3</v>
      </c>
      <c r="AM26" s="447">
        <f>'Cost of Capital'!$D$138</f>
        <v>7.228333333333334E-3</v>
      </c>
      <c r="AN26" s="447">
        <f>'Cost of Capital'!$D$138</f>
        <v>7.228333333333334E-3</v>
      </c>
      <c r="AO26" s="447">
        <f>'Cost of Capital'!$D$138</f>
        <v>7.228333333333334E-3</v>
      </c>
      <c r="AP26" s="447">
        <f>'Cost of Capital'!$D$138</f>
        <v>7.228333333333334E-3</v>
      </c>
      <c r="AQ26" s="447">
        <f>'Cost of Capital'!$D$138</f>
        <v>7.228333333333334E-3</v>
      </c>
      <c r="AR26" s="447">
        <f>'Cost of Capital'!$D$138</f>
        <v>7.228333333333334E-3</v>
      </c>
      <c r="AS26" s="447">
        <f>'Cost of Capital'!$D$138</f>
        <v>7.228333333333334E-3</v>
      </c>
      <c r="AT26" s="447">
        <f>'Cost of Capital'!$D$138</f>
        <v>7.228333333333334E-3</v>
      </c>
      <c r="AU26" s="447">
        <f>'Cost of Capital'!$D$138</f>
        <v>7.228333333333334E-3</v>
      </c>
      <c r="AV26" s="447">
        <f>'Cost of Capital'!$D$138</f>
        <v>7.228333333333334E-3</v>
      </c>
      <c r="AW26" s="447">
        <f>'Cost of Capital'!$D$138</f>
        <v>7.228333333333334E-3</v>
      </c>
      <c r="AX26" s="447">
        <f>'Cost of Capital'!$D$138</f>
        <v>7.228333333333334E-3</v>
      </c>
    </row>
    <row r="27" spans="1:50">
      <c r="A27" s="72">
        <v>19</v>
      </c>
      <c r="B27" s="5"/>
      <c r="AM27" s="344"/>
      <c r="AN27" s="344"/>
      <c r="AO27" s="344"/>
      <c r="AP27" s="344"/>
      <c r="AQ27" s="344"/>
      <c r="AR27" s="344"/>
      <c r="AS27" s="344"/>
      <c r="AT27" s="344"/>
      <c r="AU27" s="344"/>
      <c r="AV27" s="344"/>
      <c r="AW27" s="344"/>
      <c r="AX27" s="344"/>
    </row>
    <row r="28" spans="1:50" ht="15.75">
      <c r="A28" s="73">
        <v>20</v>
      </c>
      <c r="B28" s="53" t="s">
        <v>65</v>
      </c>
      <c r="AM28" s="344"/>
      <c r="AN28" s="344"/>
      <c r="AO28" s="344"/>
      <c r="AP28" s="344"/>
      <c r="AQ28" s="344"/>
      <c r="AR28" s="344"/>
      <c r="AS28" s="344"/>
      <c r="AT28" s="344"/>
      <c r="AU28" s="344"/>
      <c r="AV28" s="344"/>
      <c r="AW28" s="344"/>
      <c r="AX28" s="344"/>
    </row>
    <row r="29" spans="1:50">
      <c r="A29" s="72">
        <v>21</v>
      </c>
      <c r="B29" s="69" t="s">
        <v>91</v>
      </c>
      <c r="AM29" s="344"/>
      <c r="AN29" s="344"/>
      <c r="AO29" s="344"/>
      <c r="AP29" s="344"/>
      <c r="AQ29" s="344"/>
      <c r="AR29" s="344"/>
      <c r="AS29" s="344"/>
      <c r="AT29" s="344"/>
      <c r="AU29" s="344"/>
      <c r="AV29" s="344"/>
      <c r="AW29" s="344"/>
      <c r="AX29" s="344"/>
    </row>
    <row r="30" spans="1:50">
      <c r="A30" s="73">
        <v>22</v>
      </c>
      <c r="B30" s="11" t="s">
        <v>15</v>
      </c>
      <c r="AM30" s="344"/>
      <c r="AN30" s="344"/>
      <c r="AO30" s="344"/>
      <c r="AP30" s="344"/>
      <c r="AQ30" s="344"/>
      <c r="AR30" s="344"/>
      <c r="AS30" s="344"/>
      <c r="AT30" s="344"/>
      <c r="AU30" s="344"/>
      <c r="AV30" s="344"/>
      <c r="AW30" s="344"/>
      <c r="AX30" s="344"/>
    </row>
    <row r="31" spans="1:50" ht="25.5">
      <c r="A31" s="72">
        <v>23</v>
      </c>
      <c r="B31" s="101" t="s">
        <v>92</v>
      </c>
      <c r="AM31" s="344"/>
      <c r="AN31" s="344"/>
      <c r="AO31" s="344"/>
      <c r="AP31" s="344"/>
      <c r="AQ31" s="344"/>
      <c r="AR31" s="344"/>
      <c r="AS31" s="344"/>
      <c r="AT31" s="344"/>
      <c r="AU31" s="344"/>
      <c r="AV31" s="344"/>
      <c r="AW31" s="344"/>
      <c r="AX31" s="344"/>
    </row>
    <row r="32" spans="1:50" ht="25.5">
      <c r="A32" s="73">
        <v>24</v>
      </c>
      <c r="B32" s="12" t="s">
        <v>19</v>
      </c>
      <c r="AM32" s="344"/>
      <c r="AN32" s="344"/>
      <c r="AO32" s="344"/>
      <c r="AP32" s="344"/>
      <c r="AQ32" s="344"/>
      <c r="AR32" s="344"/>
      <c r="AS32" s="344"/>
      <c r="AT32" s="344"/>
      <c r="AU32" s="344"/>
      <c r="AV32" s="344"/>
      <c r="AW32" s="344"/>
      <c r="AX32" s="344"/>
    </row>
    <row r="33" spans="1:50">
      <c r="A33" s="72">
        <v>25</v>
      </c>
      <c r="B33" s="5" t="s">
        <v>20</v>
      </c>
      <c r="C33" s="87"/>
      <c r="D33" s="87"/>
      <c r="E33" s="87">
        <f>'Cost of Capital'!$D$25</f>
        <v>2.6699999999999998E-2</v>
      </c>
      <c r="F33" s="87">
        <f>'Cost of Capital'!$D$25</f>
        <v>2.6699999999999998E-2</v>
      </c>
      <c r="G33" s="87">
        <f>'Cost of Capital'!$D$25</f>
        <v>2.6699999999999998E-2</v>
      </c>
      <c r="H33" s="87">
        <f>'Cost of Capital'!$D$25</f>
        <v>2.6699999999999998E-2</v>
      </c>
      <c r="I33" s="87">
        <f>'Cost of Capital'!$D$25</f>
        <v>2.6699999999999998E-2</v>
      </c>
      <c r="J33" s="87">
        <f>'Cost of Capital'!$D$25</f>
        <v>2.6699999999999998E-2</v>
      </c>
      <c r="K33" s="87">
        <f>'Cost of Capital'!$D$25</f>
        <v>2.6699999999999998E-2</v>
      </c>
      <c r="L33" s="87">
        <f>'Cost of Capital'!$D$25</f>
        <v>2.6699999999999998E-2</v>
      </c>
      <c r="M33" s="87">
        <f>'Cost of Capital'!$D$25</f>
        <v>2.6699999999999998E-2</v>
      </c>
      <c r="N33" s="87">
        <f>'Cost of Capital'!$D$25</f>
        <v>2.6699999999999998E-2</v>
      </c>
      <c r="O33" s="87">
        <f>'Cost of Capital'!$D$51</f>
        <v>2.76E-2</v>
      </c>
      <c r="P33" s="87">
        <f>'Cost of Capital'!$D$51</f>
        <v>2.76E-2</v>
      </c>
      <c r="Q33" s="87">
        <f>'Cost of Capital'!$D$51</f>
        <v>2.76E-2</v>
      </c>
      <c r="R33" s="87">
        <f>'Cost of Capital'!$D$51</f>
        <v>2.76E-2</v>
      </c>
      <c r="S33" s="87">
        <f>'Cost of Capital'!$D$51</f>
        <v>2.76E-2</v>
      </c>
      <c r="T33" s="87">
        <f>'Cost of Capital'!$D$51</f>
        <v>2.76E-2</v>
      </c>
      <c r="U33" s="87">
        <f>'Cost of Capital'!$D$51</f>
        <v>2.76E-2</v>
      </c>
      <c r="V33" s="87">
        <f>'Cost of Capital'!$D$51</f>
        <v>2.76E-2</v>
      </c>
      <c r="W33" s="87">
        <f>'Cost of Capital'!$D$51</f>
        <v>2.76E-2</v>
      </c>
      <c r="X33" s="87">
        <f>'Cost of Capital'!$D$51</f>
        <v>2.76E-2</v>
      </c>
      <c r="Y33" s="87">
        <f>'Cost of Capital'!$D$51</f>
        <v>2.76E-2</v>
      </c>
      <c r="Z33" s="87">
        <f>'Cost of Capital'!$D$51</f>
        <v>2.76E-2</v>
      </c>
      <c r="AA33" s="309">
        <f>'Cost of Capital'!$D$51</f>
        <v>2.76E-2</v>
      </c>
      <c r="AB33" s="87">
        <f>'Cost of Capital'!$D$51</f>
        <v>2.76E-2</v>
      </c>
      <c r="AC33" s="87">
        <f>'Cost of Capital'!$D$51</f>
        <v>2.76E-2</v>
      </c>
      <c r="AD33" s="87">
        <f>'Cost of Capital'!$D$51</f>
        <v>2.76E-2</v>
      </c>
      <c r="AE33" s="87">
        <f>'Cost of Capital'!$D$51</f>
        <v>2.76E-2</v>
      </c>
      <c r="AF33" s="309">
        <f>'Cost of Capital'!$D$80</f>
        <v>2.6700000000000002E-2</v>
      </c>
      <c r="AG33" s="309">
        <f>'Cost of Capital'!$D$80</f>
        <v>2.6700000000000002E-2</v>
      </c>
      <c r="AH33" s="309">
        <f>'Cost of Capital'!$D$80</f>
        <v>2.6700000000000002E-2</v>
      </c>
      <c r="AI33" s="309">
        <f>'Cost of Capital'!$D$80</f>
        <v>2.6700000000000002E-2</v>
      </c>
      <c r="AJ33" s="309">
        <f>'Cost of Capital'!$D$80</f>
        <v>2.6700000000000002E-2</v>
      </c>
      <c r="AK33" s="309">
        <f>'Cost of Capital'!$D$80</f>
        <v>2.6700000000000002E-2</v>
      </c>
      <c r="AL33" s="309">
        <f>'Cost of Capital'!$D$80</f>
        <v>2.6700000000000002E-2</v>
      </c>
      <c r="AM33" s="309">
        <f>'Cost of Capital'!$D$134</f>
        <v>2.58E-2</v>
      </c>
      <c r="AN33" s="309">
        <f>'Cost of Capital'!$D$134</f>
        <v>2.58E-2</v>
      </c>
      <c r="AO33" s="309">
        <f>'Cost of Capital'!$D$134</f>
        <v>2.58E-2</v>
      </c>
      <c r="AP33" s="309">
        <f>'Cost of Capital'!$D$134</f>
        <v>2.58E-2</v>
      </c>
      <c r="AQ33" s="309">
        <f>'Cost of Capital'!$D$134</f>
        <v>2.58E-2</v>
      </c>
      <c r="AR33" s="309">
        <f>'Cost of Capital'!$D$134</f>
        <v>2.58E-2</v>
      </c>
      <c r="AS33" s="309">
        <f>'Cost of Capital'!$D$134</f>
        <v>2.58E-2</v>
      </c>
      <c r="AT33" s="309">
        <f>'Cost of Capital'!$D$134</f>
        <v>2.58E-2</v>
      </c>
      <c r="AU33" s="309">
        <f>'Cost of Capital'!$D$134</f>
        <v>2.58E-2</v>
      </c>
      <c r="AV33" s="309">
        <f>'Cost of Capital'!$D$134</f>
        <v>2.58E-2</v>
      </c>
      <c r="AW33" s="309">
        <f>'Cost of Capital'!$D$134</f>
        <v>2.58E-2</v>
      </c>
      <c r="AX33" s="309">
        <f>'Cost of Capital'!$D$134</f>
        <v>2.58E-2</v>
      </c>
    </row>
    <row r="34" spans="1:50">
      <c r="A34" s="73">
        <v>26</v>
      </c>
      <c r="B34" s="5" t="s">
        <v>21</v>
      </c>
      <c r="C34" s="100"/>
      <c r="D34" s="100"/>
      <c r="E34" s="100">
        <f t="shared" ref="E34:N34" si="23">E33/12</f>
        <v>2.225E-3</v>
      </c>
      <c r="F34" s="100">
        <f t="shared" si="23"/>
        <v>2.225E-3</v>
      </c>
      <c r="G34" s="100">
        <f t="shared" si="23"/>
        <v>2.225E-3</v>
      </c>
      <c r="H34" s="100">
        <f t="shared" si="23"/>
        <v>2.225E-3</v>
      </c>
      <c r="I34" s="100">
        <f t="shared" si="23"/>
        <v>2.225E-3</v>
      </c>
      <c r="J34" s="100">
        <f t="shared" si="23"/>
        <v>2.225E-3</v>
      </c>
      <c r="K34" s="100">
        <f t="shared" si="23"/>
        <v>2.225E-3</v>
      </c>
      <c r="L34" s="100">
        <f t="shared" si="23"/>
        <v>2.225E-3</v>
      </c>
      <c r="M34" s="100">
        <f t="shared" si="23"/>
        <v>2.225E-3</v>
      </c>
      <c r="N34" s="100">
        <f t="shared" si="23"/>
        <v>2.225E-3</v>
      </c>
      <c r="O34" s="100">
        <f t="shared" ref="O34:Z34" si="24">O33/12</f>
        <v>2.3E-3</v>
      </c>
      <c r="P34" s="100">
        <f t="shared" si="24"/>
        <v>2.3E-3</v>
      </c>
      <c r="Q34" s="100">
        <f t="shared" si="24"/>
        <v>2.3E-3</v>
      </c>
      <c r="R34" s="100">
        <f t="shared" si="24"/>
        <v>2.3E-3</v>
      </c>
      <c r="S34" s="100">
        <f t="shared" si="24"/>
        <v>2.3E-3</v>
      </c>
      <c r="T34" s="100">
        <f t="shared" si="24"/>
        <v>2.3E-3</v>
      </c>
      <c r="U34" s="100">
        <f t="shared" si="24"/>
        <v>2.3E-3</v>
      </c>
      <c r="V34" s="100">
        <f t="shared" si="24"/>
        <v>2.3E-3</v>
      </c>
      <c r="W34" s="100">
        <f t="shared" si="24"/>
        <v>2.3E-3</v>
      </c>
      <c r="X34" s="100">
        <f t="shared" si="24"/>
        <v>2.3E-3</v>
      </c>
      <c r="Y34" s="100">
        <f t="shared" si="24"/>
        <v>2.3E-3</v>
      </c>
      <c r="Z34" s="100">
        <f t="shared" si="24"/>
        <v>2.3E-3</v>
      </c>
      <c r="AA34" s="100">
        <f t="shared" ref="AA34:AL34" si="25">AA33/12</f>
        <v>2.3E-3</v>
      </c>
      <c r="AB34" s="100">
        <f t="shared" si="25"/>
        <v>2.3E-3</v>
      </c>
      <c r="AC34" s="100">
        <f t="shared" si="25"/>
        <v>2.3E-3</v>
      </c>
      <c r="AD34" s="100">
        <f t="shared" si="25"/>
        <v>2.3E-3</v>
      </c>
      <c r="AE34" s="100">
        <f t="shared" si="25"/>
        <v>2.3E-3</v>
      </c>
      <c r="AF34" s="100">
        <f t="shared" si="25"/>
        <v>2.225E-3</v>
      </c>
      <c r="AG34" s="100">
        <f t="shared" si="25"/>
        <v>2.225E-3</v>
      </c>
      <c r="AH34" s="100">
        <f t="shared" si="25"/>
        <v>2.225E-3</v>
      </c>
      <c r="AI34" s="100">
        <f t="shared" si="25"/>
        <v>2.225E-3</v>
      </c>
      <c r="AJ34" s="100">
        <f t="shared" si="25"/>
        <v>2.225E-3</v>
      </c>
      <c r="AK34" s="100">
        <f t="shared" si="25"/>
        <v>2.225E-3</v>
      </c>
      <c r="AL34" s="100">
        <f t="shared" si="25"/>
        <v>2.225E-3</v>
      </c>
      <c r="AM34" s="450">
        <f t="shared" ref="AM34:AX34" si="26">AM33/12</f>
        <v>2.15E-3</v>
      </c>
      <c r="AN34" s="450">
        <f t="shared" si="26"/>
        <v>2.15E-3</v>
      </c>
      <c r="AO34" s="450">
        <f t="shared" si="26"/>
        <v>2.15E-3</v>
      </c>
      <c r="AP34" s="450">
        <f t="shared" si="26"/>
        <v>2.15E-3</v>
      </c>
      <c r="AQ34" s="450">
        <f t="shared" si="26"/>
        <v>2.15E-3</v>
      </c>
      <c r="AR34" s="450">
        <f t="shared" si="26"/>
        <v>2.15E-3</v>
      </c>
      <c r="AS34" s="450">
        <f t="shared" si="26"/>
        <v>2.15E-3</v>
      </c>
      <c r="AT34" s="450">
        <f t="shared" si="26"/>
        <v>2.15E-3</v>
      </c>
      <c r="AU34" s="450">
        <f t="shared" si="26"/>
        <v>2.15E-3</v>
      </c>
      <c r="AV34" s="450">
        <f t="shared" si="26"/>
        <v>2.15E-3</v>
      </c>
      <c r="AW34" s="450">
        <f t="shared" si="26"/>
        <v>2.15E-3</v>
      </c>
      <c r="AX34" s="450">
        <f t="shared" si="26"/>
        <v>2.15E-3</v>
      </c>
    </row>
    <row r="35" spans="1:50" ht="25.5">
      <c r="A35" s="72">
        <v>27</v>
      </c>
      <c r="B35" s="12" t="s">
        <v>22</v>
      </c>
      <c r="AM35" s="344"/>
      <c r="AN35" s="344"/>
      <c r="AO35" s="344"/>
      <c r="AP35" s="344"/>
      <c r="AQ35" s="344"/>
      <c r="AR35" s="344"/>
      <c r="AS35" s="344"/>
      <c r="AT35" s="344"/>
      <c r="AU35" s="344"/>
      <c r="AV35" s="344"/>
      <c r="AW35" s="344"/>
      <c r="AX35" s="344"/>
    </row>
    <row r="36" spans="1:50">
      <c r="A36" s="73">
        <v>28</v>
      </c>
      <c r="B36" s="5" t="s">
        <v>18</v>
      </c>
      <c r="C36" s="159"/>
      <c r="D36" s="158"/>
      <c r="E36" s="158">
        <f>'Def Tax'!$E431</f>
        <v>165.19423412916666</v>
      </c>
      <c r="F36" s="158">
        <f>'Def Tax'!$E432</f>
        <v>304.02461679392536</v>
      </c>
      <c r="G36" s="158">
        <f>'Def Tax'!$E433</f>
        <v>332.04999373756419</v>
      </c>
      <c r="H36" s="158">
        <f>'Def Tax'!$E434</f>
        <v>349.93387263386131</v>
      </c>
      <c r="I36" s="158">
        <f>'Def Tax'!$E435</f>
        <v>467.91983089176648</v>
      </c>
      <c r="J36" s="158">
        <f>'Def Tax'!$E437</f>
        <v>662.46898390835383</v>
      </c>
      <c r="K36" s="158">
        <f>'Def Tax'!$E441</f>
        <v>549.98854231049575</v>
      </c>
      <c r="L36" s="158">
        <f>'Def Tax'!$E442</f>
        <v>562.31207730858557</v>
      </c>
      <c r="M36" s="158">
        <f>'Def Tax'!$E443</f>
        <v>583.62949727541661</v>
      </c>
      <c r="N36" s="158">
        <f>'Def Tax'!$E444</f>
        <v>650.82145510876228</v>
      </c>
      <c r="O36" s="158">
        <f>'Def Tax'!$E447</f>
        <v>801.71366615070542</v>
      </c>
      <c r="P36" s="158">
        <f>'Def Tax'!$E448</f>
        <v>818.86049264827898</v>
      </c>
      <c r="Q36" s="158">
        <f>'Def Tax'!$E449</f>
        <v>852.19802222054022</v>
      </c>
      <c r="R36" s="158">
        <f>'Def Tax'!$E450</f>
        <v>858.21795717860573</v>
      </c>
      <c r="S36" s="158">
        <f>'Def Tax'!$E452</f>
        <v>924.00878477945582</v>
      </c>
      <c r="T36" s="158">
        <f>'Def Tax'!$E456</f>
        <v>0</v>
      </c>
      <c r="U36" s="158">
        <f>'Def Tax'!$E457</f>
        <v>0</v>
      </c>
      <c r="V36" s="158">
        <f>'Def Tax'!$E458</f>
        <v>0</v>
      </c>
      <c r="W36" s="158">
        <f>'Def Tax'!$E459</f>
        <v>0</v>
      </c>
      <c r="X36" s="158">
        <f>'Def Tax'!$E460</f>
        <v>0</v>
      </c>
      <c r="Y36" s="158">
        <f>'Def Tax'!$E461</f>
        <v>0</v>
      </c>
      <c r="Z36" s="158">
        <f>'Def Tax'!$E462</f>
        <v>0</v>
      </c>
      <c r="AA36" s="158">
        <f>'Def Tax'!$E466</f>
        <v>0</v>
      </c>
      <c r="AB36" s="158">
        <f>'Def Tax'!$E467</f>
        <v>0</v>
      </c>
      <c r="AC36" s="158">
        <f>'Def Tax'!$E468</f>
        <v>0</v>
      </c>
      <c r="AD36" s="158">
        <f>'Def Tax'!$E469</f>
        <v>0</v>
      </c>
      <c r="AE36" s="158">
        <f>'Def Tax'!$E470</f>
        <v>0</v>
      </c>
      <c r="AF36" s="158">
        <f>'Def Tax'!$E471</f>
        <v>0</v>
      </c>
      <c r="AG36" s="158">
        <f>'Def Tax'!$E472</f>
        <v>0</v>
      </c>
      <c r="AH36" s="158">
        <f>'Def Tax'!$E473</f>
        <v>0</v>
      </c>
      <c r="AI36" s="158">
        <f>'Def Tax'!$E474</f>
        <v>0</v>
      </c>
      <c r="AJ36" s="158">
        <f>'Def Tax'!$E475</f>
        <v>0</v>
      </c>
      <c r="AK36" s="158">
        <f>'Def Tax'!$E476</f>
        <v>0</v>
      </c>
      <c r="AL36" s="158">
        <f>'Def Tax'!$E477</f>
        <v>0</v>
      </c>
      <c r="AM36" s="443">
        <f>'Def Tax'!$E480</f>
        <v>0</v>
      </c>
      <c r="AN36" s="443">
        <f>'Def Tax'!$E481</f>
        <v>0</v>
      </c>
      <c r="AO36" s="443">
        <f>'Def Tax'!$E482</f>
        <v>0</v>
      </c>
      <c r="AP36" s="443">
        <f>'Def Tax'!$E483</f>
        <v>0</v>
      </c>
      <c r="AQ36" s="443">
        <f>'Def Tax'!$E484</f>
        <v>0</v>
      </c>
      <c r="AR36" s="443">
        <f>'Def Tax'!$E485</f>
        <v>0</v>
      </c>
      <c r="AS36" s="443">
        <f>'Def Tax'!$E486</f>
        <v>0</v>
      </c>
      <c r="AT36" s="443">
        <f>'Def Tax'!$E487</f>
        <v>0</v>
      </c>
      <c r="AU36" s="443">
        <f>'Def Tax'!$E488</f>
        <v>0</v>
      </c>
      <c r="AV36" s="443">
        <f>'Def Tax'!$E489</f>
        <v>0</v>
      </c>
      <c r="AW36" s="443">
        <f>'Def Tax'!$E490</f>
        <v>0</v>
      </c>
      <c r="AX36" s="443">
        <f>'Def Tax'!$E491</f>
        <v>0</v>
      </c>
    </row>
    <row r="37" spans="1:50">
      <c r="A37" s="72">
        <v>29</v>
      </c>
      <c r="B37" s="16" t="s">
        <v>23</v>
      </c>
      <c r="AM37" s="344"/>
      <c r="AN37" s="344"/>
      <c r="AO37" s="344"/>
      <c r="AP37" s="344"/>
      <c r="AQ37" s="344"/>
      <c r="AR37" s="344"/>
      <c r="AS37" s="344"/>
      <c r="AT37" s="344"/>
      <c r="AU37" s="344"/>
      <c r="AV37" s="344"/>
      <c r="AW37" s="344"/>
      <c r="AX37" s="344"/>
    </row>
    <row r="38" spans="1:50">
      <c r="A38" s="73">
        <v>30</v>
      </c>
      <c r="B38" s="5" t="s">
        <v>16</v>
      </c>
      <c r="C38" s="78"/>
      <c r="D38" s="78"/>
      <c r="E38" s="78">
        <f>'Income Tax Rates'!$E$16</f>
        <v>8.5972999999999994E-2</v>
      </c>
      <c r="F38" s="78">
        <f>'Income Tax Rates'!$E$16</f>
        <v>8.5972999999999994E-2</v>
      </c>
      <c r="G38" s="78">
        <f>'Income Tax Rates'!$E$16</f>
        <v>8.5972999999999994E-2</v>
      </c>
      <c r="H38" s="78">
        <f>'Income Tax Rates'!$E$16</f>
        <v>8.5972999999999994E-2</v>
      </c>
      <c r="I38" s="78">
        <f>'Income Tax Rates'!$E$16</f>
        <v>8.5972999999999994E-2</v>
      </c>
      <c r="J38" s="78">
        <f>'Income Tax Rates'!$E$16</f>
        <v>8.5972999999999994E-2</v>
      </c>
      <c r="K38" s="78">
        <f>'Income Tax Rates'!$E$16</f>
        <v>8.5972999999999994E-2</v>
      </c>
      <c r="L38" s="78">
        <f>'Income Tax Rates'!$E$16</f>
        <v>8.5972999999999994E-2</v>
      </c>
      <c r="M38" s="78">
        <f>'Income Tax Rates'!$E$16</f>
        <v>8.5972999999999994E-2</v>
      </c>
      <c r="N38" s="78">
        <f>'Income Tax Rates'!$E$16</f>
        <v>8.5972999999999994E-2</v>
      </c>
      <c r="O38" s="78">
        <f>'Income Tax Rates'!$E$33</f>
        <v>8.7230769299999997E-2</v>
      </c>
      <c r="P38" s="78">
        <f>'Income Tax Rates'!$E$33</f>
        <v>8.7230769299999997E-2</v>
      </c>
      <c r="Q38" s="78">
        <f>'Income Tax Rates'!$E$33</f>
        <v>8.7230769299999997E-2</v>
      </c>
      <c r="R38" s="78">
        <f>'Income Tax Rates'!$E$33</f>
        <v>8.7230769299999997E-2</v>
      </c>
      <c r="S38" s="78">
        <f>'Income Tax Rates'!$E$33</f>
        <v>8.7230769299999997E-2</v>
      </c>
      <c r="T38" s="78">
        <f>'Income Tax Rates'!$E$33</f>
        <v>8.7230769299999997E-2</v>
      </c>
      <c r="U38" s="78">
        <f>'Income Tax Rates'!$E$33</f>
        <v>8.7230769299999997E-2</v>
      </c>
      <c r="V38" s="78">
        <f>'Income Tax Rates'!$E$33</f>
        <v>8.7230769299999997E-2</v>
      </c>
      <c r="W38" s="78">
        <f>'Income Tax Rates'!$E$33</f>
        <v>8.7230769299999997E-2</v>
      </c>
      <c r="X38" s="78">
        <f>'Income Tax Rates'!$E$33</f>
        <v>8.7230769299999997E-2</v>
      </c>
      <c r="Y38" s="78">
        <f>'Income Tax Rates'!$E$33</f>
        <v>8.7230769299999997E-2</v>
      </c>
      <c r="Z38" s="78">
        <f>'Income Tax Rates'!$E$33</f>
        <v>8.7230769299999997E-2</v>
      </c>
      <c r="AA38" s="322">
        <f>'Income Tax Rates'!$E$52</f>
        <v>8.795E-2</v>
      </c>
      <c r="AB38" s="322">
        <f>'Income Tax Rates'!$E$52</f>
        <v>8.795E-2</v>
      </c>
      <c r="AC38" s="322">
        <f>'Income Tax Rates'!$E$52</f>
        <v>8.795E-2</v>
      </c>
      <c r="AD38" s="322">
        <f>'Income Tax Rates'!$E$52</f>
        <v>8.795E-2</v>
      </c>
      <c r="AE38" s="322">
        <f>'Income Tax Rates'!$E$52</f>
        <v>8.795E-2</v>
      </c>
      <c r="AF38" s="322">
        <f>'Income Tax Rates'!$E$52</f>
        <v>8.795E-2</v>
      </c>
      <c r="AG38" s="322">
        <f>'Income Tax Rates'!$E$52</f>
        <v>8.795E-2</v>
      </c>
      <c r="AH38" s="322">
        <f>'Income Tax Rates'!$E$52</f>
        <v>8.795E-2</v>
      </c>
      <c r="AI38" s="322">
        <f>'Income Tax Rates'!$E$52</f>
        <v>8.795E-2</v>
      </c>
      <c r="AJ38" s="322">
        <f>'Income Tax Rates'!$E$52</f>
        <v>8.795E-2</v>
      </c>
      <c r="AK38" s="322">
        <f>'Income Tax Rates'!$E$52</f>
        <v>8.795E-2</v>
      </c>
      <c r="AL38" s="322">
        <f>'Income Tax Rates'!$E$52</f>
        <v>8.795E-2</v>
      </c>
      <c r="AM38" s="322">
        <f>'Income Tax Rates'!$E$72</f>
        <v>8.8330000000000006E-2</v>
      </c>
      <c r="AN38" s="322">
        <f>'Income Tax Rates'!$E$72</f>
        <v>8.8330000000000006E-2</v>
      </c>
      <c r="AO38" s="322">
        <f>'Income Tax Rates'!$E$72</f>
        <v>8.8330000000000006E-2</v>
      </c>
      <c r="AP38" s="322">
        <f>'Income Tax Rates'!$E$72</f>
        <v>8.8330000000000006E-2</v>
      </c>
      <c r="AQ38" s="322">
        <f>'Income Tax Rates'!$E$72</f>
        <v>8.8330000000000006E-2</v>
      </c>
      <c r="AR38" s="322">
        <f>'Income Tax Rates'!$E$72</f>
        <v>8.8330000000000006E-2</v>
      </c>
      <c r="AS38" s="322">
        <f>'Income Tax Rates'!$E$72</f>
        <v>8.8330000000000006E-2</v>
      </c>
      <c r="AT38" s="322">
        <f>'Income Tax Rates'!$E$72</f>
        <v>8.8330000000000006E-2</v>
      </c>
      <c r="AU38" s="322">
        <f>'Income Tax Rates'!$E$72</f>
        <v>8.8330000000000006E-2</v>
      </c>
      <c r="AV38" s="322">
        <f>'Income Tax Rates'!$E$72</f>
        <v>8.8330000000000006E-2</v>
      </c>
      <c r="AW38" s="322">
        <f>'Income Tax Rates'!$E$72</f>
        <v>8.8330000000000006E-2</v>
      </c>
      <c r="AX38" s="322">
        <f>'Income Tax Rates'!$E$72</f>
        <v>8.8330000000000006E-2</v>
      </c>
    </row>
    <row r="39" spans="1:50">
      <c r="A39" s="72">
        <v>31</v>
      </c>
      <c r="B39" s="5" t="s">
        <v>49</v>
      </c>
      <c r="C39" s="88"/>
      <c r="D39" s="88"/>
      <c r="E39" s="88">
        <f t="shared" ref="E39:N39" si="27">((E22*(E26-E34))+E36)*E38</f>
        <v>36.242267888848509</v>
      </c>
      <c r="F39" s="88">
        <f t="shared" si="27"/>
        <v>57.120952682730561</v>
      </c>
      <c r="G39" s="88">
        <f t="shared" si="27"/>
        <v>61.650855275138973</v>
      </c>
      <c r="H39" s="88">
        <f t="shared" si="27"/>
        <v>69.658237996269492</v>
      </c>
      <c r="I39" s="88">
        <f t="shared" si="27"/>
        <v>94.807897870644382</v>
      </c>
      <c r="J39" s="88">
        <f t="shared" si="27"/>
        <v>115.41315688822314</v>
      </c>
      <c r="K39" s="88">
        <f t="shared" si="27"/>
        <v>100.76284120840062</v>
      </c>
      <c r="L39" s="88">
        <f t="shared" si="27"/>
        <v>103.2271996408866</v>
      </c>
      <c r="M39" s="88">
        <f t="shared" si="27"/>
        <v>109.10979981178741</v>
      </c>
      <c r="N39" s="88">
        <f t="shared" si="27"/>
        <v>121.02608669156743</v>
      </c>
      <c r="O39" s="88">
        <f t="shared" ref="O39:Z39" si="28">((O22*(O26-O34))+O36)*O38</f>
        <v>137.4585322766512</v>
      </c>
      <c r="P39" s="88">
        <f t="shared" si="28"/>
        <v>140.87413321658946</v>
      </c>
      <c r="Q39" s="88">
        <f t="shared" si="28"/>
        <v>145.20912275591942</v>
      </c>
      <c r="R39" s="88">
        <f t="shared" si="28"/>
        <v>148.5235556058303</v>
      </c>
      <c r="S39" s="88">
        <f t="shared" si="28"/>
        <v>80.601997136270057</v>
      </c>
      <c r="T39" s="88">
        <f t="shared" si="28"/>
        <v>0</v>
      </c>
      <c r="U39" s="88">
        <f t="shared" si="28"/>
        <v>0</v>
      </c>
      <c r="V39" s="88">
        <f t="shared" si="28"/>
        <v>0</v>
      </c>
      <c r="W39" s="88">
        <f t="shared" si="28"/>
        <v>0</v>
      </c>
      <c r="X39" s="88">
        <f t="shared" si="28"/>
        <v>0</v>
      </c>
      <c r="Y39" s="88">
        <f t="shared" si="28"/>
        <v>0</v>
      </c>
      <c r="Z39" s="88">
        <f t="shared" si="28"/>
        <v>0</v>
      </c>
      <c r="AA39" s="88">
        <f t="shared" ref="AA39:AL39" si="29">((AA22*(AA26-AA34))+AA36)*AA38</f>
        <v>0</v>
      </c>
      <c r="AB39" s="88">
        <f t="shared" si="29"/>
        <v>0</v>
      </c>
      <c r="AC39" s="88">
        <f t="shared" si="29"/>
        <v>0</v>
      </c>
      <c r="AD39" s="88">
        <f t="shared" si="29"/>
        <v>0</v>
      </c>
      <c r="AE39" s="88">
        <f t="shared" si="29"/>
        <v>0</v>
      </c>
      <c r="AF39" s="88">
        <f t="shared" si="29"/>
        <v>0</v>
      </c>
      <c r="AG39" s="88">
        <f t="shared" si="29"/>
        <v>0</v>
      </c>
      <c r="AH39" s="88">
        <f t="shared" si="29"/>
        <v>0</v>
      </c>
      <c r="AI39" s="88">
        <f t="shared" si="29"/>
        <v>0</v>
      </c>
      <c r="AJ39" s="88">
        <f t="shared" si="29"/>
        <v>0</v>
      </c>
      <c r="AK39" s="88">
        <f t="shared" si="29"/>
        <v>0</v>
      </c>
      <c r="AL39" s="88">
        <f t="shared" si="29"/>
        <v>0</v>
      </c>
      <c r="AM39" s="444">
        <f t="shared" ref="AM39:AX39" si="30">((AM22*(AM26-AM34))+AM36)*AM38</f>
        <v>0</v>
      </c>
      <c r="AN39" s="444">
        <f t="shared" si="30"/>
        <v>0</v>
      </c>
      <c r="AO39" s="444">
        <f t="shared" si="30"/>
        <v>0</v>
      </c>
      <c r="AP39" s="444">
        <f t="shared" si="30"/>
        <v>0</v>
      </c>
      <c r="AQ39" s="444">
        <f t="shared" si="30"/>
        <v>0</v>
      </c>
      <c r="AR39" s="444">
        <f t="shared" si="30"/>
        <v>0</v>
      </c>
      <c r="AS39" s="444">
        <f t="shared" si="30"/>
        <v>0</v>
      </c>
      <c r="AT39" s="444">
        <f t="shared" si="30"/>
        <v>0</v>
      </c>
      <c r="AU39" s="444">
        <f t="shared" si="30"/>
        <v>0</v>
      </c>
      <c r="AV39" s="444">
        <f t="shared" si="30"/>
        <v>0</v>
      </c>
      <c r="AW39" s="444">
        <f t="shared" si="30"/>
        <v>0</v>
      </c>
      <c r="AX39" s="444">
        <f t="shared" si="30"/>
        <v>0</v>
      </c>
    </row>
    <row r="40" spans="1:50">
      <c r="A40" s="73">
        <v>32</v>
      </c>
      <c r="B40" s="5"/>
      <c r="AM40" s="344"/>
      <c r="AN40" s="344"/>
      <c r="AO40" s="344"/>
      <c r="AP40" s="344"/>
      <c r="AQ40" s="344"/>
      <c r="AR40" s="344"/>
      <c r="AS40" s="344"/>
      <c r="AT40" s="344"/>
      <c r="AU40" s="344"/>
      <c r="AV40" s="344"/>
      <c r="AW40" s="344"/>
      <c r="AX40" s="344"/>
    </row>
    <row r="41" spans="1:50">
      <c r="A41" s="72">
        <v>33</v>
      </c>
      <c r="B41" s="11" t="s">
        <v>50</v>
      </c>
      <c r="AM41" s="344"/>
      <c r="AN41" s="344"/>
      <c r="AO41" s="344"/>
      <c r="AP41" s="344"/>
      <c r="AQ41" s="344"/>
      <c r="AR41" s="344"/>
      <c r="AS41" s="344"/>
      <c r="AT41" s="344"/>
      <c r="AU41" s="344"/>
      <c r="AV41" s="344"/>
      <c r="AW41" s="344"/>
      <c r="AX41" s="344"/>
    </row>
    <row r="42" spans="1:50" ht="32.25" customHeight="1">
      <c r="A42" s="73">
        <v>34</v>
      </c>
      <c r="B42" s="121" t="s">
        <v>109</v>
      </c>
      <c r="AM42" s="344"/>
      <c r="AN42" s="344"/>
      <c r="AO42" s="344"/>
      <c r="AP42" s="344"/>
      <c r="AQ42" s="344"/>
      <c r="AR42" s="344"/>
      <c r="AS42" s="344"/>
      <c r="AT42" s="344"/>
      <c r="AU42" s="344"/>
      <c r="AV42" s="344"/>
      <c r="AW42" s="344"/>
      <c r="AX42" s="344"/>
    </row>
    <row r="43" spans="1:50">
      <c r="A43" s="72">
        <v>35</v>
      </c>
      <c r="B43" s="5" t="s">
        <v>51</v>
      </c>
      <c r="C43" s="14"/>
      <c r="D43" s="14"/>
      <c r="E43" s="14">
        <f>'Income Tax Rates'!$C$17</f>
        <v>0.35</v>
      </c>
      <c r="F43" s="14">
        <f>'Income Tax Rates'!$C$17</f>
        <v>0.35</v>
      </c>
      <c r="G43" s="14">
        <f>'Income Tax Rates'!$C$17</f>
        <v>0.35</v>
      </c>
      <c r="H43" s="14">
        <f>'Income Tax Rates'!$C$17</f>
        <v>0.35</v>
      </c>
      <c r="I43" s="14">
        <f>'Income Tax Rates'!$C$17</f>
        <v>0.35</v>
      </c>
      <c r="J43" s="14">
        <f>'Income Tax Rates'!$C$17</f>
        <v>0.35</v>
      </c>
      <c r="K43" s="14">
        <f>'Income Tax Rates'!$C$17</f>
        <v>0.35</v>
      </c>
      <c r="L43" s="14">
        <f>'Income Tax Rates'!$C$17</f>
        <v>0.35</v>
      </c>
      <c r="M43" s="14">
        <f>'Income Tax Rates'!$C$17</f>
        <v>0.35</v>
      </c>
      <c r="N43" s="14">
        <f>'Income Tax Rates'!$C$17</f>
        <v>0.35</v>
      </c>
      <c r="O43" s="14">
        <f>'Income Tax Rates'!$C$17</f>
        <v>0.35</v>
      </c>
      <c r="P43" s="14">
        <f>'Income Tax Rates'!$C$17</f>
        <v>0.35</v>
      </c>
      <c r="Q43" s="14">
        <f>'Income Tax Rates'!$C$17</f>
        <v>0.35</v>
      </c>
      <c r="R43" s="14">
        <f>'Income Tax Rates'!$C$17</f>
        <v>0.35</v>
      </c>
      <c r="S43" s="14">
        <f>'Income Tax Rates'!$C$17</f>
        <v>0.35</v>
      </c>
      <c r="T43" s="14">
        <f>'Income Tax Rates'!$C$17</f>
        <v>0.35</v>
      </c>
      <c r="U43" s="14">
        <f>'Income Tax Rates'!$C$17</f>
        <v>0.35</v>
      </c>
      <c r="V43" s="14">
        <f>'Income Tax Rates'!$C$17</f>
        <v>0.35</v>
      </c>
      <c r="W43" s="14">
        <f>'Income Tax Rates'!$C$17</f>
        <v>0.35</v>
      </c>
      <c r="X43" s="14">
        <f>'Income Tax Rates'!$C$17</f>
        <v>0.35</v>
      </c>
      <c r="Y43" s="14">
        <f>'Income Tax Rates'!$C$17</f>
        <v>0.35</v>
      </c>
      <c r="Z43" s="14">
        <f>'Income Tax Rates'!$C$17</f>
        <v>0.35</v>
      </c>
      <c r="AA43" s="321">
        <f>'Income Tax Rates'!$E$53</f>
        <v>0.35</v>
      </c>
      <c r="AB43" s="321">
        <f>'Income Tax Rates'!$E$53</f>
        <v>0.35</v>
      </c>
      <c r="AC43" s="321">
        <f>'Income Tax Rates'!$E$53</f>
        <v>0.35</v>
      </c>
      <c r="AD43" s="321">
        <f>'Income Tax Rates'!$E$53</f>
        <v>0.35</v>
      </c>
      <c r="AE43" s="321">
        <f>'Income Tax Rates'!$E$53</f>
        <v>0.35</v>
      </c>
      <c r="AF43" s="321">
        <f>'Income Tax Rates'!$E$53</f>
        <v>0.35</v>
      </c>
      <c r="AG43" s="321">
        <f>'Income Tax Rates'!$E$53</f>
        <v>0.35</v>
      </c>
      <c r="AH43" s="321">
        <f>'Income Tax Rates'!$E$53</f>
        <v>0.35</v>
      </c>
      <c r="AI43" s="321">
        <f>'Income Tax Rates'!$E$53</f>
        <v>0.35</v>
      </c>
      <c r="AJ43" s="321">
        <f>'Income Tax Rates'!$E$53</f>
        <v>0.35</v>
      </c>
      <c r="AK43" s="321">
        <f>'Income Tax Rates'!$E$53</f>
        <v>0.35</v>
      </c>
      <c r="AL43" s="321">
        <f>'Income Tax Rates'!$E$53</f>
        <v>0.35</v>
      </c>
      <c r="AM43" s="321">
        <f>'Income Tax Rates'!$E$73</f>
        <v>0.35</v>
      </c>
      <c r="AN43" s="321">
        <f>'Income Tax Rates'!$E$73</f>
        <v>0.35</v>
      </c>
      <c r="AO43" s="321">
        <f>'Income Tax Rates'!$E$73</f>
        <v>0.35</v>
      </c>
      <c r="AP43" s="321">
        <f>'Income Tax Rates'!$E$73</f>
        <v>0.35</v>
      </c>
      <c r="AQ43" s="321">
        <f>'Income Tax Rates'!$E$73</f>
        <v>0.35</v>
      </c>
      <c r="AR43" s="321">
        <f>'Income Tax Rates'!$E$73</f>
        <v>0.35</v>
      </c>
      <c r="AS43" s="321">
        <f>'Income Tax Rates'!$E$73</f>
        <v>0.35</v>
      </c>
      <c r="AT43" s="321">
        <f>'Income Tax Rates'!$E$73</f>
        <v>0.35</v>
      </c>
      <c r="AU43" s="321">
        <f>'Income Tax Rates'!$E$73</f>
        <v>0.35</v>
      </c>
      <c r="AV43" s="321">
        <f>'Income Tax Rates'!$E$73</f>
        <v>0.35</v>
      </c>
      <c r="AW43" s="321">
        <f>'Income Tax Rates'!$E$73</f>
        <v>0.35</v>
      </c>
      <c r="AX43" s="321">
        <f>'Income Tax Rates'!$E$73</f>
        <v>0.35</v>
      </c>
    </row>
    <row r="44" spans="1:50">
      <c r="A44" s="73">
        <v>36</v>
      </c>
      <c r="B44" s="5" t="s">
        <v>52</v>
      </c>
      <c r="C44" s="88"/>
      <c r="D44" s="88"/>
      <c r="E44" s="88">
        <f t="shared" ref="E44:N44" si="31">((E22*(E26-E34))-E39+E36)*E43</f>
        <v>134.85913004168967</v>
      </c>
      <c r="F44" s="88">
        <f t="shared" si="31"/>
        <v>212.54966740963278</v>
      </c>
      <c r="G44" s="88">
        <f t="shared" si="31"/>
        <v>229.40564134204121</v>
      </c>
      <c r="H44" s="88">
        <f t="shared" si="31"/>
        <v>259.20147727025551</v>
      </c>
      <c r="I44" s="88">
        <f t="shared" si="31"/>
        <v>352.78450750182049</v>
      </c>
      <c r="J44" s="88">
        <f t="shared" si="31"/>
        <v>429.45761509863763</v>
      </c>
      <c r="K44" s="88">
        <f t="shared" si="31"/>
        <v>374.94312297368685</v>
      </c>
      <c r="L44" s="88">
        <f t="shared" si="31"/>
        <v>384.11311297914727</v>
      </c>
      <c r="M44" s="88">
        <f t="shared" si="31"/>
        <v>406.00253623113093</v>
      </c>
      <c r="N44" s="88">
        <f t="shared" si="31"/>
        <v>450.34358262654149</v>
      </c>
      <c r="O44" s="88">
        <f t="shared" ref="O44:Z44" si="32">((O22*(O26-O34))-O39+O36)*O43</f>
        <v>503.42066128904946</v>
      </c>
      <c r="P44" s="88">
        <f t="shared" si="32"/>
        <v>515.92977262178624</v>
      </c>
      <c r="Q44" s="88">
        <f t="shared" si="32"/>
        <v>531.80600281591069</v>
      </c>
      <c r="R44" s="88">
        <f t="shared" si="32"/>
        <v>543.94460163160386</v>
      </c>
      <c r="S44" s="88">
        <f t="shared" si="32"/>
        <v>295.19237567511499</v>
      </c>
      <c r="T44" s="88">
        <f t="shared" si="32"/>
        <v>0</v>
      </c>
      <c r="U44" s="88">
        <f t="shared" si="32"/>
        <v>0</v>
      </c>
      <c r="V44" s="88">
        <f t="shared" si="32"/>
        <v>0</v>
      </c>
      <c r="W44" s="88">
        <f t="shared" si="32"/>
        <v>0</v>
      </c>
      <c r="X44" s="88">
        <f t="shared" si="32"/>
        <v>0</v>
      </c>
      <c r="Y44" s="88">
        <f t="shared" si="32"/>
        <v>0</v>
      </c>
      <c r="Z44" s="88">
        <f t="shared" si="32"/>
        <v>0</v>
      </c>
      <c r="AA44" s="88">
        <f t="shared" ref="AA44:AL44" si="33">((AA22*(AA26-AA34))-AA39+AA36)*AA43</f>
        <v>0</v>
      </c>
      <c r="AB44" s="88">
        <f t="shared" si="33"/>
        <v>0</v>
      </c>
      <c r="AC44" s="88">
        <f t="shared" si="33"/>
        <v>0</v>
      </c>
      <c r="AD44" s="88">
        <f t="shared" si="33"/>
        <v>0</v>
      </c>
      <c r="AE44" s="88">
        <f t="shared" si="33"/>
        <v>0</v>
      </c>
      <c r="AF44" s="88">
        <f t="shared" si="33"/>
        <v>0</v>
      </c>
      <c r="AG44" s="88">
        <f t="shared" si="33"/>
        <v>0</v>
      </c>
      <c r="AH44" s="88">
        <f t="shared" si="33"/>
        <v>0</v>
      </c>
      <c r="AI44" s="88">
        <f t="shared" si="33"/>
        <v>0</v>
      </c>
      <c r="AJ44" s="88">
        <f t="shared" si="33"/>
        <v>0</v>
      </c>
      <c r="AK44" s="88">
        <f t="shared" si="33"/>
        <v>0</v>
      </c>
      <c r="AL44" s="88">
        <f t="shared" si="33"/>
        <v>0</v>
      </c>
      <c r="AM44" s="444">
        <f t="shared" ref="AM44:AX44" si="34">((AM22*(AM26-AM34))-AM39+AM36)*AM43</f>
        <v>0</v>
      </c>
      <c r="AN44" s="444">
        <f t="shared" si="34"/>
        <v>0</v>
      </c>
      <c r="AO44" s="444">
        <f t="shared" si="34"/>
        <v>0</v>
      </c>
      <c r="AP44" s="444">
        <f t="shared" si="34"/>
        <v>0</v>
      </c>
      <c r="AQ44" s="444">
        <f t="shared" si="34"/>
        <v>0</v>
      </c>
      <c r="AR44" s="444">
        <f t="shared" si="34"/>
        <v>0</v>
      </c>
      <c r="AS44" s="444">
        <f t="shared" si="34"/>
        <v>0</v>
      </c>
      <c r="AT44" s="444">
        <f t="shared" si="34"/>
        <v>0</v>
      </c>
      <c r="AU44" s="444">
        <f t="shared" si="34"/>
        <v>0</v>
      </c>
      <c r="AV44" s="444">
        <f t="shared" si="34"/>
        <v>0</v>
      </c>
      <c r="AW44" s="444">
        <f t="shared" si="34"/>
        <v>0</v>
      </c>
      <c r="AX44" s="444">
        <f t="shared" si="34"/>
        <v>0</v>
      </c>
    </row>
    <row r="45" spans="1:50">
      <c r="A45" s="72">
        <v>37</v>
      </c>
      <c r="B45" s="5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</row>
    <row r="46" spans="1:50" ht="25.5">
      <c r="A46" s="73">
        <v>38</v>
      </c>
      <c r="B46" s="12" t="s">
        <v>53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AM46" s="344"/>
      <c r="AN46" s="344"/>
      <c r="AO46" s="344"/>
      <c r="AP46" s="344"/>
      <c r="AQ46" s="344"/>
      <c r="AR46" s="344"/>
      <c r="AS46" s="344"/>
      <c r="AT46" s="344"/>
      <c r="AU46" s="344"/>
      <c r="AV46" s="344"/>
      <c r="AW46" s="344"/>
      <c r="AX46" s="344"/>
    </row>
    <row r="47" spans="1:50">
      <c r="A47" s="72">
        <v>39</v>
      </c>
      <c r="B47" s="5" t="s">
        <v>58</v>
      </c>
      <c r="C47" s="158"/>
      <c r="D47" s="158"/>
      <c r="E47" s="158">
        <f>-'Def Tax'!$F431</f>
        <v>-67.049531331048541</v>
      </c>
      <c r="F47" s="158">
        <f>-'Def Tax'!$F432</f>
        <v>-123.39842353816879</v>
      </c>
      <c r="G47" s="158">
        <f>-'Def Tax'!$F433</f>
        <v>-134.77344760818374</v>
      </c>
      <c r="H47" s="158">
        <f>-'Def Tax'!$F434</f>
        <v>-142.03221002624952</v>
      </c>
      <c r="I47" s="158">
        <f>-'Def Tax'!$F435</f>
        <v>-189.92070472184284</v>
      </c>
      <c r="J47" s="158">
        <f>-'Def Tax'!$F437</f>
        <v>-268.88489859567431</v>
      </c>
      <c r="K47" s="158">
        <f>-'Def Tax'!$F441</f>
        <v>-223.2309995186109</v>
      </c>
      <c r="L47" s="158">
        <f>-'Def Tax'!$F442</f>
        <v>-228.23291287424061</v>
      </c>
      <c r="M47" s="158">
        <f>-'Def Tax'!$F443</f>
        <v>-236.88529124263789</v>
      </c>
      <c r="N47" s="158">
        <f>-'Def Tax'!$F444</f>
        <v>-264.15736466390973</v>
      </c>
      <c r="O47" s="158">
        <f>-'Def Tax'!$F447</f>
        <v>-326.05676306814911</v>
      </c>
      <c r="P47" s="158">
        <f>-'Def Tax'!$F448</f>
        <v>-333.03037344893943</v>
      </c>
      <c r="Q47" s="158">
        <f>-'Def Tax'!$F449</f>
        <v>-346.58873903501001</v>
      </c>
      <c r="R47" s="158">
        <f>-'Def Tax'!$F450</f>
        <v>-349.03704519365624</v>
      </c>
      <c r="S47" s="158">
        <f>-'Def Tax'!$F452</f>
        <v>-375.79415960097805</v>
      </c>
      <c r="T47" s="158">
        <f>-'Def Tax'!$F456</f>
        <v>0</v>
      </c>
      <c r="U47" s="158">
        <f>-'Def Tax'!$F457</f>
        <v>0</v>
      </c>
      <c r="V47" s="158">
        <f>-'Def Tax'!$F458</f>
        <v>0</v>
      </c>
      <c r="W47" s="158">
        <f>-'Def Tax'!$F459</f>
        <v>0</v>
      </c>
      <c r="X47" s="158">
        <f>-'Def Tax'!$F460</f>
        <v>0</v>
      </c>
      <c r="Y47" s="158">
        <f>-'Def Tax'!$F461</f>
        <v>0</v>
      </c>
      <c r="Z47" s="158">
        <f>-'Def Tax'!$F462</f>
        <v>0</v>
      </c>
      <c r="AA47" s="158">
        <f>-'Def Tax'!$F466</f>
        <v>0</v>
      </c>
      <c r="AB47" s="158">
        <f>-'Def Tax'!$F467</f>
        <v>0</v>
      </c>
      <c r="AC47" s="158">
        <f>-'Def Tax'!$F468</f>
        <v>0</v>
      </c>
      <c r="AD47" s="158">
        <f>-'Def Tax'!$F469</f>
        <v>0</v>
      </c>
      <c r="AE47" s="158">
        <f>-'Def Tax'!$F470</f>
        <v>0</v>
      </c>
      <c r="AF47" s="158">
        <f>-'Def Tax'!$F471</f>
        <v>0</v>
      </c>
      <c r="AG47" s="158">
        <f>-'Def Tax'!$F472</f>
        <v>0</v>
      </c>
      <c r="AH47" s="158">
        <f>-'Def Tax'!$F473</f>
        <v>0</v>
      </c>
      <c r="AI47" s="158">
        <f>-'Def Tax'!$F474</f>
        <v>0</v>
      </c>
      <c r="AJ47" s="158">
        <f>-'Def Tax'!$F475</f>
        <v>0</v>
      </c>
      <c r="AK47" s="158">
        <f>-'Def Tax'!$F476</f>
        <v>0</v>
      </c>
      <c r="AL47" s="158">
        <f>-'Def Tax'!$F477</f>
        <v>0</v>
      </c>
      <c r="AM47" s="443">
        <f>-'Def Tax'!$F480</f>
        <v>0</v>
      </c>
      <c r="AN47" s="443">
        <f>-'Def Tax'!$F481</f>
        <v>0</v>
      </c>
      <c r="AO47" s="443">
        <f>-'Def Tax'!$F482</f>
        <v>0</v>
      </c>
      <c r="AP47" s="443">
        <f>-'Def Tax'!$F483</f>
        <v>0</v>
      </c>
      <c r="AQ47" s="443">
        <f>-'Def Tax'!$F484</f>
        <v>0</v>
      </c>
      <c r="AR47" s="443">
        <f>-'Def Tax'!$F485</f>
        <v>0</v>
      </c>
      <c r="AS47" s="443">
        <f>-'Def Tax'!$F486</f>
        <v>0</v>
      </c>
      <c r="AT47" s="443">
        <f>-'Def Tax'!$F487</f>
        <v>0</v>
      </c>
      <c r="AU47" s="443">
        <f>-'Def Tax'!$F488</f>
        <v>0</v>
      </c>
      <c r="AV47" s="443">
        <f>-'Def Tax'!$F489</f>
        <v>0</v>
      </c>
      <c r="AW47" s="443">
        <f>-'Def Tax'!$F490</f>
        <v>0</v>
      </c>
      <c r="AX47" s="443">
        <f>-'Def Tax'!$F491</f>
        <v>0</v>
      </c>
    </row>
    <row r="48" spans="1:50">
      <c r="A48" s="73">
        <v>40</v>
      </c>
      <c r="B48" s="5"/>
      <c r="AM48" s="344"/>
      <c r="AN48" s="344"/>
      <c r="AO48" s="344"/>
      <c r="AP48" s="344"/>
      <c r="AQ48" s="344"/>
      <c r="AR48" s="344"/>
      <c r="AS48" s="344"/>
      <c r="AT48" s="344"/>
      <c r="AU48" s="344"/>
      <c r="AV48" s="344"/>
      <c r="AW48" s="344"/>
      <c r="AX48" s="344"/>
    </row>
    <row r="49" spans="1:50">
      <c r="A49" s="72">
        <v>41</v>
      </c>
      <c r="B49" s="11" t="s">
        <v>54</v>
      </c>
      <c r="AM49" s="344"/>
      <c r="AN49" s="344"/>
      <c r="AO49" s="344"/>
      <c r="AP49" s="344"/>
      <c r="AQ49" s="344"/>
      <c r="AR49" s="344"/>
      <c r="AS49" s="344"/>
      <c r="AT49" s="344"/>
      <c r="AU49" s="344"/>
      <c r="AV49" s="344"/>
      <c r="AW49" s="344"/>
      <c r="AX49" s="344"/>
    </row>
    <row r="50" spans="1:50">
      <c r="A50" s="73">
        <v>42</v>
      </c>
      <c r="B50" s="11" t="s">
        <v>55</v>
      </c>
      <c r="AM50" s="344"/>
      <c r="AN50" s="344"/>
      <c r="AO50" s="344"/>
      <c r="AP50" s="344"/>
      <c r="AQ50" s="344"/>
      <c r="AR50" s="344"/>
      <c r="AS50" s="344"/>
      <c r="AT50" s="344"/>
      <c r="AU50" s="344"/>
      <c r="AV50" s="344"/>
      <c r="AW50" s="344"/>
      <c r="AX50" s="344"/>
    </row>
    <row r="51" spans="1:50" ht="25.5">
      <c r="A51" s="72">
        <v>43</v>
      </c>
      <c r="B51" s="12" t="s">
        <v>56</v>
      </c>
      <c r="AM51" s="344"/>
      <c r="AN51" s="344"/>
      <c r="AO51" s="344"/>
      <c r="AP51" s="344"/>
      <c r="AQ51" s="344"/>
      <c r="AR51" s="344"/>
      <c r="AS51" s="344"/>
      <c r="AT51" s="344"/>
      <c r="AU51" s="344"/>
      <c r="AV51" s="344"/>
      <c r="AW51" s="344"/>
      <c r="AX51" s="344"/>
    </row>
    <row r="52" spans="1:50">
      <c r="A52" s="73">
        <v>44</v>
      </c>
      <c r="B52" s="5" t="s">
        <v>57</v>
      </c>
      <c r="C52" s="79"/>
      <c r="D52" s="79"/>
      <c r="E52" s="79">
        <f>'Income Tax Rates'!$D$19</f>
        <v>0.40588299999999994</v>
      </c>
      <c r="F52" s="79">
        <f>'Income Tax Rates'!$D$19</f>
        <v>0.40588299999999994</v>
      </c>
      <c r="G52" s="79">
        <f>'Income Tax Rates'!$D$19</f>
        <v>0.40588299999999994</v>
      </c>
      <c r="H52" s="79">
        <f>'Income Tax Rates'!$D$19</f>
        <v>0.40588299999999994</v>
      </c>
      <c r="I52" s="79">
        <f>'Income Tax Rates'!$D$19</f>
        <v>0.40588299999999994</v>
      </c>
      <c r="J52" s="79">
        <f>'Income Tax Rates'!$D$19</f>
        <v>0.40588299999999994</v>
      </c>
      <c r="K52" s="79">
        <f>'Income Tax Rates'!$D$19</f>
        <v>0.40588299999999994</v>
      </c>
      <c r="L52" s="79">
        <f>'Income Tax Rates'!$D$19</f>
        <v>0.40588299999999994</v>
      </c>
      <c r="M52" s="79">
        <f>'Income Tax Rates'!$D$19</f>
        <v>0.40588299999999994</v>
      </c>
      <c r="N52" s="79">
        <f>'Income Tax Rates'!$D$19</f>
        <v>0.40588299999999994</v>
      </c>
      <c r="O52" s="79">
        <f>'Income Tax Rates'!$D$36</f>
        <v>0.40669976930000001</v>
      </c>
      <c r="P52" s="79">
        <f>'Income Tax Rates'!$D$36</f>
        <v>0.40669976930000001</v>
      </c>
      <c r="Q52" s="79">
        <f>'Income Tax Rates'!$D$36</f>
        <v>0.40669976930000001</v>
      </c>
      <c r="R52" s="79">
        <f>'Income Tax Rates'!$D$36</f>
        <v>0.40669976930000001</v>
      </c>
      <c r="S52" s="79">
        <f>'Income Tax Rates'!$D$36</f>
        <v>0.40669976930000001</v>
      </c>
      <c r="T52" s="79">
        <f>'Income Tax Rates'!$D$36</f>
        <v>0.40669976930000001</v>
      </c>
      <c r="U52" s="79">
        <f>'Income Tax Rates'!$D$36</f>
        <v>0.40669976930000001</v>
      </c>
      <c r="V52" s="79">
        <f>'Income Tax Rates'!$D$36</f>
        <v>0.40669976930000001</v>
      </c>
      <c r="W52" s="79">
        <f>'Income Tax Rates'!$D$36</f>
        <v>0.40669976930000001</v>
      </c>
      <c r="X52" s="79">
        <f>'Income Tax Rates'!$D$36</f>
        <v>0.40669976930000001</v>
      </c>
      <c r="Y52" s="79">
        <f>'Income Tax Rates'!$D$36</f>
        <v>0.40669976930000001</v>
      </c>
      <c r="Z52" s="79">
        <f>'Income Tax Rates'!$D$36</f>
        <v>0.40669976930000001</v>
      </c>
      <c r="AA52" s="79">
        <f>'Income Tax Rates'!$E$56</f>
        <v>0.40720000000000001</v>
      </c>
      <c r="AB52" s="79">
        <f>'Income Tax Rates'!$E$56</f>
        <v>0.40720000000000001</v>
      </c>
      <c r="AC52" s="79">
        <f>'Income Tax Rates'!$E$56</f>
        <v>0.40720000000000001</v>
      </c>
      <c r="AD52" s="79">
        <f>'Income Tax Rates'!$E$56</f>
        <v>0.40720000000000001</v>
      </c>
      <c r="AE52" s="79">
        <f>'Income Tax Rates'!$E$56</f>
        <v>0.40720000000000001</v>
      </c>
      <c r="AF52" s="79">
        <f>'Income Tax Rates'!$E$56</f>
        <v>0.40720000000000001</v>
      </c>
      <c r="AG52" s="79">
        <f>'Income Tax Rates'!$E$56</f>
        <v>0.40720000000000001</v>
      </c>
      <c r="AH52" s="79">
        <f>'Income Tax Rates'!$E$56</f>
        <v>0.40720000000000001</v>
      </c>
      <c r="AI52" s="79">
        <f>'Income Tax Rates'!$E$56</f>
        <v>0.40720000000000001</v>
      </c>
      <c r="AJ52" s="79">
        <f>'Income Tax Rates'!$E$56</f>
        <v>0.40720000000000001</v>
      </c>
      <c r="AK52" s="79">
        <f>'Income Tax Rates'!$E$56</f>
        <v>0.40720000000000001</v>
      </c>
      <c r="AL52" s="79">
        <f>'Income Tax Rates'!$E$56</f>
        <v>0.40720000000000001</v>
      </c>
      <c r="AM52" s="79">
        <f>'Income Tax Rates'!$E$76</f>
        <v>0.40739999999999998</v>
      </c>
      <c r="AN52" s="79">
        <f>'Income Tax Rates'!$E$76</f>
        <v>0.40739999999999998</v>
      </c>
      <c r="AO52" s="79">
        <f>'Income Tax Rates'!$E$76</f>
        <v>0.40739999999999998</v>
      </c>
      <c r="AP52" s="79">
        <f>'Income Tax Rates'!$E$76</f>
        <v>0.40739999999999998</v>
      </c>
      <c r="AQ52" s="79">
        <f>'Income Tax Rates'!$E$76</f>
        <v>0.40739999999999998</v>
      </c>
      <c r="AR52" s="79">
        <f>'Income Tax Rates'!$E$76</f>
        <v>0.40739999999999998</v>
      </c>
      <c r="AS52" s="79">
        <f>'Income Tax Rates'!$E$76</f>
        <v>0.40739999999999998</v>
      </c>
      <c r="AT52" s="79">
        <f>'Income Tax Rates'!$E$76</f>
        <v>0.40739999999999998</v>
      </c>
      <c r="AU52" s="79">
        <f>'Income Tax Rates'!$E$76</f>
        <v>0.40739999999999998</v>
      </c>
      <c r="AV52" s="79">
        <f>'Income Tax Rates'!$E$76</f>
        <v>0.40739999999999998</v>
      </c>
      <c r="AW52" s="79">
        <f>'Income Tax Rates'!$E$76</f>
        <v>0.40739999999999998</v>
      </c>
      <c r="AX52" s="79">
        <f>'Income Tax Rates'!$E$76</f>
        <v>0.40739999999999998</v>
      </c>
    </row>
    <row r="53" spans="1:50">
      <c r="A53" s="72">
        <v>45</v>
      </c>
      <c r="B53" s="5" t="s">
        <v>59</v>
      </c>
      <c r="C53" s="80"/>
      <c r="D53" s="80"/>
      <c r="E53" s="80">
        <f t="shared" ref="E53:N53" si="35">1/(1-E52)</f>
        <v>1.683170149987292</v>
      </c>
      <c r="F53" s="80">
        <f t="shared" si="35"/>
        <v>1.683170149987292</v>
      </c>
      <c r="G53" s="80">
        <f t="shared" si="35"/>
        <v>1.683170149987292</v>
      </c>
      <c r="H53" s="80">
        <f t="shared" si="35"/>
        <v>1.683170149987292</v>
      </c>
      <c r="I53" s="80">
        <f t="shared" si="35"/>
        <v>1.683170149987292</v>
      </c>
      <c r="J53" s="80">
        <f t="shared" si="35"/>
        <v>1.683170149987292</v>
      </c>
      <c r="K53" s="80">
        <f t="shared" si="35"/>
        <v>1.683170149987292</v>
      </c>
      <c r="L53" s="80">
        <f t="shared" si="35"/>
        <v>1.683170149987292</v>
      </c>
      <c r="M53" s="80">
        <f t="shared" si="35"/>
        <v>1.683170149987292</v>
      </c>
      <c r="N53" s="80">
        <f t="shared" si="35"/>
        <v>1.683170149987292</v>
      </c>
      <c r="O53" s="80">
        <f t="shared" ref="O53:Z53" si="36">1/(1-O52)</f>
        <v>1.6854872933727989</v>
      </c>
      <c r="P53" s="80">
        <f t="shared" si="36"/>
        <v>1.6854872933727989</v>
      </c>
      <c r="Q53" s="80">
        <f t="shared" si="36"/>
        <v>1.6854872933727989</v>
      </c>
      <c r="R53" s="80">
        <f t="shared" si="36"/>
        <v>1.6854872933727989</v>
      </c>
      <c r="S53" s="80">
        <f t="shared" si="36"/>
        <v>1.6854872933727989</v>
      </c>
      <c r="T53" s="80">
        <f t="shared" si="36"/>
        <v>1.6854872933727989</v>
      </c>
      <c r="U53" s="80">
        <f t="shared" si="36"/>
        <v>1.6854872933727989</v>
      </c>
      <c r="V53" s="80">
        <f t="shared" si="36"/>
        <v>1.6854872933727989</v>
      </c>
      <c r="W53" s="80">
        <f t="shared" si="36"/>
        <v>1.6854872933727989</v>
      </c>
      <c r="X53" s="80">
        <f t="shared" si="36"/>
        <v>1.6854872933727989</v>
      </c>
      <c r="Y53" s="80">
        <f t="shared" si="36"/>
        <v>1.6854872933727989</v>
      </c>
      <c r="Z53" s="80">
        <f t="shared" si="36"/>
        <v>1.6854872933727989</v>
      </c>
      <c r="AA53" s="80">
        <f t="shared" ref="AA53:AL53" si="37">1/(1-AA52)</f>
        <v>1.6869095816464237</v>
      </c>
      <c r="AB53" s="80">
        <f t="shared" si="37"/>
        <v>1.6869095816464237</v>
      </c>
      <c r="AC53" s="80">
        <f t="shared" si="37"/>
        <v>1.6869095816464237</v>
      </c>
      <c r="AD53" s="80">
        <f t="shared" si="37"/>
        <v>1.6869095816464237</v>
      </c>
      <c r="AE53" s="80">
        <f t="shared" si="37"/>
        <v>1.6869095816464237</v>
      </c>
      <c r="AF53" s="80">
        <f t="shared" si="37"/>
        <v>1.6869095816464237</v>
      </c>
      <c r="AG53" s="80">
        <f t="shared" si="37"/>
        <v>1.6869095816464237</v>
      </c>
      <c r="AH53" s="80">
        <f t="shared" si="37"/>
        <v>1.6869095816464237</v>
      </c>
      <c r="AI53" s="80">
        <f t="shared" si="37"/>
        <v>1.6869095816464237</v>
      </c>
      <c r="AJ53" s="80">
        <f t="shared" si="37"/>
        <v>1.6869095816464237</v>
      </c>
      <c r="AK53" s="80">
        <f t="shared" si="37"/>
        <v>1.6869095816464237</v>
      </c>
      <c r="AL53" s="80">
        <f t="shared" si="37"/>
        <v>1.6869095816464237</v>
      </c>
      <c r="AM53" s="451">
        <f t="shared" ref="AM53:AX53" si="38">1/(1-AM52)</f>
        <v>1.6874789065136686</v>
      </c>
      <c r="AN53" s="451">
        <f t="shared" si="38"/>
        <v>1.6874789065136686</v>
      </c>
      <c r="AO53" s="451">
        <f t="shared" si="38"/>
        <v>1.6874789065136686</v>
      </c>
      <c r="AP53" s="451">
        <f t="shared" si="38"/>
        <v>1.6874789065136686</v>
      </c>
      <c r="AQ53" s="451">
        <f t="shared" si="38"/>
        <v>1.6874789065136686</v>
      </c>
      <c r="AR53" s="451">
        <f t="shared" si="38"/>
        <v>1.6874789065136686</v>
      </c>
      <c r="AS53" s="451">
        <f t="shared" si="38"/>
        <v>1.6874789065136686</v>
      </c>
      <c r="AT53" s="451">
        <f t="shared" si="38"/>
        <v>1.6874789065136686</v>
      </c>
      <c r="AU53" s="451">
        <f t="shared" si="38"/>
        <v>1.6874789065136686</v>
      </c>
      <c r="AV53" s="451">
        <f t="shared" si="38"/>
        <v>1.6874789065136686</v>
      </c>
      <c r="AW53" s="451">
        <f t="shared" si="38"/>
        <v>1.6874789065136686</v>
      </c>
      <c r="AX53" s="451">
        <f t="shared" si="38"/>
        <v>1.6874789065136686</v>
      </c>
    </row>
    <row r="54" spans="1:50">
      <c r="A54" s="73">
        <v>46</v>
      </c>
      <c r="B54" s="5"/>
      <c r="C54" s="79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</row>
    <row r="55" spans="1:50" ht="15.75">
      <c r="A55" s="72">
        <v>47</v>
      </c>
      <c r="B55" s="53" t="s">
        <v>94</v>
      </c>
      <c r="C55" s="79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AM55" s="344"/>
      <c r="AN55" s="344"/>
      <c r="AO55" s="344"/>
      <c r="AP55" s="344"/>
      <c r="AQ55" s="344"/>
      <c r="AR55" s="344"/>
      <c r="AS55" s="344"/>
      <c r="AT55" s="344"/>
      <c r="AU55" s="344"/>
      <c r="AV55" s="344"/>
      <c r="AW55" s="344"/>
      <c r="AX55" s="344"/>
    </row>
    <row r="56" spans="1:50">
      <c r="A56" s="73">
        <v>48</v>
      </c>
      <c r="B56" s="5" t="s">
        <v>49</v>
      </c>
      <c r="C56" s="90"/>
      <c r="D56" s="90"/>
      <c r="E56" s="90">
        <f t="shared" ref="E56:Z56" si="39">E39</f>
        <v>36.242267888848509</v>
      </c>
      <c r="F56" s="90">
        <f t="shared" si="39"/>
        <v>57.120952682730561</v>
      </c>
      <c r="G56" s="90">
        <f t="shared" si="39"/>
        <v>61.650855275138973</v>
      </c>
      <c r="H56" s="90">
        <f t="shared" si="39"/>
        <v>69.658237996269492</v>
      </c>
      <c r="I56" s="90">
        <f t="shared" si="39"/>
        <v>94.807897870644382</v>
      </c>
      <c r="J56" s="90">
        <f t="shared" si="39"/>
        <v>115.41315688822314</v>
      </c>
      <c r="K56" s="90">
        <f t="shared" si="39"/>
        <v>100.76284120840062</v>
      </c>
      <c r="L56" s="90">
        <f t="shared" si="39"/>
        <v>103.2271996408866</v>
      </c>
      <c r="M56" s="90">
        <f t="shared" si="39"/>
        <v>109.10979981178741</v>
      </c>
      <c r="N56" s="90">
        <f t="shared" si="39"/>
        <v>121.02608669156743</v>
      </c>
      <c r="O56" s="90">
        <f t="shared" si="39"/>
        <v>137.4585322766512</v>
      </c>
      <c r="P56" s="90">
        <f t="shared" si="39"/>
        <v>140.87413321658946</v>
      </c>
      <c r="Q56" s="90">
        <f t="shared" si="39"/>
        <v>145.20912275591942</v>
      </c>
      <c r="R56" s="90">
        <f t="shared" si="39"/>
        <v>148.5235556058303</v>
      </c>
      <c r="S56" s="90">
        <f t="shared" si="39"/>
        <v>80.601997136270057</v>
      </c>
      <c r="T56" s="90">
        <f t="shared" si="39"/>
        <v>0</v>
      </c>
      <c r="U56" s="90">
        <f t="shared" si="39"/>
        <v>0</v>
      </c>
      <c r="V56" s="90">
        <f t="shared" si="39"/>
        <v>0</v>
      </c>
      <c r="W56" s="90">
        <f t="shared" si="39"/>
        <v>0</v>
      </c>
      <c r="X56" s="90">
        <f t="shared" si="39"/>
        <v>0</v>
      </c>
      <c r="Y56" s="90">
        <f t="shared" si="39"/>
        <v>0</v>
      </c>
      <c r="Z56" s="90">
        <f t="shared" si="39"/>
        <v>0</v>
      </c>
      <c r="AA56" s="90">
        <f t="shared" ref="AA56:AL56" si="40">AA39</f>
        <v>0</v>
      </c>
      <c r="AB56" s="90">
        <f t="shared" si="40"/>
        <v>0</v>
      </c>
      <c r="AC56" s="90">
        <f t="shared" si="40"/>
        <v>0</v>
      </c>
      <c r="AD56" s="90">
        <f t="shared" si="40"/>
        <v>0</v>
      </c>
      <c r="AE56" s="90">
        <f t="shared" si="40"/>
        <v>0</v>
      </c>
      <c r="AF56" s="90">
        <f t="shared" si="40"/>
        <v>0</v>
      </c>
      <c r="AG56" s="90">
        <f t="shared" si="40"/>
        <v>0</v>
      </c>
      <c r="AH56" s="90">
        <f t="shared" si="40"/>
        <v>0</v>
      </c>
      <c r="AI56" s="90">
        <f t="shared" si="40"/>
        <v>0</v>
      </c>
      <c r="AJ56" s="90">
        <f t="shared" si="40"/>
        <v>0</v>
      </c>
      <c r="AK56" s="90">
        <f t="shared" si="40"/>
        <v>0</v>
      </c>
      <c r="AL56" s="90">
        <f t="shared" si="40"/>
        <v>0</v>
      </c>
      <c r="AM56" s="90">
        <f t="shared" ref="AM56:AX56" si="41">AM39</f>
        <v>0</v>
      </c>
      <c r="AN56" s="90">
        <f t="shared" si="41"/>
        <v>0</v>
      </c>
      <c r="AO56" s="90">
        <f t="shared" si="41"/>
        <v>0</v>
      </c>
      <c r="AP56" s="90">
        <f t="shared" si="41"/>
        <v>0</v>
      </c>
      <c r="AQ56" s="90">
        <f t="shared" si="41"/>
        <v>0</v>
      </c>
      <c r="AR56" s="90">
        <f t="shared" si="41"/>
        <v>0</v>
      </c>
      <c r="AS56" s="90">
        <f t="shared" si="41"/>
        <v>0</v>
      </c>
      <c r="AT56" s="90">
        <f t="shared" si="41"/>
        <v>0</v>
      </c>
      <c r="AU56" s="90">
        <f t="shared" si="41"/>
        <v>0</v>
      </c>
      <c r="AV56" s="90">
        <f t="shared" si="41"/>
        <v>0</v>
      </c>
      <c r="AW56" s="90">
        <f t="shared" si="41"/>
        <v>0</v>
      </c>
      <c r="AX56" s="90">
        <f t="shared" si="41"/>
        <v>0</v>
      </c>
    </row>
    <row r="57" spans="1:50">
      <c r="A57" s="72">
        <v>49</v>
      </c>
      <c r="B57" s="5" t="s">
        <v>52</v>
      </c>
      <c r="C57" s="90"/>
      <c r="D57" s="90"/>
      <c r="E57" s="90">
        <f t="shared" ref="E57:Z57" si="42">E44</f>
        <v>134.85913004168967</v>
      </c>
      <c r="F57" s="90">
        <f t="shared" si="42"/>
        <v>212.54966740963278</v>
      </c>
      <c r="G57" s="90">
        <f t="shared" si="42"/>
        <v>229.40564134204121</v>
      </c>
      <c r="H57" s="90">
        <f t="shared" si="42"/>
        <v>259.20147727025551</v>
      </c>
      <c r="I57" s="90">
        <f t="shared" si="42"/>
        <v>352.78450750182049</v>
      </c>
      <c r="J57" s="90">
        <f t="shared" si="42"/>
        <v>429.45761509863763</v>
      </c>
      <c r="K57" s="90">
        <f t="shared" si="42"/>
        <v>374.94312297368685</v>
      </c>
      <c r="L57" s="90">
        <f t="shared" si="42"/>
        <v>384.11311297914727</v>
      </c>
      <c r="M57" s="90">
        <f t="shared" si="42"/>
        <v>406.00253623113093</v>
      </c>
      <c r="N57" s="90">
        <f t="shared" si="42"/>
        <v>450.34358262654149</v>
      </c>
      <c r="O57" s="90">
        <f t="shared" si="42"/>
        <v>503.42066128904946</v>
      </c>
      <c r="P57" s="90">
        <f t="shared" si="42"/>
        <v>515.92977262178624</v>
      </c>
      <c r="Q57" s="90">
        <f t="shared" si="42"/>
        <v>531.80600281591069</v>
      </c>
      <c r="R57" s="90">
        <f t="shared" si="42"/>
        <v>543.94460163160386</v>
      </c>
      <c r="S57" s="90">
        <f t="shared" si="42"/>
        <v>295.19237567511499</v>
      </c>
      <c r="T57" s="90">
        <f t="shared" si="42"/>
        <v>0</v>
      </c>
      <c r="U57" s="90">
        <f t="shared" si="42"/>
        <v>0</v>
      </c>
      <c r="V57" s="90">
        <f t="shared" si="42"/>
        <v>0</v>
      </c>
      <c r="W57" s="90">
        <f t="shared" si="42"/>
        <v>0</v>
      </c>
      <c r="X57" s="90">
        <f t="shared" si="42"/>
        <v>0</v>
      </c>
      <c r="Y57" s="90">
        <f t="shared" si="42"/>
        <v>0</v>
      </c>
      <c r="Z57" s="90">
        <f t="shared" si="42"/>
        <v>0</v>
      </c>
      <c r="AA57" s="90">
        <f t="shared" ref="AA57:AL57" si="43">AA44</f>
        <v>0</v>
      </c>
      <c r="AB57" s="90">
        <f t="shared" si="43"/>
        <v>0</v>
      </c>
      <c r="AC57" s="90">
        <f t="shared" si="43"/>
        <v>0</v>
      </c>
      <c r="AD57" s="90">
        <f t="shared" si="43"/>
        <v>0</v>
      </c>
      <c r="AE57" s="90">
        <f t="shared" si="43"/>
        <v>0</v>
      </c>
      <c r="AF57" s="90">
        <f t="shared" si="43"/>
        <v>0</v>
      </c>
      <c r="AG57" s="90">
        <f t="shared" si="43"/>
        <v>0</v>
      </c>
      <c r="AH57" s="90">
        <f t="shared" si="43"/>
        <v>0</v>
      </c>
      <c r="AI57" s="90">
        <f t="shared" si="43"/>
        <v>0</v>
      </c>
      <c r="AJ57" s="90">
        <f t="shared" si="43"/>
        <v>0</v>
      </c>
      <c r="AK57" s="90">
        <f t="shared" si="43"/>
        <v>0</v>
      </c>
      <c r="AL57" s="90">
        <f t="shared" si="43"/>
        <v>0</v>
      </c>
      <c r="AM57" s="90">
        <f t="shared" ref="AM57:AX57" si="44">AM44</f>
        <v>0</v>
      </c>
      <c r="AN57" s="90">
        <f t="shared" si="44"/>
        <v>0</v>
      </c>
      <c r="AO57" s="90">
        <f t="shared" si="44"/>
        <v>0</v>
      </c>
      <c r="AP57" s="90">
        <f t="shared" si="44"/>
        <v>0</v>
      </c>
      <c r="AQ57" s="90">
        <f t="shared" si="44"/>
        <v>0</v>
      </c>
      <c r="AR57" s="90">
        <f t="shared" si="44"/>
        <v>0</v>
      </c>
      <c r="AS57" s="90">
        <f t="shared" si="44"/>
        <v>0</v>
      </c>
      <c r="AT57" s="90">
        <f t="shared" si="44"/>
        <v>0</v>
      </c>
      <c r="AU57" s="90">
        <f t="shared" si="44"/>
        <v>0</v>
      </c>
      <c r="AV57" s="90">
        <f t="shared" si="44"/>
        <v>0</v>
      </c>
      <c r="AW57" s="90">
        <f t="shared" si="44"/>
        <v>0</v>
      </c>
      <c r="AX57" s="90">
        <f t="shared" si="44"/>
        <v>0</v>
      </c>
    </row>
    <row r="58" spans="1:50">
      <c r="A58" s="73">
        <v>50</v>
      </c>
      <c r="B58" s="5" t="s">
        <v>58</v>
      </c>
      <c r="C58" s="91"/>
      <c r="D58" s="91"/>
      <c r="E58" s="91">
        <f t="shared" ref="E58:Z58" si="45">E47</f>
        <v>-67.049531331048541</v>
      </c>
      <c r="F58" s="91">
        <f t="shared" si="45"/>
        <v>-123.39842353816879</v>
      </c>
      <c r="G58" s="91">
        <f t="shared" si="45"/>
        <v>-134.77344760818374</v>
      </c>
      <c r="H58" s="91">
        <f t="shared" si="45"/>
        <v>-142.03221002624952</v>
      </c>
      <c r="I58" s="91">
        <f t="shared" si="45"/>
        <v>-189.92070472184284</v>
      </c>
      <c r="J58" s="91">
        <f t="shared" si="45"/>
        <v>-268.88489859567431</v>
      </c>
      <c r="K58" s="91">
        <f t="shared" si="45"/>
        <v>-223.2309995186109</v>
      </c>
      <c r="L58" s="91">
        <f t="shared" si="45"/>
        <v>-228.23291287424061</v>
      </c>
      <c r="M58" s="91">
        <f t="shared" si="45"/>
        <v>-236.88529124263789</v>
      </c>
      <c r="N58" s="91">
        <f t="shared" si="45"/>
        <v>-264.15736466390973</v>
      </c>
      <c r="O58" s="91">
        <f t="shared" si="45"/>
        <v>-326.05676306814911</v>
      </c>
      <c r="P58" s="91">
        <f t="shared" si="45"/>
        <v>-333.03037344893943</v>
      </c>
      <c r="Q58" s="91">
        <f t="shared" si="45"/>
        <v>-346.58873903501001</v>
      </c>
      <c r="R58" s="91">
        <f t="shared" si="45"/>
        <v>-349.03704519365624</v>
      </c>
      <c r="S58" s="91">
        <f t="shared" si="45"/>
        <v>-375.79415960097805</v>
      </c>
      <c r="T58" s="91">
        <f t="shared" si="45"/>
        <v>0</v>
      </c>
      <c r="U58" s="91">
        <f t="shared" si="45"/>
        <v>0</v>
      </c>
      <c r="V58" s="91">
        <f t="shared" si="45"/>
        <v>0</v>
      </c>
      <c r="W58" s="91">
        <f t="shared" si="45"/>
        <v>0</v>
      </c>
      <c r="X58" s="91">
        <f t="shared" si="45"/>
        <v>0</v>
      </c>
      <c r="Y58" s="91">
        <f t="shared" si="45"/>
        <v>0</v>
      </c>
      <c r="Z58" s="91">
        <f t="shared" si="45"/>
        <v>0</v>
      </c>
      <c r="AA58" s="91">
        <f t="shared" ref="AA58:AL58" si="46">AA47</f>
        <v>0</v>
      </c>
      <c r="AB58" s="91">
        <f t="shared" si="46"/>
        <v>0</v>
      </c>
      <c r="AC58" s="91">
        <f t="shared" si="46"/>
        <v>0</v>
      </c>
      <c r="AD58" s="91">
        <f t="shared" si="46"/>
        <v>0</v>
      </c>
      <c r="AE58" s="91">
        <f t="shared" si="46"/>
        <v>0</v>
      </c>
      <c r="AF58" s="91">
        <f t="shared" si="46"/>
        <v>0</v>
      </c>
      <c r="AG58" s="91">
        <f t="shared" si="46"/>
        <v>0</v>
      </c>
      <c r="AH58" s="91">
        <f t="shared" si="46"/>
        <v>0</v>
      </c>
      <c r="AI58" s="91">
        <f t="shared" si="46"/>
        <v>0</v>
      </c>
      <c r="AJ58" s="91">
        <f t="shared" si="46"/>
        <v>0</v>
      </c>
      <c r="AK58" s="91">
        <f t="shared" si="46"/>
        <v>0</v>
      </c>
      <c r="AL58" s="91">
        <f t="shared" si="46"/>
        <v>0</v>
      </c>
      <c r="AM58" s="449">
        <f t="shared" ref="AM58:AX58" si="47">AM47</f>
        <v>0</v>
      </c>
      <c r="AN58" s="449">
        <f t="shared" si="47"/>
        <v>0</v>
      </c>
      <c r="AO58" s="449">
        <f t="shared" si="47"/>
        <v>0</v>
      </c>
      <c r="AP58" s="449">
        <f t="shared" si="47"/>
        <v>0</v>
      </c>
      <c r="AQ58" s="449">
        <f t="shared" si="47"/>
        <v>0</v>
      </c>
      <c r="AR58" s="449">
        <f t="shared" si="47"/>
        <v>0</v>
      </c>
      <c r="AS58" s="449">
        <f t="shared" si="47"/>
        <v>0</v>
      </c>
      <c r="AT58" s="449">
        <f t="shared" si="47"/>
        <v>0</v>
      </c>
      <c r="AU58" s="449">
        <f t="shared" si="47"/>
        <v>0</v>
      </c>
      <c r="AV58" s="449">
        <f t="shared" si="47"/>
        <v>0</v>
      </c>
      <c r="AW58" s="449">
        <f t="shared" si="47"/>
        <v>0</v>
      </c>
      <c r="AX58" s="449">
        <f t="shared" si="47"/>
        <v>0</v>
      </c>
    </row>
    <row r="59" spans="1:50">
      <c r="A59" s="72">
        <v>51</v>
      </c>
      <c r="B59" s="5" t="s">
        <v>59</v>
      </c>
      <c r="C59" s="57"/>
      <c r="D59" s="57"/>
      <c r="E59" s="57">
        <f t="shared" ref="E59:Z59" si="48">E53</f>
        <v>1.683170149987292</v>
      </c>
      <c r="F59" s="57">
        <f t="shared" si="48"/>
        <v>1.683170149987292</v>
      </c>
      <c r="G59" s="57">
        <f t="shared" si="48"/>
        <v>1.683170149987292</v>
      </c>
      <c r="H59" s="57">
        <f t="shared" si="48"/>
        <v>1.683170149987292</v>
      </c>
      <c r="I59" s="57">
        <f t="shared" si="48"/>
        <v>1.683170149987292</v>
      </c>
      <c r="J59" s="57">
        <f t="shared" si="48"/>
        <v>1.683170149987292</v>
      </c>
      <c r="K59" s="57">
        <f t="shared" si="48"/>
        <v>1.683170149987292</v>
      </c>
      <c r="L59" s="57">
        <f t="shared" si="48"/>
        <v>1.683170149987292</v>
      </c>
      <c r="M59" s="57">
        <f t="shared" si="48"/>
        <v>1.683170149987292</v>
      </c>
      <c r="N59" s="57">
        <f t="shared" si="48"/>
        <v>1.683170149987292</v>
      </c>
      <c r="O59" s="57">
        <f t="shared" si="48"/>
        <v>1.6854872933727989</v>
      </c>
      <c r="P59" s="57">
        <f t="shared" si="48"/>
        <v>1.6854872933727989</v>
      </c>
      <c r="Q59" s="57">
        <f t="shared" si="48"/>
        <v>1.6854872933727989</v>
      </c>
      <c r="R59" s="57">
        <f t="shared" si="48"/>
        <v>1.6854872933727989</v>
      </c>
      <c r="S59" s="57">
        <f t="shared" si="48"/>
        <v>1.6854872933727989</v>
      </c>
      <c r="T59" s="57">
        <f t="shared" si="48"/>
        <v>1.6854872933727989</v>
      </c>
      <c r="U59" s="57">
        <f t="shared" si="48"/>
        <v>1.6854872933727989</v>
      </c>
      <c r="V59" s="57">
        <f t="shared" si="48"/>
        <v>1.6854872933727989</v>
      </c>
      <c r="W59" s="57">
        <f t="shared" si="48"/>
        <v>1.6854872933727989</v>
      </c>
      <c r="X59" s="57">
        <f t="shared" si="48"/>
        <v>1.6854872933727989</v>
      </c>
      <c r="Y59" s="57">
        <f t="shared" si="48"/>
        <v>1.6854872933727989</v>
      </c>
      <c r="Z59" s="57">
        <f t="shared" si="48"/>
        <v>1.6854872933727989</v>
      </c>
      <c r="AA59" s="57">
        <f t="shared" ref="AA59:AL59" si="49">AA53</f>
        <v>1.6869095816464237</v>
      </c>
      <c r="AB59" s="57">
        <f t="shared" si="49"/>
        <v>1.6869095816464237</v>
      </c>
      <c r="AC59" s="57">
        <f t="shared" si="49"/>
        <v>1.6869095816464237</v>
      </c>
      <c r="AD59" s="57">
        <f t="shared" si="49"/>
        <v>1.6869095816464237</v>
      </c>
      <c r="AE59" s="57">
        <f t="shared" si="49"/>
        <v>1.6869095816464237</v>
      </c>
      <c r="AF59" s="57">
        <f t="shared" si="49"/>
        <v>1.6869095816464237</v>
      </c>
      <c r="AG59" s="57">
        <f t="shared" si="49"/>
        <v>1.6869095816464237</v>
      </c>
      <c r="AH59" s="57">
        <f t="shared" si="49"/>
        <v>1.6869095816464237</v>
      </c>
      <c r="AI59" s="57">
        <f t="shared" si="49"/>
        <v>1.6869095816464237</v>
      </c>
      <c r="AJ59" s="57">
        <f t="shared" si="49"/>
        <v>1.6869095816464237</v>
      </c>
      <c r="AK59" s="57">
        <f t="shared" si="49"/>
        <v>1.6869095816464237</v>
      </c>
      <c r="AL59" s="57">
        <f t="shared" si="49"/>
        <v>1.6869095816464237</v>
      </c>
      <c r="AM59" s="438">
        <f t="shared" ref="AM59:AX59" si="50">AM53</f>
        <v>1.6874789065136686</v>
      </c>
      <c r="AN59" s="438">
        <f t="shared" si="50"/>
        <v>1.6874789065136686</v>
      </c>
      <c r="AO59" s="438">
        <f t="shared" si="50"/>
        <v>1.6874789065136686</v>
      </c>
      <c r="AP59" s="438">
        <f t="shared" si="50"/>
        <v>1.6874789065136686</v>
      </c>
      <c r="AQ59" s="438">
        <f t="shared" si="50"/>
        <v>1.6874789065136686</v>
      </c>
      <c r="AR59" s="438">
        <f t="shared" si="50"/>
        <v>1.6874789065136686</v>
      </c>
      <c r="AS59" s="438">
        <f t="shared" si="50"/>
        <v>1.6874789065136686</v>
      </c>
      <c r="AT59" s="438">
        <f t="shared" si="50"/>
        <v>1.6874789065136686</v>
      </c>
      <c r="AU59" s="438">
        <f t="shared" si="50"/>
        <v>1.6874789065136686</v>
      </c>
      <c r="AV59" s="438">
        <f t="shared" si="50"/>
        <v>1.6874789065136686</v>
      </c>
      <c r="AW59" s="438">
        <f t="shared" si="50"/>
        <v>1.6874789065136686</v>
      </c>
      <c r="AX59" s="438">
        <f t="shared" si="50"/>
        <v>1.6874789065136686</v>
      </c>
    </row>
    <row r="60" spans="1:50">
      <c r="A60" s="73">
        <v>52</v>
      </c>
      <c r="B60" s="61" t="s">
        <v>60</v>
      </c>
      <c r="C60" s="66"/>
      <c r="D60" s="66"/>
      <c r="E60" s="66">
        <f t="shared" ref="E60:N60" si="51">(E56+E57+E58)*E59</f>
        <v>175.13699591072069</v>
      </c>
      <c r="F60" s="66">
        <f t="shared" si="51"/>
        <v>246.20099501309426</v>
      </c>
      <c r="G60" s="66">
        <f t="shared" si="51"/>
        <v>263.05096304094383</v>
      </c>
      <c r="H60" s="66">
        <f t="shared" si="51"/>
        <v>314.462480017026</v>
      </c>
      <c r="I60" s="66">
        <f t="shared" si="51"/>
        <v>433.7053150315881</v>
      </c>
      <c r="J60" s="66">
        <f t="shared" si="51"/>
        <v>464.53118391021701</v>
      </c>
      <c r="K60" s="66">
        <f t="shared" si="51"/>
        <v>424.95832414066012</v>
      </c>
      <c r="L60" s="66">
        <f t="shared" si="51"/>
        <v>436.12184089294408</v>
      </c>
      <c r="M60" s="66">
        <f t="shared" si="51"/>
        <v>468.30345672700895</v>
      </c>
      <c r="N60" s="66">
        <f t="shared" si="51"/>
        <v>517.09058090275005</v>
      </c>
      <c r="O60" s="66">
        <f t="shared" ref="O60:Z60" si="52">(O56+O57+O58)*O59</f>
        <v>530.62920627236429</v>
      </c>
      <c r="P60" s="66">
        <f t="shared" si="52"/>
        <v>545.7161747728212</v>
      </c>
      <c r="Q60" s="66">
        <f t="shared" si="52"/>
        <v>556.92947590289918</v>
      </c>
      <c r="R60" s="66">
        <f t="shared" si="52"/>
        <v>578.8487754986777</v>
      </c>
      <c r="S60" s="66">
        <f t="shared" si="52"/>
        <v>3.5936343185648988E-4</v>
      </c>
      <c r="T60" s="66">
        <f t="shared" si="52"/>
        <v>0</v>
      </c>
      <c r="U60" s="66">
        <f t="shared" si="52"/>
        <v>0</v>
      </c>
      <c r="V60" s="66">
        <f t="shared" si="52"/>
        <v>0</v>
      </c>
      <c r="W60" s="66">
        <f t="shared" si="52"/>
        <v>0</v>
      </c>
      <c r="X60" s="66">
        <f t="shared" si="52"/>
        <v>0</v>
      </c>
      <c r="Y60" s="66">
        <f t="shared" si="52"/>
        <v>0</v>
      </c>
      <c r="Z60" s="66">
        <f t="shared" si="52"/>
        <v>0</v>
      </c>
      <c r="AA60" s="66">
        <f t="shared" ref="AA60:AL60" si="53">(AA56+AA57+AA58)*AA59</f>
        <v>0</v>
      </c>
      <c r="AB60" s="66">
        <f t="shared" si="53"/>
        <v>0</v>
      </c>
      <c r="AC60" s="66">
        <f t="shared" si="53"/>
        <v>0</v>
      </c>
      <c r="AD60" s="66">
        <f t="shared" si="53"/>
        <v>0</v>
      </c>
      <c r="AE60" s="66">
        <f t="shared" si="53"/>
        <v>0</v>
      </c>
      <c r="AF60" s="66">
        <f t="shared" si="53"/>
        <v>0</v>
      </c>
      <c r="AG60" s="66">
        <f t="shared" si="53"/>
        <v>0</v>
      </c>
      <c r="AH60" s="66">
        <f t="shared" si="53"/>
        <v>0</v>
      </c>
      <c r="AI60" s="66">
        <f t="shared" si="53"/>
        <v>0</v>
      </c>
      <c r="AJ60" s="66">
        <f t="shared" si="53"/>
        <v>0</v>
      </c>
      <c r="AK60" s="66">
        <f t="shared" si="53"/>
        <v>0</v>
      </c>
      <c r="AL60" s="66">
        <f t="shared" si="53"/>
        <v>0</v>
      </c>
      <c r="AM60" s="446">
        <f t="shared" ref="AM60:AX60" si="54">(AM56+AM57+AM58)*AM59</f>
        <v>0</v>
      </c>
      <c r="AN60" s="446">
        <f t="shared" si="54"/>
        <v>0</v>
      </c>
      <c r="AO60" s="446">
        <f t="shared" si="54"/>
        <v>0</v>
      </c>
      <c r="AP60" s="446">
        <f t="shared" si="54"/>
        <v>0</v>
      </c>
      <c r="AQ60" s="446">
        <f t="shared" si="54"/>
        <v>0</v>
      </c>
      <c r="AR60" s="446">
        <f t="shared" si="54"/>
        <v>0</v>
      </c>
      <c r="AS60" s="446">
        <f t="shared" si="54"/>
        <v>0</v>
      </c>
      <c r="AT60" s="446">
        <f t="shared" si="54"/>
        <v>0</v>
      </c>
      <c r="AU60" s="446">
        <f t="shared" si="54"/>
        <v>0</v>
      </c>
      <c r="AV60" s="446">
        <f t="shared" si="54"/>
        <v>0</v>
      </c>
      <c r="AW60" s="446">
        <f t="shared" si="54"/>
        <v>0</v>
      </c>
      <c r="AX60" s="446">
        <f t="shared" si="54"/>
        <v>0</v>
      </c>
    </row>
    <row r="61" spans="1:50">
      <c r="A61" s="72">
        <v>53</v>
      </c>
      <c r="AM61" s="344"/>
      <c r="AN61" s="344"/>
      <c r="AO61" s="344"/>
      <c r="AP61" s="344"/>
      <c r="AQ61" s="344"/>
      <c r="AR61" s="344"/>
      <c r="AS61" s="344"/>
      <c r="AT61" s="344"/>
      <c r="AU61" s="344"/>
      <c r="AV61" s="344"/>
      <c r="AW61" s="344"/>
      <c r="AX61" s="344"/>
    </row>
    <row r="62" spans="1:50">
      <c r="A62" s="73">
        <v>54</v>
      </c>
      <c r="B62" s="64" t="s">
        <v>198</v>
      </c>
      <c r="AM62" s="344"/>
      <c r="AN62" s="344"/>
      <c r="AO62" s="344"/>
      <c r="AP62" s="344"/>
      <c r="AQ62" s="344"/>
      <c r="AR62" s="344"/>
      <c r="AS62" s="344"/>
      <c r="AT62" s="344"/>
      <c r="AU62" s="344"/>
      <c r="AV62" s="344"/>
      <c r="AW62" s="344"/>
      <c r="AX62" s="344"/>
    </row>
    <row r="63" spans="1:50" ht="15.75">
      <c r="A63" s="72">
        <v>55</v>
      </c>
      <c r="B63" s="1" t="s">
        <v>9</v>
      </c>
      <c r="AM63" s="344"/>
      <c r="AN63" s="344"/>
      <c r="AO63" s="344"/>
      <c r="AP63" s="344"/>
      <c r="AQ63" s="344"/>
      <c r="AR63" s="344"/>
      <c r="AS63" s="344"/>
      <c r="AT63" s="344"/>
      <c r="AU63" s="344"/>
      <c r="AV63" s="344"/>
      <c r="AW63" s="344"/>
      <c r="AX63" s="344"/>
    </row>
    <row r="64" spans="1:50" ht="15">
      <c r="A64" s="73">
        <v>56</v>
      </c>
      <c r="B64" s="2" t="s">
        <v>63</v>
      </c>
      <c r="AM64" s="344"/>
      <c r="AN64" s="344"/>
      <c r="AO64" s="344"/>
      <c r="AP64" s="344"/>
      <c r="AQ64" s="344"/>
      <c r="AR64" s="344"/>
      <c r="AS64" s="344"/>
      <c r="AT64" s="344"/>
      <c r="AU64" s="344"/>
      <c r="AV64" s="344"/>
      <c r="AW64" s="344"/>
      <c r="AX64" s="344"/>
    </row>
    <row r="65" spans="1:50">
      <c r="A65" s="72">
        <v>57</v>
      </c>
      <c r="B65" s="5" t="s">
        <v>13</v>
      </c>
      <c r="C65" s="65"/>
      <c r="D65" s="65"/>
      <c r="E65" s="65">
        <f t="shared" ref="E65:Z65" si="55">E22</f>
        <v>49586.041369206054</v>
      </c>
      <c r="F65" s="65">
        <f t="shared" si="55"/>
        <v>69706.208881301252</v>
      </c>
      <c r="G65" s="65">
        <f t="shared" si="55"/>
        <v>74476.895761366352</v>
      </c>
      <c r="H65" s="65">
        <f t="shared" si="55"/>
        <v>89032.884856091958</v>
      </c>
      <c r="I65" s="65">
        <f t="shared" si="55"/>
        <v>122793.77228208224</v>
      </c>
      <c r="J65" s="65">
        <f t="shared" si="55"/>
        <v>131521.45655793976</v>
      </c>
      <c r="K65" s="65">
        <f t="shared" si="55"/>
        <v>120317.28521025341</v>
      </c>
      <c r="L65" s="65">
        <f t="shared" si="55"/>
        <v>123477.98054459943</v>
      </c>
      <c r="M65" s="65">
        <f t="shared" si="55"/>
        <v>132589.46787447404</v>
      </c>
      <c r="N65" s="65">
        <f t="shared" si="55"/>
        <v>146402.43364494247</v>
      </c>
      <c r="O65" s="65">
        <f t="shared" si="55"/>
        <v>154586.04346801538</v>
      </c>
      <c r="P65" s="65">
        <f t="shared" si="55"/>
        <v>158981.26913669205</v>
      </c>
      <c r="Q65" s="65">
        <f t="shared" si="55"/>
        <v>162247.99258443387</v>
      </c>
      <c r="R65" s="65">
        <f t="shared" si="55"/>
        <v>168633.65584830323</v>
      </c>
      <c r="S65" s="65">
        <f t="shared" si="55"/>
        <v>0</v>
      </c>
      <c r="T65" s="65">
        <f t="shared" si="55"/>
        <v>0</v>
      </c>
      <c r="U65" s="65">
        <f t="shared" si="55"/>
        <v>0</v>
      </c>
      <c r="V65" s="65">
        <f t="shared" si="55"/>
        <v>0</v>
      </c>
      <c r="W65" s="65">
        <f t="shared" si="55"/>
        <v>0</v>
      </c>
      <c r="X65" s="65">
        <f t="shared" si="55"/>
        <v>0</v>
      </c>
      <c r="Y65" s="65">
        <f t="shared" si="55"/>
        <v>0</v>
      </c>
      <c r="Z65" s="65">
        <f t="shared" si="55"/>
        <v>0</v>
      </c>
      <c r="AA65" s="65">
        <f t="shared" ref="AA65:AL65" si="56">AA22</f>
        <v>0</v>
      </c>
      <c r="AB65" s="65">
        <f t="shared" si="56"/>
        <v>0</v>
      </c>
      <c r="AC65" s="65">
        <f t="shared" si="56"/>
        <v>0</v>
      </c>
      <c r="AD65" s="65">
        <f t="shared" si="56"/>
        <v>0</v>
      </c>
      <c r="AE65" s="65">
        <f t="shared" si="56"/>
        <v>0</v>
      </c>
      <c r="AF65" s="65">
        <f t="shared" si="56"/>
        <v>0</v>
      </c>
      <c r="AG65" s="65">
        <f t="shared" si="56"/>
        <v>0</v>
      </c>
      <c r="AH65" s="65">
        <f t="shared" si="56"/>
        <v>0</v>
      </c>
      <c r="AI65" s="65">
        <f t="shared" si="56"/>
        <v>0</v>
      </c>
      <c r="AJ65" s="65">
        <f t="shared" si="56"/>
        <v>0</v>
      </c>
      <c r="AK65" s="65">
        <f t="shared" si="56"/>
        <v>0</v>
      </c>
      <c r="AL65" s="65">
        <f t="shared" si="56"/>
        <v>0</v>
      </c>
      <c r="AM65" s="310">
        <f t="shared" ref="AM65:AX65" si="57">AM22</f>
        <v>0</v>
      </c>
      <c r="AN65" s="310">
        <f t="shared" si="57"/>
        <v>0</v>
      </c>
      <c r="AO65" s="310">
        <f t="shared" si="57"/>
        <v>0</v>
      </c>
      <c r="AP65" s="310">
        <f t="shared" si="57"/>
        <v>0</v>
      </c>
      <c r="AQ65" s="310">
        <f t="shared" si="57"/>
        <v>0</v>
      </c>
      <c r="AR65" s="310">
        <f t="shared" si="57"/>
        <v>0</v>
      </c>
      <c r="AS65" s="310">
        <f t="shared" si="57"/>
        <v>0</v>
      </c>
      <c r="AT65" s="310">
        <f t="shared" si="57"/>
        <v>0</v>
      </c>
      <c r="AU65" s="310">
        <f t="shared" si="57"/>
        <v>0</v>
      </c>
      <c r="AV65" s="310">
        <f t="shared" si="57"/>
        <v>0</v>
      </c>
      <c r="AW65" s="310">
        <f t="shared" si="57"/>
        <v>0</v>
      </c>
      <c r="AX65" s="310">
        <f t="shared" si="57"/>
        <v>0</v>
      </c>
    </row>
    <row r="66" spans="1:50">
      <c r="A66" s="73">
        <v>58</v>
      </c>
      <c r="B66" s="5" t="s">
        <v>48</v>
      </c>
      <c r="C66" s="122"/>
      <c r="D66" s="122"/>
      <c r="E66" s="122">
        <f t="shared" ref="E66:Z66" si="58">E26</f>
        <v>7.3949999999999997E-3</v>
      </c>
      <c r="F66" s="122">
        <f t="shared" si="58"/>
        <v>7.3949999999999997E-3</v>
      </c>
      <c r="G66" s="122">
        <f t="shared" si="58"/>
        <v>7.3949999999999997E-3</v>
      </c>
      <c r="H66" s="122">
        <f t="shared" si="58"/>
        <v>7.3949999999999997E-3</v>
      </c>
      <c r="I66" s="122">
        <f t="shared" si="58"/>
        <v>7.3949999999999997E-3</v>
      </c>
      <c r="J66" s="122">
        <f t="shared" si="58"/>
        <v>7.3949999999999997E-3</v>
      </c>
      <c r="K66" s="122">
        <f t="shared" si="58"/>
        <v>7.3949999999999997E-3</v>
      </c>
      <c r="L66" s="122">
        <f t="shared" si="58"/>
        <v>7.3949999999999997E-3</v>
      </c>
      <c r="M66" s="122">
        <f t="shared" si="58"/>
        <v>7.3949999999999997E-3</v>
      </c>
      <c r="N66" s="122">
        <f t="shared" si="58"/>
        <v>7.3949999999999997E-3</v>
      </c>
      <c r="O66" s="122">
        <f t="shared" si="58"/>
        <v>7.3075000000000006E-3</v>
      </c>
      <c r="P66" s="122">
        <f t="shared" si="58"/>
        <v>7.3075000000000006E-3</v>
      </c>
      <c r="Q66" s="122">
        <f t="shared" si="58"/>
        <v>7.3075000000000006E-3</v>
      </c>
      <c r="R66" s="122">
        <f t="shared" si="58"/>
        <v>7.3075000000000006E-3</v>
      </c>
      <c r="S66" s="122">
        <f t="shared" si="58"/>
        <v>7.3075000000000006E-3</v>
      </c>
      <c r="T66" s="122">
        <f t="shared" si="58"/>
        <v>7.3075000000000006E-3</v>
      </c>
      <c r="U66" s="122">
        <f t="shared" si="58"/>
        <v>7.3075000000000006E-3</v>
      </c>
      <c r="V66" s="122">
        <f t="shared" si="58"/>
        <v>7.3075000000000006E-3</v>
      </c>
      <c r="W66" s="122">
        <f t="shared" si="58"/>
        <v>7.3075000000000006E-3</v>
      </c>
      <c r="X66" s="122">
        <f t="shared" si="58"/>
        <v>7.3075000000000006E-3</v>
      </c>
      <c r="Y66" s="122">
        <f t="shared" si="58"/>
        <v>7.3075000000000006E-3</v>
      </c>
      <c r="Z66" s="122">
        <f t="shared" si="58"/>
        <v>7.3075000000000006E-3</v>
      </c>
      <c r="AA66" s="122">
        <f t="shared" ref="AA66:AL66" si="59">AA26</f>
        <v>7.3075000000000006E-3</v>
      </c>
      <c r="AB66" s="122">
        <f t="shared" si="59"/>
        <v>7.3075000000000006E-3</v>
      </c>
      <c r="AC66" s="122">
        <f t="shared" si="59"/>
        <v>7.3075000000000006E-3</v>
      </c>
      <c r="AD66" s="122">
        <f t="shared" si="59"/>
        <v>7.3075000000000006E-3</v>
      </c>
      <c r="AE66" s="122">
        <f t="shared" si="59"/>
        <v>7.3075000000000006E-3</v>
      </c>
      <c r="AF66" s="122">
        <f t="shared" si="59"/>
        <v>7.3200000000000001E-3</v>
      </c>
      <c r="AG66" s="122">
        <f t="shared" si="59"/>
        <v>7.3200000000000001E-3</v>
      </c>
      <c r="AH66" s="122">
        <f t="shared" si="59"/>
        <v>7.3200000000000001E-3</v>
      </c>
      <c r="AI66" s="122">
        <f t="shared" si="59"/>
        <v>7.3200000000000001E-3</v>
      </c>
      <c r="AJ66" s="122">
        <f t="shared" si="59"/>
        <v>7.3200000000000001E-3</v>
      </c>
      <c r="AK66" s="122">
        <f t="shared" si="59"/>
        <v>7.3200000000000001E-3</v>
      </c>
      <c r="AL66" s="122">
        <f t="shared" si="59"/>
        <v>7.3200000000000001E-3</v>
      </c>
      <c r="AM66" s="307">
        <f t="shared" ref="AM66:AX66" si="60">AM26</f>
        <v>7.228333333333334E-3</v>
      </c>
      <c r="AN66" s="307">
        <f t="shared" si="60"/>
        <v>7.228333333333334E-3</v>
      </c>
      <c r="AO66" s="307">
        <f t="shared" si="60"/>
        <v>7.228333333333334E-3</v>
      </c>
      <c r="AP66" s="307">
        <f t="shared" si="60"/>
        <v>7.228333333333334E-3</v>
      </c>
      <c r="AQ66" s="307">
        <f t="shared" si="60"/>
        <v>7.228333333333334E-3</v>
      </c>
      <c r="AR66" s="307">
        <f t="shared" si="60"/>
        <v>7.228333333333334E-3</v>
      </c>
      <c r="AS66" s="307">
        <f t="shared" si="60"/>
        <v>7.228333333333334E-3</v>
      </c>
      <c r="AT66" s="307">
        <f t="shared" si="60"/>
        <v>7.228333333333334E-3</v>
      </c>
      <c r="AU66" s="307">
        <f t="shared" si="60"/>
        <v>7.228333333333334E-3</v>
      </c>
      <c r="AV66" s="307">
        <f t="shared" si="60"/>
        <v>7.228333333333334E-3</v>
      </c>
      <c r="AW66" s="307">
        <f t="shared" si="60"/>
        <v>7.228333333333334E-3</v>
      </c>
      <c r="AX66" s="307">
        <f t="shared" si="60"/>
        <v>7.228333333333334E-3</v>
      </c>
    </row>
    <row r="67" spans="1:50">
      <c r="A67" s="72">
        <v>59</v>
      </c>
      <c r="B67" s="5" t="s">
        <v>111</v>
      </c>
      <c r="C67" s="60"/>
      <c r="D67" s="60"/>
      <c r="E67" s="60">
        <f t="shared" ref="E67:N67" si="61">E65*E66</f>
        <v>366.68877592527878</v>
      </c>
      <c r="F67" s="60">
        <f t="shared" si="61"/>
        <v>515.47741467722278</v>
      </c>
      <c r="G67" s="60">
        <f t="shared" si="61"/>
        <v>550.75664415530412</v>
      </c>
      <c r="H67" s="60">
        <f t="shared" si="61"/>
        <v>658.39818351079998</v>
      </c>
      <c r="I67" s="60">
        <f t="shared" si="61"/>
        <v>908.0599460259981</v>
      </c>
      <c r="J67" s="60">
        <f t="shared" si="61"/>
        <v>972.60117124596445</v>
      </c>
      <c r="K67" s="60">
        <f t="shared" si="61"/>
        <v>889.74632412982396</v>
      </c>
      <c r="L67" s="60">
        <f t="shared" si="61"/>
        <v>913.11966612731271</v>
      </c>
      <c r="M67" s="60">
        <f t="shared" si="61"/>
        <v>980.49911493173545</v>
      </c>
      <c r="N67" s="60">
        <f t="shared" si="61"/>
        <v>1082.6459968043496</v>
      </c>
      <c r="O67" s="60">
        <f t="shared" ref="O67:Z67" si="62">O65*O66</f>
        <v>1129.6375126425226</v>
      </c>
      <c r="P67" s="60">
        <f t="shared" si="62"/>
        <v>1161.7556242163773</v>
      </c>
      <c r="Q67" s="60">
        <f t="shared" si="62"/>
        <v>1185.6272058107506</v>
      </c>
      <c r="R67" s="60">
        <f t="shared" si="62"/>
        <v>1232.2904401114758</v>
      </c>
      <c r="S67" s="60">
        <f t="shared" si="62"/>
        <v>0</v>
      </c>
      <c r="T67" s="60">
        <f t="shared" si="62"/>
        <v>0</v>
      </c>
      <c r="U67" s="60">
        <f t="shared" si="62"/>
        <v>0</v>
      </c>
      <c r="V67" s="60">
        <f t="shared" si="62"/>
        <v>0</v>
      </c>
      <c r="W67" s="60">
        <f t="shared" si="62"/>
        <v>0</v>
      </c>
      <c r="X67" s="60">
        <f t="shared" si="62"/>
        <v>0</v>
      </c>
      <c r="Y67" s="60">
        <f t="shared" si="62"/>
        <v>0</v>
      </c>
      <c r="Z67" s="60">
        <f t="shared" si="62"/>
        <v>0</v>
      </c>
      <c r="AA67" s="60">
        <f t="shared" ref="AA67:AL67" si="63">AA65*AA66</f>
        <v>0</v>
      </c>
      <c r="AB67" s="60">
        <f t="shared" si="63"/>
        <v>0</v>
      </c>
      <c r="AC67" s="60">
        <f t="shared" si="63"/>
        <v>0</v>
      </c>
      <c r="AD67" s="60">
        <f t="shared" si="63"/>
        <v>0</v>
      </c>
      <c r="AE67" s="60">
        <f t="shared" si="63"/>
        <v>0</v>
      </c>
      <c r="AF67" s="60">
        <f t="shared" si="63"/>
        <v>0</v>
      </c>
      <c r="AG67" s="60">
        <f t="shared" si="63"/>
        <v>0</v>
      </c>
      <c r="AH67" s="60">
        <f t="shared" si="63"/>
        <v>0</v>
      </c>
      <c r="AI67" s="60">
        <f t="shared" si="63"/>
        <v>0</v>
      </c>
      <c r="AJ67" s="60">
        <f t="shared" si="63"/>
        <v>0</v>
      </c>
      <c r="AK67" s="60">
        <f t="shared" si="63"/>
        <v>0</v>
      </c>
      <c r="AL67" s="60">
        <f t="shared" si="63"/>
        <v>0</v>
      </c>
      <c r="AM67" s="437">
        <f t="shared" ref="AM67:AX67" si="64">AM65*AM66</f>
        <v>0</v>
      </c>
      <c r="AN67" s="437">
        <f t="shared" si="64"/>
        <v>0</v>
      </c>
      <c r="AO67" s="437">
        <f t="shared" si="64"/>
        <v>0</v>
      </c>
      <c r="AP67" s="437">
        <f t="shared" si="64"/>
        <v>0</v>
      </c>
      <c r="AQ67" s="437">
        <f t="shared" si="64"/>
        <v>0</v>
      </c>
      <c r="AR67" s="437">
        <f t="shared" si="64"/>
        <v>0</v>
      </c>
      <c r="AS67" s="437">
        <f t="shared" si="64"/>
        <v>0</v>
      </c>
      <c r="AT67" s="437">
        <f t="shared" si="64"/>
        <v>0</v>
      </c>
      <c r="AU67" s="437">
        <f t="shared" si="64"/>
        <v>0</v>
      </c>
      <c r="AV67" s="437">
        <f t="shared" si="64"/>
        <v>0</v>
      </c>
      <c r="AW67" s="437">
        <f t="shared" si="64"/>
        <v>0</v>
      </c>
      <c r="AX67" s="437">
        <f t="shared" si="64"/>
        <v>0</v>
      </c>
    </row>
    <row r="68" spans="1:50">
      <c r="A68" s="73">
        <v>60</v>
      </c>
      <c r="B68" s="5" t="s">
        <v>60</v>
      </c>
      <c r="C68" s="65"/>
      <c r="D68" s="65"/>
      <c r="E68" s="65">
        <f t="shared" ref="E68:Z68" si="65">E60</f>
        <v>175.13699591072069</v>
      </c>
      <c r="F68" s="65">
        <f t="shared" si="65"/>
        <v>246.20099501309426</v>
      </c>
      <c r="G68" s="65">
        <f t="shared" si="65"/>
        <v>263.05096304094383</v>
      </c>
      <c r="H68" s="65">
        <f t="shared" si="65"/>
        <v>314.462480017026</v>
      </c>
      <c r="I68" s="65">
        <f t="shared" si="65"/>
        <v>433.7053150315881</v>
      </c>
      <c r="J68" s="65">
        <f t="shared" si="65"/>
        <v>464.53118391021701</v>
      </c>
      <c r="K68" s="65">
        <f t="shared" si="65"/>
        <v>424.95832414066012</v>
      </c>
      <c r="L68" s="65">
        <f t="shared" si="65"/>
        <v>436.12184089294408</v>
      </c>
      <c r="M68" s="65">
        <f t="shared" si="65"/>
        <v>468.30345672700895</v>
      </c>
      <c r="N68" s="65">
        <f t="shared" si="65"/>
        <v>517.09058090275005</v>
      </c>
      <c r="O68" s="65">
        <f t="shared" si="65"/>
        <v>530.62920627236429</v>
      </c>
      <c r="P68" s="65">
        <f t="shared" si="65"/>
        <v>545.7161747728212</v>
      </c>
      <c r="Q68" s="65">
        <f t="shared" si="65"/>
        <v>556.92947590289918</v>
      </c>
      <c r="R68" s="65">
        <f t="shared" si="65"/>
        <v>578.8487754986777</v>
      </c>
      <c r="S68" s="65">
        <f t="shared" si="65"/>
        <v>3.5936343185648988E-4</v>
      </c>
      <c r="T68" s="65">
        <f t="shared" si="65"/>
        <v>0</v>
      </c>
      <c r="U68" s="65">
        <f t="shared" si="65"/>
        <v>0</v>
      </c>
      <c r="V68" s="65">
        <f t="shared" si="65"/>
        <v>0</v>
      </c>
      <c r="W68" s="65">
        <f t="shared" si="65"/>
        <v>0</v>
      </c>
      <c r="X68" s="65">
        <f t="shared" si="65"/>
        <v>0</v>
      </c>
      <c r="Y68" s="65">
        <f t="shared" si="65"/>
        <v>0</v>
      </c>
      <c r="Z68" s="65">
        <f t="shared" si="65"/>
        <v>0</v>
      </c>
      <c r="AA68" s="65">
        <f t="shared" ref="AA68:AL68" si="66">AA60</f>
        <v>0</v>
      </c>
      <c r="AB68" s="65">
        <f t="shared" si="66"/>
        <v>0</v>
      </c>
      <c r="AC68" s="65">
        <f t="shared" si="66"/>
        <v>0</v>
      </c>
      <c r="AD68" s="65">
        <f t="shared" si="66"/>
        <v>0</v>
      </c>
      <c r="AE68" s="65">
        <f t="shared" si="66"/>
        <v>0</v>
      </c>
      <c r="AF68" s="65">
        <f t="shared" si="66"/>
        <v>0</v>
      </c>
      <c r="AG68" s="65">
        <f t="shared" si="66"/>
        <v>0</v>
      </c>
      <c r="AH68" s="65">
        <f t="shared" si="66"/>
        <v>0</v>
      </c>
      <c r="AI68" s="65">
        <f t="shared" si="66"/>
        <v>0</v>
      </c>
      <c r="AJ68" s="65">
        <f t="shared" si="66"/>
        <v>0</v>
      </c>
      <c r="AK68" s="65">
        <f t="shared" si="66"/>
        <v>0</v>
      </c>
      <c r="AL68" s="65">
        <f t="shared" si="66"/>
        <v>0</v>
      </c>
      <c r="AM68" s="310">
        <f t="shared" ref="AM68:AX68" si="67">AM60</f>
        <v>0</v>
      </c>
      <c r="AN68" s="310">
        <f t="shared" si="67"/>
        <v>0</v>
      </c>
      <c r="AO68" s="310">
        <f t="shared" si="67"/>
        <v>0</v>
      </c>
      <c r="AP68" s="310">
        <f t="shared" si="67"/>
        <v>0</v>
      </c>
      <c r="AQ68" s="310">
        <f t="shared" si="67"/>
        <v>0</v>
      </c>
      <c r="AR68" s="310">
        <f t="shared" si="67"/>
        <v>0</v>
      </c>
      <c r="AS68" s="310">
        <f t="shared" si="67"/>
        <v>0</v>
      </c>
      <c r="AT68" s="310">
        <f t="shared" si="67"/>
        <v>0</v>
      </c>
      <c r="AU68" s="310">
        <f t="shared" si="67"/>
        <v>0</v>
      </c>
      <c r="AV68" s="310">
        <f t="shared" si="67"/>
        <v>0</v>
      </c>
      <c r="AW68" s="310">
        <f t="shared" si="67"/>
        <v>0</v>
      </c>
      <c r="AX68" s="310">
        <f t="shared" si="67"/>
        <v>0</v>
      </c>
    </row>
    <row r="69" spans="1:50">
      <c r="A69" s="72">
        <v>61</v>
      </c>
      <c r="B69" s="61" t="s">
        <v>112</v>
      </c>
      <c r="C69" s="66"/>
      <c r="D69" s="66"/>
      <c r="E69" s="66">
        <f t="shared" ref="E69:N69" si="68">E67+E68</f>
        <v>541.82577183599949</v>
      </c>
      <c r="F69" s="66">
        <f t="shared" si="68"/>
        <v>761.67840969031704</v>
      </c>
      <c r="G69" s="66">
        <f t="shared" si="68"/>
        <v>813.807607196248</v>
      </c>
      <c r="H69" s="66">
        <f t="shared" si="68"/>
        <v>972.86066352782598</v>
      </c>
      <c r="I69" s="66">
        <f t="shared" si="68"/>
        <v>1341.7652610575863</v>
      </c>
      <c r="J69" s="66">
        <f t="shared" si="68"/>
        <v>1437.1323551561813</v>
      </c>
      <c r="K69" s="66">
        <f t="shared" si="68"/>
        <v>1314.7046482704841</v>
      </c>
      <c r="L69" s="66">
        <f t="shared" si="68"/>
        <v>1349.2415070202569</v>
      </c>
      <c r="M69" s="66">
        <f t="shared" si="68"/>
        <v>1448.8025716587445</v>
      </c>
      <c r="N69" s="66">
        <f t="shared" si="68"/>
        <v>1599.7365777070995</v>
      </c>
      <c r="O69" s="66">
        <f t="shared" ref="O69:Z69" si="69">O67+O68</f>
        <v>1660.266718914887</v>
      </c>
      <c r="P69" s="66">
        <f t="shared" si="69"/>
        <v>1707.4717989891985</v>
      </c>
      <c r="Q69" s="66">
        <f t="shared" si="69"/>
        <v>1742.5566817136498</v>
      </c>
      <c r="R69" s="66">
        <f t="shared" si="69"/>
        <v>1811.1392156101535</v>
      </c>
      <c r="S69" s="66">
        <f t="shared" si="69"/>
        <v>3.5936343185648988E-4</v>
      </c>
      <c r="T69" s="66">
        <f t="shared" si="69"/>
        <v>0</v>
      </c>
      <c r="U69" s="66">
        <f t="shared" si="69"/>
        <v>0</v>
      </c>
      <c r="V69" s="66">
        <f t="shared" si="69"/>
        <v>0</v>
      </c>
      <c r="W69" s="66">
        <f t="shared" si="69"/>
        <v>0</v>
      </c>
      <c r="X69" s="66">
        <f t="shared" si="69"/>
        <v>0</v>
      </c>
      <c r="Y69" s="66">
        <f t="shared" si="69"/>
        <v>0</v>
      </c>
      <c r="Z69" s="66">
        <f t="shared" si="69"/>
        <v>0</v>
      </c>
      <c r="AA69" s="66">
        <f t="shared" ref="AA69:AL69" si="70">AA67+AA68</f>
        <v>0</v>
      </c>
      <c r="AB69" s="66">
        <f t="shared" si="70"/>
        <v>0</v>
      </c>
      <c r="AC69" s="66">
        <f t="shared" si="70"/>
        <v>0</v>
      </c>
      <c r="AD69" s="66">
        <f t="shared" si="70"/>
        <v>0</v>
      </c>
      <c r="AE69" s="66">
        <f t="shared" si="70"/>
        <v>0</v>
      </c>
      <c r="AF69" s="66">
        <f t="shared" si="70"/>
        <v>0</v>
      </c>
      <c r="AG69" s="66">
        <f t="shared" si="70"/>
        <v>0</v>
      </c>
      <c r="AH69" s="66">
        <f t="shared" si="70"/>
        <v>0</v>
      </c>
      <c r="AI69" s="66">
        <f t="shared" si="70"/>
        <v>0</v>
      </c>
      <c r="AJ69" s="66">
        <f t="shared" si="70"/>
        <v>0</v>
      </c>
      <c r="AK69" s="66">
        <f t="shared" si="70"/>
        <v>0</v>
      </c>
      <c r="AL69" s="66">
        <f t="shared" si="70"/>
        <v>0</v>
      </c>
      <c r="AM69" s="446">
        <f t="shared" ref="AM69:AX69" si="71">AM67+AM68</f>
        <v>0</v>
      </c>
      <c r="AN69" s="446">
        <f t="shared" si="71"/>
        <v>0</v>
      </c>
      <c r="AO69" s="446">
        <f t="shared" si="71"/>
        <v>0</v>
      </c>
      <c r="AP69" s="446">
        <f t="shared" si="71"/>
        <v>0</v>
      </c>
      <c r="AQ69" s="446">
        <f t="shared" si="71"/>
        <v>0</v>
      </c>
      <c r="AR69" s="446">
        <f t="shared" si="71"/>
        <v>0</v>
      </c>
      <c r="AS69" s="446">
        <f t="shared" si="71"/>
        <v>0</v>
      </c>
      <c r="AT69" s="446">
        <f t="shared" si="71"/>
        <v>0</v>
      </c>
      <c r="AU69" s="446">
        <f t="shared" si="71"/>
        <v>0</v>
      </c>
      <c r="AV69" s="446">
        <f t="shared" si="71"/>
        <v>0</v>
      </c>
      <c r="AW69" s="446">
        <f t="shared" si="71"/>
        <v>0</v>
      </c>
      <c r="AX69" s="446">
        <f t="shared" si="71"/>
        <v>0</v>
      </c>
    </row>
    <row r="70" spans="1:50">
      <c r="AM70" s="344"/>
      <c r="AN70" s="344"/>
      <c r="AO70" s="344"/>
      <c r="AP70" s="344"/>
      <c r="AQ70" s="344"/>
      <c r="AR70" s="344"/>
      <c r="AS70" s="344"/>
      <c r="AT70" s="344"/>
      <c r="AU70" s="344"/>
      <c r="AV70" s="344"/>
      <c r="AW70" s="344"/>
      <c r="AX70" s="344"/>
    </row>
    <row r="71" spans="1:50">
      <c r="AM71" s="344"/>
      <c r="AN71" s="344"/>
      <c r="AO71" s="344"/>
      <c r="AP71" s="344"/>
      <c r="AQ71" s="344"/>
      <c r="AR71" s="344"/>
      <c r="AS71" s="344"/>
      <c r="AT71" s="344"/>
      <c r="AU71" s="344"/>
      <c r="AV71" s="344"/>
      <c r="AW71" s="344"/>
      <c r="AX71" s="344"/>
    </row>
    <row r="72" spans="1:50">
      <c r="AM72" s="344"/>
      <c r="AN72" s="344"/>
      <c r="AO72" s="344"/>
      <c r="AP72" s="344"/>
      <c r="AQ72" s="344"/>
      <c r="AR72" s="344"/>
      <c r="AS72" s="344"/>
      <c r="AT72" s="344"/>
      <c r="AU72" s="344"/>
      <c r="AV72" s="344"/>
      <c r="AW72" s="344"/>
      <c r="AX72" s="344"/>
    </row>
    <row r="73" spans="1:50">
      <c r="AM73" s="344"/>
      <c r="AN73" s="344"/>
      <c r="AO73" s="344"/>
      <c r="AP73" s="344"/>
      <c r="AQ73" s="344"/>
      <c r="AR73" s="344"/>
      <c r="AS73" s="344"/>
      <c r="AT73" s="344"/>
      <c r="AU73" s="344"/>
      <c r="AV73" s="344"/>
      <c r="AW73" s="344"/>
      <c r="AX73" s="344"/>
    </row>
  </sheetData>
  <mergeCells count="24">
    <mergeCell ref="AM16:AX16"/>
    <mergeCell ref="C16:N16"/>
    <mergeCell ref="O16:Z16"/>
    <mergeCell ref="AA16:AL16"/>
    <mergeCell ref="AM1:AX1"/>
    <mergeCell ref="AM2:AX2"/>
    <mergeCell ref="AM3:AX3"/>
    <mergeCell ref="AM4:AX4"/>
    <mergeCell ref="AM5:AX5"/>
    <mergeCell ref="AA1:AL1"/>
    <mergeCell ref="AA2:AL2"/>
    <mergeCell ref="AA3:AL3"/>
    <mergeCell ref="AA4:AL4"/>
    <mergeCell ref="AA5:AL5"/>
    <mergeCell ref="O1:Z1"/>
    <mergeCell ref="O2:Z2"/>
    <mergeCell ref="O3:Z3"/>
    <mergeCell ref="O4:Z4"/>
    <mergeCell ref="O5:Z5"/>
    <mergeCell ref="C1:N1"/>
    <mergeCell ref="C2:N2"/>
    <mergeCell ref="C3:N3"/>
    <mergeCell ref="C4:N4"/>
    <mergeCell ref="C5:N5"/>
  </mergeCells>
  <phoneticPr fontId="4" type="noConversion"/>
  <printOptions horizontalCentered="1"/>
  <pageMargins left="0.75" right="0.75" top="0.39" bottom="0.34" header="0.27" footer="0.18"/>
  <pageSetup scale="52" fitToWidth="0" orientation="portrait" r:id="rId1"/>
  <headerFooter alignWithMargins="0">
    <oddHeader>&amp;RTO9 Annual Update
Attachment 4
WP-Schedule 3-CWIPBA Model
Page &amp;P of &amp;N</oddHeader>
    <oddFooter>&amp;R&amp;A</oddFooter>
  </headerFooter>
  <rowBreaks count="1" manualBreakCount="1">
    <brk id="72" max="25" man="1"/>
  </rowBreaks>
  <colBreaks count="3" manualBreakCount="3">
    <brk id="14" min="7" max="68" man="1"/>
    <brk id="26" min="7" max="68" man="1"/>
    <brk id="38" min="7" max="6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72"/>
  <sheetViews>
    <sheetView zoomScaleNormal="100" zoomScalePageLayoutView="90" workbookViewId="0">
      <selection sqref="A1:O1"/>
    </sheetView>
  </sheetViews>
  <sheetFormatPr defaultRowHeight="12.75"/>
  <cols>
    <col min="2" max="2" width="60.5703125" bestFit="1" customWidth="1"/>
    <col min="3" max="7" width="10.140625" bestFit="1" customWidth="1"/>
    <col min="8" max="9" width="10.5703125" bestFit="1" customWidth="1"/>
    <col min="10" max="10" width="10.140625" bestFit="1" customWidth="1"/>
    <col min="11" max="11" width="10" customWidth="1"/>
    <col min="12" max="12" width="10.5703125" customWidth="1"/>
    <col min="13" max="15" width="10" customWidth="1"/>
  </cols>
  <sheetData>
    <row r="1" spans="1:15" ht="15.75">
      <c r="A1" s="647" t="s">
        <v>0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647"/>
      <c r="O1" s="647"/>
    </row>
    <row r="2" spans="1:15" ht="15">
      <c r="A2" s="648" t="s">
        <v>6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  <c r="N2" s="648"/>
      <c r="O2" s="648"/>
    </row>
    <row r="3" spans="1:15" ht="15">
      <c r="A3" s="649" t="s">
        <v>326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649"/>
      <c r="O3" s="649"/>
    </row>
    <row r="4" spans="1:15">
      <c r="A4" s="650" t="s">
        <v>1</v>
      </c>
      <c r="B4" s="650"/>
      <c r="C4" s="650"/>
      <c r="D4" s="650"/>
      <c r="E4" s="650"/>
      <c r="F4" s="650"/>
      <c r="G4" s="650"/>
      <c r="H4" s="650"/>
      <c r="I4" s="650"/>
      <c r="J4" s="650"/>
      <c r="K4" s="650"/>
      <c r="L4" s="650"/>
      <c r="M4" s="650"/>
      <c r="N4" s="650"/>
      <c r="O4" s="650"/>
    </row>
    <row r="5" spans="1:15" ht="15.75">
      <c r="A5" s="647" t="s">
        <v>7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  <c r="L5" s="647"/>
      <c r="M5" s="647"/>
      <c r="N5" s="647"/>
      <c r="O5" s="647"/>
    </row>
    <row r="6" spans="1:15">
      <c r="A6" s="354"/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</row>
    <row r="7" spans="1:15">
      <c r="A7" s="354"/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</row>
    <row r="8" spans="1:15">
      <c r="A8" s="356" t="s">
        <v>2</v>
      </c>
      <c r="B8" s="357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</row>
    <row r="9" spans="1:15">
      <c r="A9" s="354">
        <v>1</v>
      </c>
      <c r="B9" s="358" t="s">
        <v>110</v>
      </c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</row>
    <row r="10" spans="1:15">
      <c r="A10" s="359">
        <v>2</v>
      </c>
      <c r="B10" s="355" t="s">
        <v>61</v>
      </c>
      <c r="C10" s="35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</row>
    <row r="11" spans="1:15" ht="15.75">
      <c r="A11" s="354">
        <v>3</v>
      </c>
      <c r="B11" s="360" t="s">
        <v>96</v>
      </c>
      <c r="C11" s="355"/>
      <c r="D11" s="355"/>
      <c r="E11" s="355"/>
      <c r="F11" s="355"/>
      <c r="G11" s="355"/>
      <c r="H11" s="355"/>
      <c r="I11" s="355"/>
      <c r="J11" s="355"/>
      <c r="K11" s="355"/>
      <c r="L11" s="355"/>
      <c r="M11" s="355"/>
      <c r="N11" s="355"/>
    </row>
    <row r="12" spans="1:15">
      <c r="A12" s="359">
        <v>4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355"/>
    </row>
    <row r="13" spans="1:15">
      <c r="A13" s="354">
        <v>5</v>
      </c>
      <c r="B13" s="361" t="s">
        <v>62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</row>
    <row r="14" spans="1:15" ht="15.75">
      <c r="A14" s="359">
        <v>6</v>
      </c>
      <c r="B14" s="360" t="s">
        <v>253</v>
      </c>
      <c r="C14" s="35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</row>
    <row r="15" spans="1:15">
      <c r="A15" s="354">
        <v>7</v>
      </c>
      <c r="B15" s="361"/>
      <c r="C15" s="355"/>
      <c r="D15" s="355"/>
      <c r="E15" s="355"/>
      <c r="F15" s="355"/>
      <c r="G15" s="355"/>
      <c r="H15" s="355"/>
      <c r="I15" s="355"/>
      <c r="J15" s="355"/>
      <c r="K15" s="355"/>
      <c r="L15" s="355"/>
      <c r="M15" s="355"/>
      <c r="N15" s="355"/>
    </row>
    <row r="16" spans="1:15" ht="15.75">
      <c r="A16" s="359">
        <v>8</v>
      </c>
      <c r="B16" s="362" t="s">
        <v>97</v>
      </c>
      <c r="C16" s="396">
        <v>2010</v>
      </c>
      <c r="D16" s="646">
        <v>2011</v>
      </c>
      <c r="E16" s="646"/>
      <c r="F16" s="646"/>
      <c r="G16" s="646"/>
      <c r="H16" s="646"/>
      <c r="I16" s="646"/>
      <c r="J16" s="646"/>
      <c r="K16" s="646"/>
      <c r="L16" s="646"/>
      <c r="M16" s="646"/>
      <c r="N16" s="646"/>
      <c r="O16" s="646"/>
    </row>
    <row r="17" spans="1:15" ht="21" thickBot="1">
      <c r="A17" s="354">
        <v>9</v>
      </c>
      <c r="B17" s="363" t="s">
        <v>330</v>
      </c>
      <c r="C17" s="395" t="s">
        <v>101</v>
      </c>
      <c r="D17" s="395" t="s">
        <v>100</v>
      </c>
      <c r="E17" s="395" t="s">
        <v>76</v>
      </c>
      <c r="F17" s="395" t="s">
        <v>77</v>
      </c>
      <c r="G17" s="395" t="s">
        <v>78</v>
      </c>
      <c r="H17" s="395" t="s">
        <v>75</v>
      </c>
      <c r="I17" s="395" t="s">
        <v>79</v>
      </c>
      <c r="J17" s="395" t="s">
        <v>80</v>
      </c>
      <c r="K17" s="395" t="s">
        <v>81</v>
      </c>
      <c r="L17" s="395" t="s">
        <v>82</v>
      </c>
      <c r="M17" s="395" t="s">
        <v>83</v>
      </c>
      <c r="N17" s="395" t="s">
        <v>84</v>
      </c>
      <c r="O17" s="395" t="s">
        <v>101</v>
      </c>
    </row>
    <row r="18" spans="1:15" ht="29.25" thickTop="1">
      <c r="A18" s="359">
        <v>10</v>
      </c>
      <c r="B18" s="365" t="s">
        <v>254</v>
      </c>
      <c r="C18" s="366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5"/>
      <c r="O18" s="366"/>
    </row>
    <row r="19" spans="1:15">
      <c r="A19" s="367">
        <v>11</v>
      </c>
      <c r="B19" s="368" t="s">
        <v>146</v>
      </c>
      <c r="C19" s="369">
        <f>'Eldorado Ivanpah CWIP Balance'!E15+'Def Tax'!F607</f>
        <v>8819.8372099999997</v>
      </c>
      <c r="D19" s="370">
        <f>C20</f>
        <v>9550.2739747495416</v>
      </c>
      <c r="E19" s="370">
        <f>D20</f>
        <v>9803.2571312349919</v>
      </c>
      <c r="F19" s="370">
        <f t="shared" ref="F19:H19" si="0">E20</f>
        <v>10463.842421907844</v>
      </c>
      <c r="G19" s="370">
        <f t="shared" si="0"/>
        <v>11240.250749201246</v>
      </c>
      <c r="H19" s="370">
        <f t="shared" si="0"/>
        <v>13000.738963783646</v>
      </c>
      <c r="I19" s="370">
        <f t="shared" ref="I19:O19" si="1">IF(I20=0,0,H20)</f>
        <v>13731.39980009463</v>
      </c>
      <c r="J19" s="370">
        <f t="shared" si="1"/>
        <v>14995.562221684453</v>
      </c>
      <c r="K19" s="370">
        <f t="shared" si="1"/>
        <v>16027.69656120833</v>
      </c>
      <c r="L19" s="370">
        <f t="shared" si="1"/>
        <v>17583.213968917193</v>
      </c>
      <c r="M19" s="370">
        <f t="shared" si="1"/>
        <v>18837.131752474579</v>
      </c>
      <c r="N19" s="370">
        <f t="shared" si="1"/>
        <v>24210.94745997481</v>
      </c>
      <c r="O19" s="370">
        <f t="shared" si="1"/>
        <v>21357.376823696955</v>
      </c>
    </row>
    <row r="20" spans="1:15">
      <c r="A20" s="371">
        <v>12</v>
      </c>
      <c r="B20" s="368" t="s">
        <v>147</v>
      </c>
      <c r="C20" s="372">
        <f>'Eldorado Ivanpah CWIP Balance'!E16+'Def Tax'!F608</f>
        <v>9550.2739747495416</v>
      </c>
      <c r="D20" s="372">
        <f>'Eldorado Ivanpah CWIP Balance'!E17+'Def Tax'!F609</f>
        <v>9803.2571312349919</v>
      </c>
      <c r="E20" s="372">
        <f>'Eldorado Ivanpah CWIP Balance'!E18+'Def Tax'!F610</f>
        <v>10463.842421907844</v>
      </c>
      <c r="F20" s="372">
        <f>'Eldorado Ivanpah CWIP Balance'!E19+'Def Tax'!F611</f>
        <v>11240.250749201246</v>
      </c>
      <c r="G20" s="372">
        <f>'Eldorado Ivanpah CWIP Balance'!E20+'Def Tax'!F612</f>
        <v>13000.738963783646</v>
      </c>
      <c r="H20" s="372">
        <f>'Eldorado Ivanpah CWIP Balance'!E21+'Def Tax'!F613</f>
        <v>13731.39980009463</v>
      </c>
      <c r="I20" s="372">
        <f>'Eldorado Ivanpah CWIP Balance'!E22+'Def Tax'!F614</f>
        <v>14995.562221684453</v>
      </c>
      <c r="J20" s="372">
        <f>'Eldorado Ivanpah CWIP Balance'!E23+'Def Tax'!F615</f>
        <v>16027.69656120833</v>
      </c>
      <c r="K20" s="372">
        <f>'Eldorado Ivanpah CWIP Balance'!E24+'Def Tax'!F616</f>
        <v>17583.213968917193</v>
      </c>
      <c r="L20" s="372">
        <f>'Eldorado Ivanpah CWIP Balance'!E25+'Def Tax'!F617</f>
        <v>18837.131752474579</v>
      </c>
      <c r="M20" s="372">
        <f>'Eldorado Ivanpah CWIP Balance'!E26+'Def Tax'!F618</f>
        <v>24210.94745997481</v>
      </c>
      <c r="N20" s="372">
        <f>'Eldorado Ivanpah CWIP Balance'!E27+'Def Tax'!F619</f>
        <v>21357.376823696955</v>
      </c>
      <c r="O20" s="372">
        <f>'Eldorado Ivanpah CWIP Balance'!E28+'Def Tax'!F620</f>
        <v>31005.612863696955</v>
      </c>
    </row>
    <row r="21" spans="1:15">
      <c r="A21" s="367">
        <v>13</v>
      </c>
      <c r="B21" s="368" t="s">
        <v>12</v>
      </c>
      <c r="C21" s="452">
        <f>SUM(C19:C20)</f>
        <v>18370.111184749541</v>
      </c>
      <c r="D21" s="452">
        <f>SUM(D19:D20)</f>
        <v>19353.531105984533</v>
      </c>
      <c r="E21" s="452">
        <f t="shared" ref="E21:N21" si="2">SUM(E19:E20)</f>
        <v>20267.099553142834</v>
      </c>
      <c r="F21" s="452">
        <f t="shared" si="2"/>
        <v>21704.093171109089</v>
      </c>
      <c r="G21" s="452">
        <f t="shared" si="2"/>
        <v>24240.989712984891</v>
      </c>
      <c r="H21" s="452">
        <f t="shared" si="2"/>
        <v>26732.138763878276</v>
      </c>
      <c r="I21" s="452">
        <f t="shared" si="2"/>
        <v>28726.962021779083</v>
      </c>
      <c r="J21" s="452">
        <f t="shared" si="2"/>
        <v>31023.258782892783</v>
      </c>
      <c r="K21" s="452">
        <f t="shared" si="2"/>
        <v>33610.910530125519</v>
      </c>
      <c r="L21" s="452">
        <f t="shared" si="2"/>
        <v>36420.345721391772</v>
      </c>
      <c r="M21" s="452">
        <f t="shared" si="2"/>
        <v>43048.079212449389</v>
      </c>
      <c r="N21" s="452">
        <f t="shared" si="2"/>
        <v>45568.324283671769</v>
      </c>
      <c r="O21" s="452">
        <f>SUM(O19:O20)</f>
        <v>52362.989687393914</v>
      </c>
    </row>
    <row r="22" spans="1:15">
      <c r="A22" s="359">
        <v>14</v>
      </c>
      <c r="B22" s="466" t="s">
        <v>13</v>
      </c>
      <c r="C22" s="460">
        <f>C21/2</f>
        <v>9185.0555923747706</v>
      </c>
      <c r="D22" s="460">
        <f>D21/2</f>
        <v>9676.7655529922667</v>
      </c>
      <c r="E22" s="460">
        <f t="shared" ref="E22:N22" si="3">E21/2</f>
        <v>10133.549776571417</v>
      </c>
      <c r="F22" s="460">
        <f t="shared" si="3"/>
        <v>10852.046585554544</v>
      </c>
      <c r="G22" s="460">
        <f t="shared" si="3"/>
        <v>12120.494856492445</v>
      </c>
      <c r="H22" s="460">
        <f t="shared" si="3"/>
        <v>13366.069381939138</v>
      </c>
      <c r="I22" s="460">
        <f t="shared" si="3"/>
        <v>14363.481010889542</v>
      </c>
      <c r="J22" s="460">
        <f t="shared" si="3"/>
        <v>15511.629391446391</v>
      </c>
      <c r="K22" s="460">
        <f t="shared" si="3"/>
        <v>16805.455265062759</v>
      </c>
      <c r="L22" s="460">
        <f t="shared" si="3"/>
        <v>18210.172860695886</v>
      </c>
      <c r="M22" s="460">
        <f t="shared" si="3"/>
        <v>21524.039606224695</v>
      </c>
      <c r="N22" s="460">
        <f t="shared" si="3"/>
        <v>22784.162141835885</v>
      </c>
      <c r="O22" s="460">
        <f>O21/2</f>
        <v>26181.494843696957</v>
      </c>
    </row>
    <row r="23" spans="1:15">
      <c r="A23" s="354">
        <v>15</v>
      </c>
      <c r="B23" s="373"/>
      <c r="C23" s="544"/>
      <c r="D23" s="453"/>
      <c r="E23" s="453"/>
      <c r="F23" s="453"/>
      <c r="G23" s="453"/>
      <c r="H23" s="453"/>
      <c r="I23" s="453"/>
      <c r="J23" s="453"/>
      <c r="K23" s="453"/>
      <c r="L23" s="453"/>
      <c r="M23" s="453"/>
      <c r="N23" s="453"/>
      <c r="O23" s="453"/>
    </row>
    <row r="24" spans="1:15" ht="28.5">
      <c r="A24" s="359">
        <v>16</v>
      </c>
      <c r="B24" s="365" t="s">
        <v>255</v>
      </c>
      <c r="C24" s="453"/>
      <c r="D24" s="453"/>
      <c r="E24" s="453"/>
      <c r="F24" s="453"/>
      <c r="G24" s="453"/>
      <c r="H24" s="453"/>
      <c r="I24" s="453"/>
      <c r="J24" s="453"/>
      <c r="K24" s="453"/>
      <c r="L24" s="453"/>
      <c r="M24" s="453"/>
      <c r="N24" s="453"/>
      <c r="O24" s="453"/>
    </row>
    <row r="25" spans="1:15">
      <c r="A25" s="367">
        <v>17</v>
      </c>
      <c r="B25" s="374" t="s">
        <v>47</v>
      </c>
      <c r="C25" s="375">
        <f>'Cost of Capital'!D92</f>
        <v>8.4279999999999994E-2</v>
      </c>
      <c r="D25" s="375">
        <f>'Cost of Capital'!D145</f>
        <v>8.3139999999999992E-2</v>
      </c>
      <c r="E25" s="375">
        <f>$D$25</f>
        <v>8.3139999999999992E-2</v>
      </c>
      <c r="F25" s="375">
        <f t="shared" ref="F25:O25" si="4">$D$25</f>
        <v>8.3139999999999992E-2</v>
      </c>
      <c r="G25" s="375">
        <f t="shared" si="4"/>
        <v>8.3139999999999992E-2</v>
      </c>
      <c r="H25" s="375">
        <f t="shared" si="4"/>
        <v>8.3139999999999992E-2</v>
      </c>
      <c r="I25" s="375">
        <f t="shared" si="4"/>
        <v>8.3139999999999992E-2</v>
      </c>
      <c r="J25" s="375">
        <f t="shared" si="4"/>
        <v>8.3139999999999992E-2</v>
      </c>
      <c r="K25" s="375">
        <f t="shared" si="4"/>
        <v>8.3139999999999992E-2</v>
      </c>
      <c r="L25" s="375">
        <f t="shared" si="4"/>
        <v>8.3139999999999992E-2</v>
      </c>
      <c r="M25" s="375">
        <f t="shared" si="4"/>
        <v>8.3139999999999992E-2</v>
      </c>
      <c r="N25" s="375">
        <f t="shared" si="4"/>
        <v>8.3139999999999992E-2</v>
      </c>
      <c r="O25" s="375">
        <f t="shared" si="4"/>
        <v>8.3139999999999992E-2</v>
      </c>
    </row>
    <row r="26" spans="1:15">
      <c r="A26" s="359">
        <v>18</v>
      </c>
      <c r="B26" s="466" t="s">
        <v>48</v>
      </c>
      <c r="C26" s="441">
        <f>'Cost of Capital'!D93</f>
        <v>7.0233333333333328E-3</v>
      </c>
      <c r="D26" s="441">
        <f>'Cost of Capital'!D146</f>
        <v>6.9283333333333324E-3</v>
      </c>
      <c r="E26" s="441">
        <f>$D$26</f>
        <v>6.9283333333333324E-3</v>
      </c>
      <c r="F26" s="441">
        <f t="shared" ref="F26:O26" si="5">$D$26</f>
        <v>6.9283333333333324E-3</v>
      </c>
      <c r="G26" s="441">
        <f t="shared" si="5"/>
        <v>6.9283333333333324E-3</v>
      </c>
      <c r="H26" s="441">
        <f t="shared" si="5"/>
        <v>6.9283333333333324E-3</v>
      </c>
      <c r="I26" s="441">
        <f t="shared" si="5"/>
        <v>6.9283333333333324E-3</v>
      </c>
      <c r="J26" s="441">
        <f t="shared" si="5"/>
        <v>6.9283333333333324E-3</v>
      </c>
      <c r="K26" s="441">
        <f t="shared" si="5"/>
        <v>6.9283333333333324E-3</v>
      </c>
      <c r="L26" s="441">
        <f t="shared" si="5"/>
        <v>6.9283333333333324E-3</v>
      </c>
      <c r="M26" s="441">
        <f t="shared" si="5"/>
        <v>6.9283333333333324E-3</v>
      </c>
      <c r="N26" s="441">
        <f t="shared" si="5"/>
        <v>6.9283333333333324E-3</v>
      </c>
      <c r="O26" s="441">
        <f t="shared" si="5"/>
        <v>6.9283333333333324E-3</v>
      </c>
    </row>
    <row r="27" spans="1:15">
      <c r="A27" s="354">
        <v>19</v>
      </c>
      <c r="B27" s="373"/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</row>
    <row r="28" spans="1:15" ht="15.75">
      <c r="A28" s="359">
        <v>20</v>
      </c>
      <c r="B28" s="376" t="s">
        <v>256</v>
      </c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</row>
    <row r="29" spans="1:15">
      <c r="A29" s="354">
        <v>21</v>
      </c>
      <c r="B29" s="377" t="s">
        <v>91</v>
      </c>
      <c r="C29" s="453"/>
      <c r="D29" s="453"/>
      <c r="E29" s="453"/>
      <c r="F29" s="453"/>
      <c r="G29" s="453"/>
      <c r="H29" s="453"/>
      <c r="I29" s="453"/>
      <c r="J29" s="453"/>
      <c r="K29" s="453"/>
      <c r="L29" s="453"/>
      <c r="M29" s="453"/>
      <c r="N29" s="453"/>
      <c r="O29" s="453"/>
    </row>
    <row r="30" spans="1:15">
      <c r="A30" s="359">
        <v>22</v>
      </c>
      <c r="B30" s="378" t="s">
        <v>15</v>
      </c>
      <c r="C30" s="453"/>
      <c r="D30" s="453"/>
      <c r="E30" s="453"/>
      <c r="F30" s="453"/>
      <c r="G30" s="453"/>
      <c r="H30" s="453"/>
      <c r="I30" s="453"/>
      <c r="J30" s="453"/>
      <c r="K30" s="453"/>
      <c r="L30" s="453"/>
      <c r="M30" s="453"/>
      <c r="N30" s="453"/>
      <c r="O30" s="453"/>
    </row>
    <row r="31" spans="1:15" ht="25.5">
      <c r="A31" s="354">
        <v>23</v>
      </c>
      <c r="B31" s="379" t="s">
        <v>92</v>
      </c>
      <c r="C31" s="453"/>
      <c r="D31" s="453"/>
      <c r="E31" s="453"/>
      <c r="F31" s="453"/>
      <c r="G31" s="453"/>
      <c r="H31" s="453"/>
      <c r="I31" s="453"/>
      <c r="J31" s="453"/>
      <c r="K31" s="453"/>
      <c r="L31" s="453"/>
      <c r="M31" s="453"/>
      <c r="N31" s="453"/>
      <c r="O31" s="453"/>
    </row>
    <row r="32" spans="1:15" ht="25.5">
      <c r="A32" s="359">
        <v>24</v>
      </c>
      <c r="B32" s="380" t="s">
        <v>19</v>
      </c>
      <c r="C32" s="453"/>
      <c r="D32" s="453"/>
      <c r="E32" s="453"/>
      <c r="F32" s="453"/>
      <c r="G32" s="453"/>
      <c r="H32" s="453"/>
      <c r="I32" s="453"/>
      <c r="J32" s="453"/>
      <c r="K32" s="453"/>
      <c r="L32" s="453"/>
      <c r="M32" s="453"/>
      <c r="N32" s="453"/>
      <c r="O32" s="453"/>
    </row>
    <row r="33" spans="1:15">
      <c r="A33" s="367">
        <v>25</v>
      </c>
      <c r="B33" s="368" t="s">
        <v>20</v>
      </c>
      <c r="C33" s="381">
        <f>'Cost of Capital'!D89</f>
        <v>2.6700000000000002E-2</v>
      </c>
      <c r="D33" s="381">
        <f>'Cost of Capital'!D142</f>
        <v>2.58E-2</v>
      </c>
      <c r="E33" s="381">
        <f>$D$33</f>
        <v>2.58E-2</v>
      </c>
      <c r="F33" s="381">
        <f>$D$33</f>
        <v>2.58E-2</v>
      </c>
      <c r="G33" s="381">
        <f t="shared" ref="G33:O33" si="6">$D$33</f>
        <v>2.58E-2</v>
      </c>
      <c r="H33" s="381">
        <f t="shared" si="6"/>
        <v>2.58E-2</v>
      </c>
      <c r="I33" s="381">
        <f t="shared" si="6"/>
        <v>2.58E-2</v>
      </c>
      <c r="J33" s="381">
        <f t="shared" si="6"/>
        <v>2.58E-2</v>
      </c>
      <c r="K33" s="381">
        <f t="shared" si="6"/>
        <v>2.58E-2</v>
      </c>
      <c r="L33" s="381">
        <f t="shared" si="6"/>
        <v>2.58E-2</v>
      </c>
      <c r="M33" s="381">
        <f t="shared" si="6"/>
        <v>2.58E-2</v>
      </c>
      <c r="N33" s="381">
        <f t="shared" si="6"/>
        <v>2.58E-2</v>
      </c>
      <c r="O33" s="381">
        <f t="shared" si="6"/>
        <v>2.58E-2</v>
      </c>
    </row>
    <row r="34" spans="1:15">
      <c r="A34" s="359">
        <v>26</v>
      </c>
      <c r="B34" s="368" t="s">
        <v>21</v>
      </c>
      <c r="C34" s="461">
        <f>C33/12</f>
        <v>2.225E-3</v>
      </c>
      <c r="D34" s="461">
        <f>D33/12</f>
        <v>2.15E-3</v>
      </c>
      <c r="E34" s="461">
        <f t="shared" ref="E34:N34" si="7">E33/12</f>
        <v>2.15E-3</v>
      </c>
      <c r="F34" s="461">
        <f t="shared" si="7"/>
        <v>2.15E-3</v>
      </c>
      <c r="G34" s="461">
        <f t="shared" si="7"/>
        <v>2.15E-3</v>
      </c>
      <c r="H34" s="461">
        <f t="shared" si="7"/>
        <v>2.15E-3</v>
      </c>
      <c r="I34" s="461">
        <f t="shared" si="7"/>
        <v>2.15E-3</v>
      </c>
      <c r="J34" s="461">
        <f t="shared" si="7"/>
        <v>2.15E-3</v>
      </c>
      <c r="K34" s="461">
        <f t="shared" si="7"/>
        <v>2.15E-3</v>
      </c>
      <c r="L34" s="461">
        <f t="shared" si="7"/>
        <v>2.15E-3</v>
      </c>
      <c r="M34" s="461">
        <f t="shared" si="7"/>
        <v>2.15E-3</v>
      </c>
      <c r="N34" s="461">
        <f t="shared" si="7"/>
        <v>2.15E-3</v>
      </c>
      <c r="O34" s="461">
        <f>O33/12</f>
        <v>2.15E-3</v>
      </c>
    </row>
    <row r="35" spans="1:15" ht="25.5">
      <c r="A35" s="354">
        <v>27</v>
      </c>
      <c r="B35" s="380" t="s">
        <v>22</v>
      </c>
      <c r="C35" s="453"/>
      <c r="D35" s="453"/>
      <c r="E35" s="453"/>
      <c r="F35" s="453"/>
      <c r="G35" s="453"/>
      <c r="H35" s="453"/>
      <c r="I35" s="453"/>
      <c r="J35" s="453"/>
      <c r="K35" s="453"/>
      <c r="L35" s="453"/>
      <c r="M35" s="453"/>
      <c r="N35" s="453"/>
      <c r="O35" s="453"/>
    </row>
    <row r="36" spans="1:15">
      <c r="A36" s="359">
        <v>28</v>
      </c>
      <c r="B36" s="368" t="s">
        <v>18</v>
      </c>
      <c r="C36" s="462">
        <f>'Def Tax'!E584</f>
        <v>45.936652135416665</v>
      </c>
      <c r="D36" s="462">
        <f>'Def Tax'!E587</f>
        <v>49.882839698621957</v>
      </c>
      <c r="E36" s="462">
        <f>'Def Tax'!E588</f>
        <v>51.363242040802277</v>
      </c>
      <c r="F36" s="462">
        <f>'Def Tax'!E589</f>
        <v>54.980485332681454</v>
      </c>
      <c r="G36" s="462">
        <f>'Def Tax'!E590</f>
        <v>59.223139110455847</v>
      </c>
      <c r="H36" s="462">
        <f>'Def Tax'!E591</f>
        <v>68.617026345406146</v>
      </c>
      <c r="I36" s="462">
        <f>'Def Tax'!E592</f>
        <v>72.695000440955127</v>
      </c>
      <c r="J36" s="462">
        <f>'Def Tax'!E593</f>
        <v>79.580674662001755</v>
      </c>
      <c r="K36" s="462">
        <f>'Def Tax'!E594</f>
        <v>85.300498592533017</v>
      </c>
      <c r="L36" s="462">
        <f>'Def Tax'!E595</f>
        <v>93.786092856035793</v>
      </c>
      <c r="M36" s="462">
        <f>'Def Tax'!E596</f>
        <v>100.75563328757764</v>
      </c>
      <c r="N36" s="462">
        <f>'Def Tax'!E597</f>
        <v>129.23339387761712</v>
      </c>
      <c r="O36" s="462">
        <f>'Def Tax'!E598</f>
        <v>115.02128598114639</v>
      </c>
    </row>
    <row r="37" spans="1:15">
      <c r="A37" s="354">
        <v>29</v>
      </c>
      <c r="B37" s="382" t="s">
        <v>23</v>
      </c>
      <c r="C37" s="453"/>
      <c r="D37" s="453"/>
      <c r="E37" s="453"/>
      <c r="F37" s="453"/>
      <c r="G37" s="453"/>
      <c r="H37" s="453"/>
      <c r="I37" s="453"/>
      <c r="J37" s="453"/>
      <c r="K37" s="453"/>
      <c r="L37" s="453"/>
      <c r="M37" s="453"/>
      <c r="N37" s="453"/>
      <c r="O37" s="453"/>
    </row>
    <row r="38" spans="1:15">
      <c r="A38" s="371">
        <v>30</v>
      </c>
      <c r="B38" s="368" t="s">
        <v>16</v>
      </c>
      <c r="C38" s="383">
        <f>'Income Tax Rates'!$F$52</f>
        <v>8.795E-2</v>
      </c>
      <c r="D38" s="383">
        <f>'Income Tax Rates'!$F$72</f>
        <v>8.8330000000000006E-2</v>
      </c>
      <c r="E38" s="383">
        <f>'Income Tax Rates'!$F$72</f>
        <v>8.8330000000000006E-2</v>
      </c>
      <c r="F38" s="383">
        <f>'Income Tax Rates'!$F$72</f>
        <v>8.8330000000000006E-2</v>
      </c>
      <c r="G38" s="383">
        <f>'Income Tax Rates'!$F$72</f>
        <v>8.8330000000000006E-2</v>
      </c>
      <c r="H38" s="383">
        <f>'Income Tax Rates'!$F$72</f>
        <v>8.8330000000000006E-2</v>
      </c>
      <c r="I38" s="383">
        <f>'Income Tax Rates'!$F$72</f>
        <v>8.8330000000000006E-2</v>
      </c>
      <c r="J38" s="383">
        <f>'Income Tax Rates'!$F$72</f>
        <v>8.8330000000000006E-2</v>
      </c>
      <c r="K38" s="383">
        <f>'Income Tax Rates'!$F$72</f>
        <v>8.8330000000000006E-2</v>
      </c>
      <c r="L38" s="383">
        <f>'Income Tax Rates'!$F$72</f>
        <v>8.8330000000000006E-2</v>
      </c>
      <c r="M38" s="383">
        <f>'Income Tax Rates'!$F$72</f>
        <v>8.8330000000000006E-2</v>
      </c>
      <c r="N38" s="383">
        <f>'Income Tax Rates'!$F$72</f>
        <v>8.8330000000000006E-2</v>
      </c>
      <c r="O38" s="383">
        <f>'Income Tax Rates'!$F$72</f>
        <v>8.8330000000000006E-2</v>
      </c>
    </row>
    <row r="39" spans="1:15">
      <c r="A39" s="354">
        <v>31</v>
      </c>
      <c r="B39" s="368" t="s">
        <v>49</v>
      </c>
      <c r="C39" s="463">
        <f>((C22*(C26-C34))+C36)*C38</f>
        <v>7.916345248121246</v>
      </c>
      <c r="D39" s="463">
        <f>((D22*(D26-D34))+D36)*D38</f>
        <v>8.4904254416044083</v>
      </c>
      <c r="E39" s="463">
        <f t="shared" ref="E39:O39" si="8">((E22*(E26-E34))+E36)*E38</f>
        <v>8.8139843814790204</v>
      </c>
      <c r="F39" s="463">
        <f t="shared" si="8"/>
        <v>9.4367515613426338</v>
      </c>
      <c r="G39" s="463">
        <f t="shared" si="8"/>
        <v>10.346879363797054</v>
      </c>
      <c r="H39" s="463">
        <f t="shared" si="8"/>
        <v>11.702361291570831</v>
      </c>
      <c r="I39" s="463">
        <f t="shared" si="8"/>
        <v>12.483546452520567</v>
      </c>
      <c r="J39" s="463">
        <f t="shared" si="8"/>
        <v>13.576357253941113</v>
      </c>
      <c r="K39" s="463">
        <f t="shared" si="8"/>
        <v>14.627674625403612</v>
      </c>
      <c r="L39" s="463">
        <f t="shared" si="8"/>
        <v>15.970096579819245</v>
      </c>
      <c r="M39" s="463">
        <f t="shared" si="8"/>
        <v>17.984400430964914</v>
      </c>
      <c r="N39" s="463">
        <f t="shared" si="8"/>
        <v>21.031701173510985</v>
      </c>
      <c r="O39" s="463">
        <f t="shared" si="8"/>
        <v>21.210258519334559</v>
      </c>
    </row>
    <row r="40" spans="1:15">
      <c r="A40" s="359">
        <v>32</v>
      </c>
      <c r="B40" s="373"/>
      <c r="C40" s="453"/>
      <c r="D40" s="453"/>
      <c r="E40" s="453"/>
      <c r="F40" s="453"/>
      <c r="G40" s="453"/>
      <c r="H40" s="453"/>
      <c r="I40" s="453"/>
      <c r="J40" s="453"/>
      <c r="K40" s="453"/>
      <c r="L40" s="453"/>
      <c r="M40" s="453"/>
      <c r="N40" s="453"/>
      <c r="O40" s="453"/>
    </row>
    <row r="41" spans="1:15">
      <c r="A41" s="354">
        <v>33</v>
      </c>
      <c r="B41" s="378" t="s">
        <v>50</v>
      </c>
      <c r="C41" s="453"/>
      <c r="D41" s="453"/>
      <c r="E41" s="453"/>
      <c r="F41" s="453"/>
      <c r="G41" s="453"/>
      <c r="H41" s="453"/>
      <c r="I41" s="453"/>
      <c r="J41" s="453"/>
      <c r="K41" s="453"/>
      <c r="L41" s="453"/>
      <c r="M41" s="453"/>
      <c r="N41" s="453"/>
      <c r="O41" s="453"/>
    </row>
    <row r="42" spans="1:15" ht="25.5">
      <c r="A42" s="359">
        <v>34</v>
      </c>
      <c r="B42" s="384" t="s">
        <v>109</v>
      </c>
      <c r="C42" s="453"/>
      <c r="D42" s="453"/>
      <c r="E42" s="453"/>
      <c r="F42" s="453"/>
      <c r="G42" s="453"/>
      <c r="H42" s="453"/>
      <c r="I42" s="453"/>
      <c r="J42" s="453"/>
      <c r="K42" s="453"/>
      <c r="L42" s="453"/>
      <c r="M42" s="453"/>
      <c r="N42" s="453"/>
      <c r="O42" s="453"/>
    </row>
    <row r="43" spans="1:15">
      <c r="A43" s="367">
        <v>35</v>
      </c>
      <c r="B43" s="368" t="s">
        <v>51</v>
      </c>
      <c r="C43" s="385">
        <f>'Income Tax Rates'!F53</f>
        <v>0.35</v>
      </c>
      <c r="D43" s="385">
        <f>'Income Tax Rates'!$F$73</f>
        <v>0.35</v>
      </c>
      <c r="E43" s="385">
        <f>'Income Tax Rates'!$F$73</f>
        <v>0.35</v>
      </c>
      <c r="F43" s="385">
        <f>'Income Tax Rates'!$F$73</f>
        <v>0.35</v>
      </c>
      <c r="G43" s="385">
        <f>'Income Tax Rates'!$F$73</f>
        <v>0.35</v>
      </c>
      <c r="H43" s="385">
        <f>'Income Tax Rates'!$F$73</f>
        <v>0.35</v>
      </c>
      <c r="I43" s="385">
        <f>'Income Tax Rates'!$F$73</f>
        <v>0.35</v>
      </c>
      <c r="J43" s="385">
        <f>'Income Tax Rates'!$F$73</f>
        <v>0.35</v>
      </c>
      <c r="K43" s="385">
        <f>'Income Tax Rates'!$F$73</f>
        <v>0.35</v>
      </c>
      <c r="L43" s="385">
        <f>'Income Tax Rates'!$F$73</f>
        <v>0.35</v>
      </c>
      <c r="M43" s="385">
        <f>'Income Tax Rates'!$F$73</f>
        <v>0.35</v>
      </c>
      <c r="N43" s="385">
        <f>'Income Tax Rates'!$F$73</f>
        <v>0.35</v>
      </c>
      <c r="O43" s="385">
        <f>'Income Tax Rates'!$F$73</f>
        <v>0.35</v>
      </c>
    </row>
    <row r="44" spans="1:15">
      <c r="A44" s="359">
        <v>36</v>
      </c>
      <c r="B44" s="368" t="s">
        <v>52</v>
      </c>
      <c r="C44" s="463">
        <f>((C22*(C26-C34))-C39+C36)*C43</f>
        <v>28.732642856647455</v>
      </c>
      <c r="D44" s="463">
        <f>((D22*(D26-D34))-D39+D36)*D43</f>
        <v>30.670928980206284</v>
      </c>
      <c r="E44" s="463">
        <f t="shared" ref="E44:N44" si="9">((E22*(E26-E34))-E39+E36)*E43</f>
        <v>31.839757719597447</v>
      </c>
      <c r="F44" s="463">
        <f t="shared" si="9"/>
        <v>34.089450397093096</v>
      </c>
      <c r="G44" s="463">
        <f t="shared" si="9"/>
        <v>37.377208517576143</v>
      </c>
      <c r="H44" s="463">
        <f t="shared" si="9"/>
        <v>42.2737699710204</v>
      </c>
      <c r="I44" s="463">
        <f t="shared" si="9"/>
        <v>45.095733929913941</v>
      </c>
      <c r="J44" s="463">
        <f t="shared" si="9"/>
        <v>49.043418614232685</v>
      </c>
      <c r="K44" s="463">
        <f t="shared" si="9"/>
        <v>52.841211864707326</v>
      </c>
      <c r="L44" s="463">
        <f t="shared" si="9"/>
        <v>57.690595291784589</v>
      </c>
      <c r="M44" s="463">
        <f t="shared" si="9"/>
        <v>64.96709407125806</v>
      </c>
      <c r="N44" s="463">
        <f t="shared" si="9"/>
        <v>75.97520494847916</v>
      </c>
      <c r="O44" s="463">
        <f>((O22*(O26-O34))-O39+O36)*O43</f>
        <v>76.620227946480313</v>
      </c>
    </row>
    <row r="45" spans="1:15">
      <c r="A45" s="354">
        <v>37</v>
      </c>
      <c r="B45" s="373"/>
      <c r="C45" s="453"/>
      <c r="D45" s="453"/>
      <c r="E45" s="453"/>
      <c r="F45" s="453"/>
      <c r="G45" s="453"/>
      <c r="H45" s="453"/>
      <c r="I45" s="453"/>
      <c r="J45" s="453"/>
      <c r="K45" s="453"/>
      <c r="L45" s="453"/>
      <c r="M45" s="453"/>
      <c r="N45" s="453"/>
      <c r="O45" s="453"/>
    </row>
    <row r="46" spans="1:15" ht="25.5">
      <c r="A46" s="359">
        <v>38</v>
      </c>
      <c r="B46" s="380" t="s">
        <v>53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  <c r="M46" s="386"/>
      <c r="N46" s="386"/>
      <c r="O46" s="386"/>
    </row>
    <row r="47" spans="1:15">
      <c r="A47" s="354">
        <v>39</v>
      </c>
      <c r="B47" s="368" t="s">
        <v>58</v>
      </c>
      <c r="C47" s="462">
        <f>-'Def Tax'!F584</f>
        <v>-18.705404749541668</v>
      </c>
      <c r="D47" s="462">
        <f>-'Def Tax'!F587</f>
        <v>-20.322268893218585</v>
      </c>
      <c r="E47" s="462">
        <f>-'Def Tax'!F588</f>
        <v>-20.925384807422848</v>
      </c>
      <c r="F47" s="462">
        <f>-'Def Tax'!F589</f>
        <v>-22.399049724534425</v>
      </c>
      <c r="G47" s="462">
        <f>-'Def Tax'!F590</f>
        <v>-24.12750687359971</v>
      </c>
      <c r="H47" s="462">
        <f>-'Def Tax'!F591</f>
        <v>-27.954576533118463</v>
      </c>
      <c r="I47" s="462">
        <f>-'Def Tax'!F592</f>
        <v>-29.615943179645118</v>
      </c>
      <c r="J47" s="462">
        <f>-'Def Tax'!F593</f>
        <v>-32.421166857299511</v>
      </c>
      <c r="K47" s="462">
        <f>-'Def Tax'!F594</f>
        <v>-34.751423126597949</v>
      </c>
      <c r="L47" s="462">
        <f>-'Def Tax'!F595</f>
        <v>-38.208454229548984</v>
      </c>
      <c r="M47" s="462">
        <f>-'Def Tax'!F596</f>
        <v>-41.047845001359129</v>
      </c>
      <c r="N47" s="462">
        <f>-'Def Tax'!F597</f>
        <v>-52.649684665741212</v>
      </c>
      <c r="O47" s="462">
        <f>-'Def Tax'!F598</f>
        <v>-46.859671908719037</v>
      </c>
    </row>
    <row r="48" spans="1:15">
      <c r="A48" s="359">
        <v>40</v>
      </c>
      <c r="B48" s="373"/>
      <c r="C48" s="453"/>
      <c r="D48" s="453"/>
      <c r="E48" s="453"/>
      <c r="F48" s="453"/>
      <c r="G48" s="453"/>
      <c r="H48" s="453"/>
      <c r="I48" s="453"/>
      <c r="J48" s="453"/>
      <c r="K48" s="453"/>
      <c r="L48" s="453"/>
      <c r="M48" s="453"/>
      <c r="N48" s="453"/>
      <c r="O48" s="453"/>
    </row>
    <row r="49" spans="1:15">
      <c r="A49" s="354">
        <v>41</v>
      </c>
      <c r="B49" s="378" t="s">
        <v>54</v>
      </c>
      <c r="C49" s="453"/>
      <c r="D49" s="453"/>
      <c r="E49" s="453"/>
      <c r="F49" s="453"/>
      <c r="G49" s="453"/>
      <c r="H49" s="453"/>
      <c r="I49" s="453"/>
      <c r="J49" s="453"/>
      <c r="K49" s="453"/>
      <c r="L49" s="453"/>
      <c r="M49" s="453"/>
      <c r="N49" s="453"/>
      <c r="O49" s="453"/>
    </row>
    <row r="50" spans="1:15">
      <c r="A50" s="359">
        <v>42</v>
      </c>
      <c r="B50" s="378" t="s">
        <v>55</v>
      </c>
      <c r="C50" s="453"/>
      <c r="D50" s="453"/>
      <c r="E50" s="453"/>
      <c r="F50" s="453"/>
      <c r="G50" s="453"/>
      <c r="H50" s="453"/>
      <c r="I50" s="453"/>
      <c r="J50" s="453"/>
      <c r="K50" s="453"/>
      <c r="L50" s="453"/>
      <c r="M50" s="453"/>
      <c r="N50" s="453"/>
      <c r="O50" s="453"/>
    </row>
    <row r="51" spans="1:15" ht="25.5">
      <c r="A51" s="354">
        <v>43</v>
      </c>
      <c r="B51" s="380" t="s">
        <v>56</v>
      </c>
      <c r="C51" s="453"/>
      <c r="D51" s="453"/>
      <c r="E51" s="453"/>
      <c r="F51" s="453"/>
      <c r="G51" s="453"/>
      <c r="H51" s="453"/>
      <c r="I51" s="453"/>
      <c r="J51" s="453"/>
      <c r="K51" s="453"/>
      <c r="L51" s="453"/>
      <c r="M51" s="453"/>
      <c r="N51" s="453"/>
      <c r="O51" s="453"/>
    </row>
    <row r="52" spans="1:15">
      <c r="A52" s="371">
        <v>44</v>
      </c>
      <c r="B52" s="368" t="s">
        <v>57</v>
      </c>
      <c r="C52" s="387">
        <f>'Income Tax Rates'!F56</f>
        <v>0.40720000000000001</v>
      </c>
      <c r="D52" s="387">
        <f>'Income Tax Rates'!$F$76</f>
        <v>0.40739999999999998</v>
      </c>
      <c r="E52" s="387">
        <f>'Income Tax Rates'!$F$76</f>
        <v>0.40739999999999998</v>
      </c>
      <c r="F52" s="387">
        <f>'Income Tax Rates'!$F$76</f>
        <v>0.40739999999999998</v>
      </c>
      <c r="G52" s="387">
        <f>'Income Tax Rates'!$F$76</f>
        <v>0.40739999999999998</v>
      </c>
      <c r="H52" s="387">
        <f>'Income Tax Rates'!$F$76</f>
        <v>0.40739999999999998</v>
      </c>
      <c r="I52" s="387">
        <f>'Income Tax Rates'!$F$76</f>
        <v>0.40739999999999998</v>
      </c>
      <c r="J52" s="387">
        <f>'Income Tax Rates'!$F$76</f>
        <v>0.40739999999999998</v>
      </c>
      <c r="K52" s="387">
        <f>'Income Tax Rates'!$F$76</f>
        <v>0.40739999999999998</v>
      </c>
      <c r="L52" s="387">
        <f>'Income Tax Rates'!$F$76</f>
        <v>0.40739999999999998</v>
      </c>
      <c r="M52" s="387">
        <f>'Income Tax Rates'!$F$76</f>
        <v>0.40739999999999998</v>
      </c>
      <c r="N52" s="387">
        <f>'Income Tax Rates'!$F$76</f>
        <v>0.40739999999999998</v>
      </c>
      <c r="O52" s="387">
        <f>'Income Tax Rates'!$F$76</f>
        <v>0.40739999999999998</v>
      </c>
    </row>
    <row r="53" spans="1:15">
      <c r="A53" s="354">
        <v>45</v>
      </c>
      <c r="B53" s="368" t="s">
        <v>59</v>
      </c>
      <c r="C53" s="464">
        <f>1/(1-C52)</f>
        <v>1.6869095816464237</v>
      </c>
      <c r="D53" s="464">
        <f>1/(1-D52)</f>
        <v>1.6874789065136686</v>
      </c>
      <c r="E53" s="464">
        <f t="shared" ref="E53:N53" si="10">1/(1-E52)</f>
        <v>1.6874789065136686</v>
      </c>
      <c r="F53" s="464">
        <f t="shared" si="10"/>
        <v>1.6874789065136686</v>
      </c>
      <c r="G53" s="464">
        <f t="shared" si="10"/>
        <v>1.6874789065136686</v>
      </c>
      <c r="H53" s="464">
        <f t="shared" si="10"/>
        <v>1.6874789065136686</v>
      </c>
      <c r="I53" s="464">
        <f t="shared" si="10"/>
        <v>1.6874789065136686</v>
      </c>
      <c r="J53" s="464">
        <f t="shared" si="10"/>
        <v>1.6874789065136686</v>
      </c>
      <c r="K53" s="464">
        <f t="shared" si="10"/>
        <v>1.6874789065136686</v>
      </c>
      <c r="L53" s="464">
        <f t="shared" si="10"/>
        <v>1.6874789065136686</v>
      </c>
      <c r="M53" s="464">
        <f t="shared" si="10"/>
        <v>1.6874789065136686</v>
      </c>
      <c r="N53" s="464">
        <f t="shared" si="10"/>
        <v>1.6874789065136686</v>
      </c>
      <c r="O53" s="464">
        <f>1/(1-O52)</f>
        <v>1.6874789065136686</v>
      </c>
    </row>
    <row r="54" spans="1:15">
      <c r="A54" s="359">
        <v>46</v>
      </c>
      <c r="B54" s="373"/>
      <c r="C54" s="387"/>
      <c r="D54" s="387"/>
      <c r="E54" s="387"/>
      <c r="F54" s="387"/>
      <c r="G54" s="387"/>
      <c r="H54" s="387"/>
      <c r="I54" s="387"/>
      <c r="J54" s="387"/>
      <c r="K54" s="387"/>
      <c r="L54" s="387"/>
      <c r="M54" s="387"/>
      <c r="N54" s="387"/>
      <c r="O54" s="387"/>
    </row>
    <row r="55" spans="1:15" ht="15.75">
      <c r="A55" s="354">
        <v>47</v>
      </c>
      <c r="B55" s="376" t="s">
        <v>94</v>
      </c>
      <c r="C55" s="387"/>
      <c r="D55" s="387"/>
      <c r="E55" s="387"/>
      <c r="F55" s="387"/>
      <c r="G55" s="387"/>
      <c r="H55" s="387"/>
      <c r="I55" s="387"/>
      <c r="J55" s="387"/>
      <c r="K55" s="387"/>
      <c r="L55" s="387"/>
      <c r="M55" s="387"/>
      <c r="N55" s="387"/>
      <c r="O55" s="387"/>
    </row>
    <row r="56" spans="1:15">
      <c r="A56" s="359">
        <v>48</v>
      </c>
      <c r="B56" s="373" t="s">
        <v>49</v>
      </c>
      <c r="C56" s="454">
        <f>C39</f>
        <v>7.916345248121246</v>
      </c>
      <c r="D56" s="454">
        <f>D39</f>
        <v>8.4904254416044083</v>
      </c>
      <c r="E56" s="454">
        <f t="shared" ref="E56:N56" si="11">E39</f>
        <v>8.8139843814790204</v>
      </c>
      <c r="F56" s="454">
        <f t="shared" si="11"/>
        <v>9.4367515613426338</v>
      </c>
      <c r="G56" s="454">
        <f t="shared" si="11"/>
        <v>10.346879363797054</v>
      </c>
      <c r="H56" s="454">
        <f t="shared" si="11"/>
        <v>11.702361291570831</v>
      </c>
      <c r="I56" s="454">
        <f t="shared" si="11"/>
        <v>12.483546452520567</v>
      </c>
      <c r="J56" s="454">
        <f t="shared" si="11"/>
        <v>13.576357253941113</v>
      </c>
      <c r="K56" s="454">
        <f t="shared" si="11"/>
        <v>14.627674625403612</v>
      </c>
      <c r="L56" s="454">
        <f t="shared" si="11"/>
        <v>15.970096579819245</v>
      </c>
      <c r="M56" s="454">
        <f t="shared" si="11"/>
        <v>17.984400430964914</v>
      </c>
      <c r="N56" s="454">
        <f t="shared" si="11"/>
        <v>21.031701173510985</v>
      </c>
      <c r="O56" s="454">
        <f>O39</f>
        <v>21.210258519334559</v>
      </c>
    </row>
    <row r="57" spans="1:15">
      <c r="A57" s="354">
        <v>49</v>
      </c>
      <c r="B57" s="373" t="s">
        <v>52</v>
      </c>
      <c r="C57" s="454">
        <f>C44</f>
        <v>28.732642856647455</v>
      </c>
      <c r="D57" s="454">
        <f>D44</f>
        <v>30.670928980206284</v>
      </c>
      <c r="E57" s="454">
        <f>E44</f>
        <v>31.839757719597447</v>
      </c>
      <c r="F57" s="454">
        <f>F44</f>
        <v>34.089450397093096</v>
      </c>
      <c r="G57" s="454">
        <f t="shared" ref="G57:N57" si="12">G44</f>
        <v>37.377208517576143</v>
      </c>
      <c r="H57" s="454">
        <f t="shared" si="12"/>
        <v>42.2737699710204</v>
      </c>
      <c r="I57" s="454">
        <f t="shared" si="12"/>
        <v>45.095733929913941</v>
      </c>
      <c r="J57" s="454">
        <f t="shared" si="12"/>
        <v>49.043418614232685</v>
      </c>
      <c r="K57" s="454">
        <f t="shared" si="12"/>
        <v>52.841211864707326</v>
      </c>
      <c r="L57" s="454">
        <f t="shared" si="12"/>
        <v>57.690595291784589</v>
      </c>
      <c r="M57" s="454">
        <f t="shared" si="12"/>
        <v>64.96709407125806</v>
      </c>
      <c r="N57" s="454">
        <f t="shared" si="12"/>
        <v>75.97520494847916</v>
      </c>
      <c r="O57" s="454">
        <f>O44</f>
        <v>76.620227946480313</v>
      </c>
    </row>
    <row r="58" spans="1:15">
      <c r="A58" s="359">
        <v>50</v>
      </c>
      <c r="B58" s="373" t="s">
        <v>58</v>
      </c>
      <c r="C58" s="455">
        <f>C47</f>
        <v>-18.705404749541668</v>
      </c>
      <c r="D58" s="455">
        <f>D47</f>
        <v>-20.322268893218585</v>
      </c>
      <c r="E58" s="455">
        <f t="shared" ref="E58:N58" si="13">E47</f>
        <v>-20.925384807422848</v>
      </c>
      <c r="F58" s="455">
        <f t="shared" si="13"/>
        <v>-22.399049724534425</v>
      </c>
      <c r="G58" s="455">
        <f t="shared" si="13"/>
        <v>-24.12750687359971</v>
      </c>
      <c r="H58" s="455">
        <f t="shared" si="13"/>
        <v>-27.954576533118463</v>
      </c>
      <c r="I58" s="455">
        <f t="shared" si="13"/>
        <v>-29.615943179645118</v>
      </c>
      <c r="J58" s="455">
        <f t="shared" si="13"/>
        <v>-32.421166857299511</v>
      </c>
      <c r="K58" s="455">
        <f t="shared" si="13"/>
        <v>-34.751423126597949</v>
      </c>
      <c r="L58" s="455">
        <f t="shared" si="13"/>
        <v>-38.208454229548984</v>
      </c>
      <c r="M58" s="455">
        <f t="shared" si="13"/>
        <v>-41.047845001359129</v>
      </c>
      <c r="N58" s="455">
        <f t="shared" si="13"/>
        <v>-52.649684665741212</v>
      </c>
      <c r="O58" s="455">
        <f>O47</f>
        <v>-46.859671908719037</v>
      </c>
    </row>
    <row r="59" spans="1:15">
      <c r="A59" s="354">
        <v>51</v>
      </c>
      <c r="B59" s="373" t="s">
        <v>59</v>
      </c>
      <c r="C59" s="456">
        <f>C53</f>
        <v>1.6869095816464237</v>
      </c>
      <c r="D59" s="456">
        <f>D53</f>
        <v>1.6874789065136686</v>
      </c>
      <c r="E59" s="456">
        <f t="shared" ref="E59:N59" si="14">E53</f>
        <v>1.6874789065136686</v>
      </c>
      <c r="F59" s="456">
        <f t="shared" si="14"/>
        <v>1.6874789065136686</v>
      </c>
      <c r="G59" s="456">
        <f t="shared" si="14"/>
        <v>1.6874789065136686</v>
      </c>
      <c r="H59" s="456">
        <f t="shared" si="14"/>
        <v>1.6874789065136686</v>
      </c>
      <c r="I59" s="456">
        <f t="shared" si="14"/>
        <v>1.6874789065136686</v>
      </c>
      <c r="J59" s="456">
        <f t="shared" si="14"/>
        <v>1.6874789065136686</v>
      </c>
      <c r="K59" s="456">
        <f t="shared" si="14"/>
        <v>1.6874789065136686</v>
      </c>
      <c r="L59" s="456">
        <f t="shared" si="14"/>
        <v>1.6874789065136686</v>
      </c>
      <c r="M59" s="456">
        <f t="shared" si="14"/>
        <v>1.6874789065136686</v>
      </c>
      <c r="N59" s="456">
        <f t="shared" si="14"/>
        <v>1.6874789065136686</v>
      </c>
      <c r="O59" s="456">
        <f>O53</f>
        <v>1.6874789065136686</v>
      </c>
    </row>
    <row r="60" spans="1:15">
      <c r="A60" s="359">
        <v>52</v>
      </c>
      <c r="B60" s="466" t="s">
        <v>60</v>
      </c>
      <c r="C60" s="465">
        <f>(C56+C57+C58)*C59</f>
        <v>30.269202691003773</v>
      </c>
      <c r="D60" s="465">
        <f>(D56+D57+D58)*D59</f>
        <v>31.790559447506087</v>
      </c>
      <c r="E60" s="465">
        <f t="shared" ref="E60:N60" si="15">(E56+E57+E58)*E59</f>
        <v>33.291186793205569</v>
      </c>
      <c r="F60" s="465">
        <f t="shared" si="15"/>
        <v>35.651623749411584</v>
      </c>
      <c r="G60" s="465">
        <f t="shared" si="15"/>
        <v>39.818732716458797</v>
      </c>
      <c r="H60" s="465">
        <f t="shared" si="15"/>
        <v>43.910824720676288</v>
      </c>
      <c r="I60" s="465">
        <f t="shared" si="15"/>
        <v>47.187541685436024</v>
      </c>
      <c r="J60" s="465">
        <f t="shared" si="15"/>
        <v>50.959515711903961</v>
      </c>
      <c r="K60" s="465">
        <f t="shared" si="15"/>
        <v>55.210029300561906</v>
      </c>
      <c r="L60" s="465">
        <f t="shared" si="15"/>
        <v>59.824903209677437</v>
      </c>
      <c r="M60" s="465">
        <f t="shared" si="15"/>
        <v>70.711524638649749</v>
      </c>
      <c r="N60" s="465">
        <f t="shared" si="15"/>
        <v>74.851875558975578</v>
      </c>
      <c r="O60" s="465">
        <f>(O56+O57+O58)*O59</f>
        <v>86.012174412919066</v>
      </c>
    </row>
    <row r="61" spans="1:15">
      <c r="A61" s="354">
        <v>53</v>
      </c>
      <c r="B61" s="355"/>
      <c r="C61" s="453"/>
      <c r="D61" s="453"/>
      <c r="E61" s="453"/>
      <c r="F61" s="453"/>
      <c r="G61" s="453"/>
      <c r="H61" s="453"/>
      <c r="I61" s="453"/>
      <c r="J61" s="453"/>
      <c r="K61" s="453"/>
      <c r="L61" s="453"/>
      <c r="M61" s="453"/>
      <c r="N61" s="453"/>
      <c r="O61" s="453"/>
    </row>
    <row r="62" spans="1:15">
      <c r="A62" s="359">
        <v>54</v>
      </c>
      <c r="B62" s="361" t="s">
        <v>257</v>
      </c>
      <c r="C62" s="453"/>
      <c r="D62" s="453"/>
      <c r="E62" s="453"/>
      <c r="F62" s="453"/>
      <c r="G62" s="453"/>
      <c r="H62" s="453"/>
      <c r="I62" s="453"/>
      <c r="J62" s="453"/>
      <c r="K62" s="453"/>
      <c r="L62" s="453"/>
      <c r="M62" s="453"/>
      <c r="N62" s="453"/>
      <c r="O62" s="453"/>
    </row>
    <row r="63" spans="1:15" ht="15.75">
      <c r="A63" s="354">
        <v>55</v>
      </c>
      <c r="B63" s="360" t="s">
        <v>258</v>
      </c>
      <c r="C63" s="453"/>
      <c r="D63" s="453"/>
      <c r="E63" s="453"/>
      <c r="F63" s="453"/>
      <c r="G63" s="453"/>
      <c r="H63" s="453"/>
      <c r="I63" s="453"/>
      <c r="J63" s="453"/>
      <c r="K63" s="453"/>
      <c r="L63" s="453"/>
      <c r="M63" s="453"/>
      <c r="N63" s="453"/>
      <c r="O63" s="453"/>
    </row>
    <row r="64" spans="1:15" ht="15">
      <c r="A64" s="359">
        <v>56</v>
      </c>
      <c r="B64" s="388" t="s">
        <v>63</v>
      </c>
      <c r="C64" s="453"/>
      <c r="D64" s="453"/>
      <c r="E64" s="453"/>
      <c r="F64" s="453"/>
      <c r="G64" s="453"/>
      <c r="H64" s="453"/>
      <c r="I64" s="453"/>
      <c r="J64" s="453"/>
      <c r="K64" s="453"/>
      <c r="L64" s="453"/>
      <c r="M64" s="453"/>
      <c r="N64" s="453"/>
      <c r="O64" s="453"/>
    </row>
    <row r="65" spans="1:15">
      <c r="A65" s="367">
        <v>57</v>
      </c>
      <c r="B65" s="368" t="s">
        <v>13</v>
      </c>
      <c r="C65" s="457">
        <f>C22</f>
        <v>9185.0555923747706</v>
      </c>
      <c r="D65" s="457">
        <f>D22</f>
        <v>9676.7655529922667</v>
      </c>
      <c r="E65" s="457">
        <f t="shared" ref="E65:N65" si="16">E22</f>
        <v>10133.549776571417</v>
      </c>
      <c r="F65" s="457">
        <f t="shared" si="16"/>
        <v>10852.046585554544</v>
      </c>
      <c r="G65" s="457">
        <f t="shared" si="16"/>
        <v>12120.494856492445</v>
      </c>
      <c r="H65" s="457">
        <f t="shared" si="16"/>
        <v>13366.069381939138</v>
      </c>
      <c r="I65" s="457">
        <f t="shared" si="16"/>
        <v>14363.481010889542</v>
      </c>
      <c r="J65" s="457">
        <f t="shared" si="16"/>
        <v>15511.629391446391</v>
      </c>
      <c r="K65" s="457">
        <f t="shared" si="16"/>
        <v>16805.455265062759</v>
      </c>
      <c r="L65" s="457">
        <f t="shared" si="16"/>
        <v>18210.172860695886</v>
      </c>
      <c r="M65" s="457">
        <f t="shared" si="16"/>
        <v>21524.039606224695</v>
      </c>
      <c r="N65" s="457">
        <f t="shared" si="16"/>
        <v>22784.162141835885</v>
      </c>
      <c r="O65" s="457">
        <f>O22</f>
        <v>26181.494843696957</v>
      </c>
    </row>
    <row r="66" spans="1:15">
      <c r="A66" s="371">
        <v>58</v>
      </c>
      <c r="B66" s="368" t="s">
        <v>48</v>
      </c>
      <c r="C66" s="458">
        <f>C26</f>
        <v>7.0233333333333328E-3</v>
      </c>
      <c r="D66" s="458">
        <f>D26</f>
        <v>6.9283333333333324E-3</v>
      </c>
      <c r="E66" s="458">
        <f t="shared" ref="E66:N66" si="17">E26</f>
        <v>6.9283333333333324E-3</v>
      </c>
      <c r="F66" s="458">
        <f t="shared" si="17"/>
        <v>6.9283333333333324E-3</v>
      </c>
      <c r="G66" s="458">
        <f t="shared" si="17"/>
        <v>6.9283333333333324E-3</v>
      </c>
      <c r="H66" s="458">
        <f t="shared" si="17"/>
        <v>6.9283333333333324E-3</v>
      </c>
      <c r="I66" s="458">
        <f t="shared" si="17"/>
        <v>6.9283333333333324E-3</v>
      </c>
      <c r="J66" s="458">
        <f t="shared" si="17"/>
        <v>6.9283333333333324E-3</v>
      </c>
      <c r="K66" s="458">
        <f t="shared" si="17"/>
        <v>6.9283333333333324E-3</v>
      </c>
      <c r="L66" s="458">
        <f t="shared" si="17"/>
        <v>6.9283333333333324E-3</v>
      </c>
      <c r="M66" s="458">
        <f t="shared" si="17"/>
        <v>6.9283333333333324E-3</v>
      </c>
      <c r="N66" s="458">
        <f t="shared" si="17"/>
        <v>6.9283333333333324E-3</v>
      </c>
      <c r="O66" s="458">
        <f>O26</f>
        <v>6.9283333333333324E-3</v>
      </c>
    </row>
    <row r="67" spans="1:15">
      <c r="A67" s="367">
        <v>59</v>
      </c>
      <c r="B67" s="368" t="s">
        <v>152</v>
      </c>
      <c r="C67" s="455">
        <f>C65*C66</f>
        <v>64.509707110445461</v>
      </c>
      <c r="D67" s="455">
        <f t="shared" ref="D67:N67" si="18">D65*D66</f>
        <v>67.043857339648085</v>
      </c>
      <c r="E67" s="455">
        <f t="shared" si="18"/>
        <v>70.208610702012294</v>
      </c>
      <c r="F67" s="455">
        <f t="shared" si="18"/>
        <v>75.186596093583731</v>
      </c>
      <c r="G67" s="455">
        <f t="shared" si="18"/>
        <v>83.974828530731813</v>
      </c>
      <c r="H67" s="455">
        <f t="shared" si="18"/>
        <v>92.60458403453498</v>
      </c>
      <c r="I67" s="455">
        <f t="shared" si="18"/>
        <v>99.514984270446362</v>
      </c>
      <c r="J67" s="455">
        <f t="shared" si="18"/>
        <v>107.46973896707107</v>
      </c>
      <c r="K67" s="455">
        <f t="shared" si="18"/>
        <v>116.43379589477647</v>
      </c>
      <c r="L67" s="455">
        <f t="shared" si="18"/>
        <v>126.16614763652132</v>
      </c>
      <c r="M67" s="455">
        <f t="shared" si="18"/>
        <v>149.12572107179341</v>
      </c>
      <c r="N67" s="455">
        <f t="shared" si="18"/>
        <v>157.85627003935292</v>
      </c>
      <c r="O67" s="455">
        <f t="shared" ref="O67" si="19">O65*O66</f>
        <v>181.3941234420804</v>
      </c>
    </row>
    <row r="68" spans="1:15">
      <c r="A68" s="371">
        <v>60</v>
      </c>
      <c r="B68" s="368" t="s">
        <v>151</v>
      </c>
      <c r="C68" s="457">
        <f>C60</f>
        <v>30.269202691003773</v>
      </c>
      <c r="D68" s="457">
        <f>D60</f>
        <v>31.790559447506087</v>
      </c>
      <c r="E68" s="457">
        <f t="shared" ref="E68:N68" si="20">E60</f>
        <v>33.291186793205569</v>
      </c>
      <c r="F68" s="457">
        <f t="shared" si="20"/>
        <v>35.651623749411584</v>
      </c>
      <c r="G68" s="457">
        <f t="shared" si="20"/>
        <v>39.818732716458797</v>
      </c>
      <c r="H68" s="457">
        <f t="shared" si="20"/>
        <v>43.910824720676288</v>
      </c>
      <c r="I68" s="457">
        <f t="shared" si="20"/>
        <v>47.187541685436024</v>
      </c>
      <c r="J68" s="457">
        <f t="shared" si="20"/>
        <v>50.959515711903961</v>
      </c>
      <c r="K68" s="457">
        <f t="shared" si="20"/>
        <v>55.210029300561906</v>
      </c>
      <c r="L68" s="457">
        <f t="shared" si="20"/>
        <v>59.824903209677437</v>
      </c>
      <c r="M68" s="457">
        <f t="shared" si="20"/>
        <v>70.711524638649749</v>
      </c>
      <c r="N68" s="457">
        <f t="shared" si="20"/>
        <v>74.851875558975578</v>
      </c>
      <c r="O68" s="457">
        <f>O60</f>
        <v>86.012174412919066</v>
      </c>
    </row>
    <row r="69" spans="1:15">
      <c r="A69" s="354">
        <v>61</v>
      </c>
      <c r="B69" s="466" t="s">
        <v>112</v>
      </c>
      <c r="C69" s="465">
        <f>C67+C68</f>
        <v>94.778909801449231</v>
      </c>
      <c r="D69" s="465">
        <f t="shared" ref="D69:N69" si="21">D67+D68</f>
        <v>98.834416787154169</v>
      </c>
      <c r="E69" s="465">
        <f t="shared" si="21"/>
        <v>103.49979749521786</v>
      </c>
      <c r="F69" s="465">
        <f t="shared" si="21"/>
        <v>110.83821984299531</v>
      </c>
      <c r="G69" s="465">
        <f t="shared" si="21"/>
        <v>123.79356124719061</v>
      </c>
      <c r="H69" s="465">
        <f t="shared" si="21"/>
        <v>136.51540875521127</v>
      </c>
      <c r="I69" s="465">
        <f t="shared" si="21"/>
        <v>146.70252595588238</v>
      </c>
      <c r="J69" s="465">
        <f t="shared" si="21"/>
        <v>158.42925467897504</v>
      </c>
      <c r="K69" s="465">
        <f t="shared" si="21"/>
        <v>171.64382519533837</v>
      </c>
      <c r="L69" s="465">
        <f t="shared" si="21"/>
        <v>185.99105084619876</v>
      </c>
      <c r="M69" s="465">
        <f t="shared" si="21"/>
        <v>219.83724571044314</v>
      </c>
      <c r="N69" s="465">
        <f t="shared" si="21"/>
        <v>232.70814559832849</v>
      </c>
      <c r="O69" s="465">
        <f t="shared" ref="O69" si="22">O67+O68</f>
        <v>267.40629785499948</v>
      </c>
    </row>
    <row r="70" spans="1:15">
      <c r="A70" s="389"/>
      <c r="B70" s="355"/>
      <c r="C70" s="453"/>
      <c r="D70" s="453"/>
      <c r="E70" s="453"/>
      <c r="F70" s="453"/>
      <c r="G70" s="453"/>
      <c r="H70" s="453"/>
      <c r="I70" s="453"/>
      <c r="J70" s="453"/>
      <c r="K70" s="453"/>
      <c r="L70" s="453"/>
      <c r="M70" s="453"/>
      <c r="N70" s="453"/>
      <c r="O70" s="453"/>
    </row>
    <row r="71" spans="1:15">
      <c r="A71" s="389"/>
      <c r="B71" s="355"/>
      <c r="C71" s="453"/>
      <c r="D71" s="453"/>
      <c r="E71" s="453"/>
      <c r="F71" s="453"/>
      <c r="G71" s="453"/>
      <c r="H71" s="453"/>
      <c r="I71" s="453"/>
      <c r="J71" s="453"/>
      <c r="K71" s="453"/>
      <c r="L71" s="453"/>
      <c r="M71" s="453"/>
      <c r="N71" s="453"/>
      <c r="O71" s="453"/>
    </row>
    <row r="72" spans="1:15">
      <c r="A72" s="389"/>
      <c r="B72" s="355"/>
      <c r="C72" s="453"/>
      <c r="D72" s="453"/>
      <c r="E72" s="453"/>
      <c r="F72" s="453"/>
      <c r="G72" s="453"/>
      <c r="H72" s="453"/>
      <c r="I72" s="453"/>
      <c r="J72" s="453"/>
      <c r="K72" s="453"/>
      <c r="L72" s="453"/>
      <c r="M72" s="453"/>
      <c r="N72" s="453"/>
      <c r="O72" s="453"/>
    </row>
  </sheetData>
  <mergeCells count="6">
    <mergeCell ref="D16:O16"/>
    <mergeCell ref="A1:O1"/>
    <mergeCell ref="A2:O2"/>
    <mergeCell ref="A3:O3"/>
    <mergeCell ref="A4:O4"/>
    <mergeCell ref="A5:O5"/>
  </mergeCells>
  <pageMargins left="0.7" right="0.7" top="0.75" bottom="0.75" header="0.3" footer="0.3"/>
  <pageSetup scale="45" orientation="portrait" verticalDpi="1200" r:id="rId1"/>
  <headerFooter>
    <oddHeader>&amp;RTO9 Annual Update
Attachment 4
WP-Schedule 3-CWIPBA Model
Page &amp;P of &amp;N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73"/>
  <sheetViews>
    <sheetView zoomScaleNormal="100" zoomScalePageLayoutView="90" workbookViewId="0">
      <selection sqref="A1:O1"/>
    </sheetView>
  </sheetViews>
  <sheetFormatPr defaultRowHeight="12.75"/>
  <cols>
    <col min="2" max="2" width="60.5703125" bestFit="1" customWidth="1"/>
    <col min="3" max="10" width="10.140625" bestFit="1" customWidth="1"/>
    <col min="11" max="11" width="10" bestFit="1" customWidth="1"/>
    <col min="12" max="12" width="10.7109375" bestFit="1" customWidth="1"/>
    <col min="13" max="13" width="9.85546875" bestFit="1" customWidth="1"/>
    <col min="14" max="14" width="10" bestFit="1" customWidth="1"/>
    <col min="15" max="15" width="10.28515625" bestFit="1" customWidth="1"/>
  </cols>
  <sheetData>
    <row r="1" spans="1:15" ht="15.75">
      <c r="A1" s="647" t="s">
        <v>0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647"/>
      <c r="O1" s="647"/>
    </row>
    <row r="2" spans="1:15" ht="15">
      <c r="A2" s="648" t="s">
        <v>6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  <c r="N2" s="648"/>
      <c r="O2" s="648"/>
    </row>
    <row r="3" spans="1:15" ht="15">
      <c r="A3" s="649" t="s">
        <v>326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649"/>
      <c r="O3" s="649"/>
    </row>
    <row r="4" spans="1:15">
      <c r="A4" s="650" t="s">
        <v>1</v>
      </c>
      <c r="B4" s="650"/>
      <c r="C4" s="650"/>
      <c r="D4" s="650"/>
      <c r="E4" s="650"/>
      <c r="F4" s="650"/>
      <c r="G4" s="650"/>
      <c r="H4" s="650"/>
      <c r="I4" s="650"/>
      <c r="J4" s="650"/>
      <c r="K4" s="650"/>
      <c r="L4" s="650"/>
      <c r="M4" s="650"/>
      <c r="N4" s="650"/>
      <c r="O4" s="650"/>
    </row>
    <row r="5" spans="1:15" ht="15.75">
      <c r="A5" s="647" t="s">
        <v>7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  <c r="L5" s="647"/>
      <c r="M5" s="647"/>
      <c r="N5" s="647"/>
      <c r="O5" s="647"/>
    </row>
    <row r="6" spans="1:15">
      <c r="A6" s="354"/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</row>
    <row r="7" spans="1:15">
      <c r="A7" s="354"/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</row>
    <row r="8" spans="1:15">
      <c r="A8" s="356" t="s">
        <v>2</v>
      </c>
      <c r="B8" s="357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</row>
    <row r="9" spans="1:15">
      <c r="A9" s="354">
        <v>1</v>
      </c>
      <c r="B9" s="467" t="s">
        <v>110</v>
      </c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</row>
    <row r="10" spans="1:15">
      <c r="A10" s="359">
        <v>2</v>
      </c>
      <c r="B10" s="453" t="s">
        <v>61</v>
      </c>
      <c r="C10" s="35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</row>
    <row r="11" spans="1:15" ht="15.75">
      <c r="A11" s="354">
        <v>3</v>
      </c>
      <c r="B11" s="468" t="s">
        <v>96</v>
      </c>
      <c r="C11" s="355"/>
      <c r="D11" s="355"/>
      <c r="E11" s="355"/>
      <c r="F11" s="355"/>
      <c r="G11" s="355"/>
      <c r="H11" s="355"/>
      <c r="I11" s="355"/>
      <c r="J11" s="355"/>
      <c r="K11" s="355"/>
      <c r="L11" s="355"/>
      <c r="M11" s="355"/>
      <c r="N11" s="355"/>
    </row>
    <row r="12" spans="1:15">
      <c r="A12" s="359">
        <v>4</v>
      </c>
      <c r="B12" s="453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355"/>
    </row>
    <row r="13" spans="1:15">
      <c r="A13" s="354">
        <v>5</v>
      </c>
      <c r="B13" s="469" t="s">
        <v>62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</row>
    <row r="14" spans="1:15" ht="15.75">
      <c r="A14" s="359">
        <v>6</v>
      </c>
      <c r="B14" s="468" t="s">
        <v>253</v>
      </c>
      <c r="C14" s="35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</row>
    <row r="15" spans="1:15">
      <c r="A15" s="354">
        <v>7</v>
      </c>
      <c r="B15" s="469"/>
      <c r="C15" s="355"/>
      <c r="D15" s="355"/>
      <c r="E15" s="355"/>
      <c r="F15" s="355"/>
      <c r="G15" s="355"/>
      <c r="H15" s="355"/>
      <c r="I15" s="355"/>
      <c r="J15" s="355"/>
      <c r="K15" s="355"/>
      <c r="L15" s="355"/>
      <c r="M15" s="355"/>
      <c r="N15" s="355"/>
    </row>
    <row r="16" spans="1:15" ht="15.75">
      <c r="A16" s="359">
        <v>8</v>
      </c>
      <c r="B16" s="470" t="s">
        <v>97</v>
      </c>
      <c r="C16" s="397">
        <v>2010</v>
      </c>
      <c r="D16" s="646">
        <v>2011</v>
      </c>
      <c r="E16" s="646"/>
      <c r="F16" s="646"/>
      <c r="G16" s="646"/>
      <c r="H16" s="646"/>
      <c r="I16" s="646"/>
      <c r="J16" s="646"/>
      <c r="K16" s="646"/>
      <c r="L16" s="646"/>
      <c r="M16" s="646"/>
      <c r="N16" s="646"/>
      <c r="O16" s="646"/>
    </row>
    <row r="17" spans="1:15" ht="21" thickBot="1">
      <c r="A17" s="354">
        <v>9</v>
      </c>
      <c r="B17" s="471" t="s">
        <v>331</v>
      </c>
      <c r="C17" s="364" t="s">
        <v>101</v>
      </c>
      <c r="D17" s="364" t="s">
        <v>100</v>
      </c>
      <c r="E17" s="364" t="s">
        <v>76</v>
      </c>
      <c r="F17" s="364" t="s">
        <v>77</v>
      </c>
      <c r="G17" s="364" t="s">
        <v>78</v>
      </c>
      <c r="H17" s="364" t="s">
        <v>75</v>
      </c>
      <c r="I17" s="364" t="s">
        <v>79</v>
      </c>
      <c r="J17" s="364" t="s">
        <v>80</v>
      </c>
      <c r="K17" s="364" t="s">
        <v>81</v>
      </c>
      <c r="L17" s="364" t="s">
        <v>82</v>
      </c>
      <c r="M17" s="364" t="s">
        <v>83</v>
      </c>
      <c r="N17" s="364" t="s">
        <v>84</v>
      </c>
      <c r="O17" s="364" t="s">
        <v>101</v>
      </c>
    </row>
    <row r="18" spans="1:15" ht="29.25" thickTop="1">
      <c r="A18" s="359">
        <v>10</v>
      </c>
      <c r="B18" s="472" t="s">
        <v>254</v>
      </c>
      <c r="C18" s="366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5"/>
    </row>
    <row r="19" spans="1:15">
      <c r="A19" s="367">
        <v>11</v>
      </c>
      <c r="B19" s="368" t="s">
        <v>146</v>
      </c>
      <c r="C19" s="369">
        <f>'Lugo-Pisgah CWIP Balance'!E15+'Def Tax'!F665</f>
        <v>-320.10793000000001</v>
      </c>
      <c r="D19" s="370">
        <f>C20</f>
        <v>-144.55245556820833</v>
      </c>
      <c r="E19" s="370">
        <f>D20</f>
        <v>-51.374729982677806</v>
      </c>
      <c r="F19" s="370">
        <f t="shared" ref="F19:O19" si="0">E20</f>
        <v>-5.8101596820059624</v>
      </c>
      <c r="G19" s="370">
        <f t="shared" si="0"/>
        <v>76.580896063445579</v>
      </c>
      <c r="H19" s="370">
        <f t="shared" si="0"/>
        <v>-187.80875907045186</v>
      </c>
      <c r="I19" s="370">
        <f t="shared" si="0"/>
        <v>-168.11819910862857</v>
      </c>
      <c r="J19" s="370">
        <f t="shared" si="0"/>
        <v>117.47324860160752</v>
      </c>
      <c r="K19" s="370">
        <f t="shared" si="0"/>
        <v>17.17032296259525</v>
      </c>
      <c r="L19" s="370">
        <f t="shared" si="0"/>
        <v>58.899855616087457</v>
      </c>
      <c r="M19" s="370">
        <f t="shared" si="0"/>
        <v>-201.04594079362349</v>
      </c>
      <c r="N19" s="370">
        <f t="shared" si="0"/>
        <v>-188.30751348584471</v>
      </c>
      <c r="O19" s="370">
        <f t="shared" si="0"/>
        <v>-108.94245170017466</v>
      </c>
    </row>
    <row r="20" spans="1:15">
      <c r="A20" s="371">
        <v>12</v>
      </c>
      <c r="B20" s="368" t="s">
        <v>147</v>
      </c>
      <c r="C20" s="372">
        <f>'Lugo-Pisgah CWIP Balance'!E16+'Def Tax'!F666</f>
        <v>-144.55245556820833</v>
      </c>
      <c r="D20" s="372">
        <f>'Lugo-Pisgah CWIP Balance'!E17+'Def Tax'!F667</f>
        <v>-51.374729982677806</v>
      </c>
      <c r="E20" s="372">
        <f>'Lugo-Pisgah CWIP Balance'!E18+'Def Tax'!F668</f>
        <v>-5.8101596820059624</v>
      </c>
      <c r="F20" s="372">
        <f>'Lugo-Pisgah CWIP Balance'!E19+'Def Tax'!F669</f>
        <v>76.580896063445579</v>
      </c>
      <c r="G20" s="372">
        <f>'Lugo-Pisgah CWIP Balance'!E20+'Def Tax'!F670</f>
        <v>-187.80875907045186</v>
      </c>
      <c r="H20" s="372">
        <f>'Lugo-Pisgah CWIP Balance'!E21+'Def Tax'!F671</f>
        <v>-168.11819910862857</v>
      </c>
      <c r="I20" s="372">
        <f>'Lugo-Pisgah CWIP Balance'!E22+'Def Tax'!F672</f>
        <v>117.47324860160752</v>
      </c>
      <c r="J20" s="372">
        <f>'Lugo-Pisgah CWIP Balance'!E23+'Def Tax'!F673</f>
        <v>17.17032296259525</v>
      </c>
      <c r="K20" s="372">
        <f>'Lugo-Pisgah CWIP Balance'!E24+'Def Tax'!F674</f>
        <v>58.899855616087457</v>
      </c>
      <c r="L20" s="372">
        <f>'Lugo-Pisgah CWIP Balance'!E25+'Def Tax'!F675</f>
        <v>-201.04594079362349</v>
      </c>
      <c r="M20" s="372">
        <f>'Lugo-Pisgah CWIP Balance'!E26+'Def Tax'!F676</f>
        <v>-188.30751348584471</v>
      </c>
      <c r="N20" s="372">
        <f>'Lugo-Pisgah CWIP Balance'!E27+'Def Tax'!F677</f>
        <v>-108.94245170017466</v>
      </c>
      <c r="O20" s="372">
        <f>'Lugo-Pisgah CWIP Balance'!E28+'Def Tax'!F678</f>
        <v>-74.62784170017467</v>
      </c>
    </row>
    <row r="21" spans="1:15">
      <c r="A21" s="367">
        <v>13</v>
      </c>
      <c r="B21" s="368" t="s">
        <v>12</v>
      </c>
      <c r="C21" s="452">
        <f>SUM(C19:C20)</f>
        <v>-464.66038556820831</v>
      </c>
      <c r="D21" s="452">
        <f>SUM(D19:D20)</f>
        <v>-195.92718555088612</v>
      </c>
      <c r="E21" s="452">
        <f t="shared" ref="E21:N21" si="1">SUM(E19:E20)</f>
        <v>-57.184889664683766</v>
      </c>
      <c r="F21" s="452">
        <f t="shared" si="1"/>
        <v>70.770736381439619</v>
      </c>
      <c r="G21" s="452">
        <f t="shared" si="1"/>
        <v>-111.22786300700628</v>
      </c>
      <c r="H21" s="452">
        <f t="shared" si="1"/>
        <v>-355.92695817908043</v>
      </c>
      <c r="I21" s="452">
        <f t="shared" si="1"/>
        <v>-50.644950507021051</v>
      </c>
      <c r="J21" s="452">
        <f t="shared" si="1"/>
        <v>134.64357156420277</v>
      </c>
      <c r="K21" s="452">
        <f t="shared" si="1"/>
        <v>76.070178578682714</v>
      </c>
      <c r="L21" s="452">
        <f t="shared" si="1"/>
        <v>-142.14608517753604</v>
      </c>
      <c r="M21" s="452">
        <f t="shared" si="1"/>
        <v>-389.35345427946822</v>
      </c>
      <c r="N21" s="452">
        <f t="shared" si="1"/>
        <v>-297.24996518601938</v>
      </c>
      <c r="O21" s="452">
        <f t="shared" ref="O21" si="2">SUM(O19:O20)</f>
        <v>-183.57029340034933</v>
      </c>
    </row>
    <row r="22" spans="1:15">
      <c r="A22" s="359">
        <v>14</v>
      </c>
      <c r="B22" s="466" t="s">
        <v>13</v>
      </c>
      <c r="C22" s="460">
        <f>C21/2</f>
        <v>-232.33019278410416</v>
      </c>
      <c r="D22" s="460">
        <f>D21/2</f>
        <v>-97.963592775443061</v>
      </c>
      <c r="E22" s="460">
        <f t="shared" ref="E22:N22" si="3">E21/2</f>
        <v>-28.592444832341883</v>
      </c>
      <c r="F22" s="460">
        <f t="shared" si="3"/>
        <v>35.385368190719809</v>
      </c>
      <c r="G22" s="460">
        <f t="shared" si="3"/>
        <v>-55.613931503503139</v>
      </c>
      <c r="H22" s="460">
        <f t="shared" si="3"/>
        <v>-177.96347908954021</v>
      </c>
      <c r="I22" s="460">
        <f t="shared" si="3"/>
        <v>-25.322475253510525</v>
      </c>
      <c r="J22" s="460">
        <f t="shared" si="3"/>
        <v>67.321785782101387</v>
      </c>
      <c r="K22" s="460">
        <f t="shared" si="3"/>
        <v>38.035089289341357</v>
      </c>
      <c r="L22" s="460">
        <f t="shared" si="3"/>
        <v>-71.073042588768018</v>
      </c>
      <c r="M22" s="460">
        <f t="shared" si="3"/>
        <v>-194.67672713973411</v>
      </c>
      <c r="N22" s="460">
        <f t="shared" si="3"/>
        <v>-148.62498259300969</v>
      </c>
      <c r="O22" s="460">
        <f t="shared" ref="O22" si="4">O21/2</f>
        <v>-91.785146700174664</v>
      </c>
    </row>
    <row r="23" spans="1:15">
      <c r="A23" s="354">
        <v>15</v>
      </c>
      <c r="B23" s="368"/>
      <c r="C23" s="545"/>
      <c r="D23" s="453"/>
      <c r="E23" s="453"/>
      <c r="F23" s="453"/>
      <c r="G23" s="453"/>
      <c r="H23" s="453"/>
      <c r="I23" s="453"/>
      <c r="J23" s="453"/>
      <c r="K23" s="453"/>
      <c r="L23" s="453"/>
      <c r="M23" s="453"/>
      <c r="N23" s="453"/>
      <c r="O23" s="344"/>
    </row>
    <row r="24" spans="1:15" ht="28.5">
      <c r="A24" s="359">
        <v>16</v>
      </c>
      <c r="B24" s="472" t="s">
        <v>255</v>
      </c>
      <c r="C24" s="453"/>
      <c r="D24" s="453"/>
      <c r="E24" s="453"/>
      <c r="F24" s="453"/>
      <c r="G24" s="453"/>
      <c r="H24" s="453"/>
      <c r="I24" s="453"/>
      <c r="J24" s="453"/>
      <c r="K24" s="453"/>
      <c r="L24" s="453"/>
      <c r="M24" s="453"/>
      <c r="N24" s="453"/>
      <c r="O24" s="344"/>
    </row>
    <row r="25" spans="1:15">
      <c r="A25" s="367">
        <v>17</v>
      </c>
      <c r="B25" s="374" t="s">
        <v>47</v>
      </c>
      <c r="C25" s="375">
        <f>'Cost of Capital'!D100</f>
        <v>8.4279999999999994E-2</v>
      </c>
      <c r="D25" s="375">
        <f>'Cost of Capital'!$D$153</f>
        <v>8.3139999999999992E-2</v>
      </c>
      <c r="E25" s="375">
        <f>'Cost of Capital'!$D$153</f>
        <v>8.3139999999999992E-2</v>
      </c>
      <c r="F25" s="375">
        <f>'Cost of Capital'!$D$153</f>
        <v>8.3139999999999992E-2</v>
      </c>
      <c r="G25" s="375">
        <f>'Cost of Capital'!$D$153</f>
        <v>8.3139999999999992E-2</v>
      </c>
      <c r="H25" s="375">
        <f>'Cost of Capital'!$D$153</f>
        <v>8.3139999999999992E-2</v>
      </c>
      <c r="I25" s="375">
        <f>'Cost of Capital'!$D$153</f>
        <v>8.3139999999999992E-2</v>
      </c>
      <c r="J25" s="375">
        <f>'Cost of Capital'!$D$153</f>
        <v>8.3139999999999992E-2</v>
      </c>
      <c r="K25" s="375">
        <f>'Cost of Capital'!$D$153</f>
        <v>8.3139999999999992E-2</v>
      </c>
      <c r="L25" s="375">
        <f>'Cost of Capital'!$D$153</f>
        <v>8.3139999999999992E-2</v>
      </c>
      <c r="M25" s="375">
        <f>'Cost of Capital'!$D$153</f>
        <v>8.3139999999999992E-2</v>
      </c>
      <c r="N25" s="375">
        <f>'Cost of Capital'!$D$153</f>
        <v>8.3139999999999992E-2</v>
      </c>
      <c r="O25" s="375">
        <f>'Cost of Capital'!$D$153</f>
        <v>8.3139999999999992E-2</v>
      </c>
    </row>
    <row r="26" spans="1:15">
      <c r="A26" s="359">
        <v>18</v>
      </c>
      <c r="B26" s="466" t="s">
        <v>48</v>
      </c>
      <c r="C26" s="441">
        <f>'Cost of Capital'!D101</f>
        <v>7.0233333333333328E-3</v>
      </c>
      <c r="D26" s="441">
        <f>'Cost of Capital'!$D$154</f>
        <v>6.9283333333333324E-3</v>
      </c>
      <c r="E26" s="441">
        <f>'Cost of Capital'!$D$154</f>
        <v>6.9283333333333324E-3</v>
      </c>
      <c r="F26" s="441">
        <f>'Cost of Capital'!$D$154</f>
        <v>6.9283333333333324E-3</v>
      </c>
      <c r="G26" s="441">
        <f>'Cost of Capital'!$D$154</f>
        <v>6.9283333333333324E-3</v>
      </c>
      <c r="H26" s="441">
        <f>'Cost of Capital'!$D$154</f>
        <v>6.9283333333333324E-3</v>
      </c>
      <c r="I26" s="441">
        <f>'Cost of Capital'!$D$154</f>
        <v>6.9283333333333324E-3</v>
      </c>
      <c r="J26" s="441">
        <f>'Cost of Capital'!$D$154</f>
        <v>6.9283333333333324E-3</v>
      </c>
      <c r="K26" s="441">
        <f>'Cost of Capital'!$D$154</f>
        <v>6.9283333333333324E-3</v>
      </c>
      <c r="L26" s="441">
        <f>'Cost of Capital'!$D$154</f>
        <v>6.9283333333333324E-3</v>
      </c>
      <c r="M26" s="441">
        <f>'Cost of Capital'!$D$154</f>
        <v>6.9283333333333324E-3</v>
      </c>
      <c r="N26" s="441">
        <f>'Cost of Capital'!$D$154</f>
        <v>6.9283333333333324E-3</v>
      </c>
      <c r="O26" s="441">
        <f>'Cost of Capital'!$D$154</f>
        <v>6.9283333333333324E-3</v>
      </c>
    </row>
    <row r="27" spans="1:15">
      <c r="A27" s="354">
        <v>19</v>
      </c>
      <c r="B27" s="368"/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344"/>
    </row>
    <row r="28" spans="1:15" ht="15.75">
      <c r="A28" s="359">
        <v>20</v>
      </c>
      <c r="B28" s="473" t="s">
        <v>256</v>
      </c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344"/>
    </row>
    <row r="29" spans="1:15">
      <c r="A29" s="354">
        <v>21</v>
      </c>
      <c r="B29" s="474" t="s">
        <v>91</v>
      </c>
      <c r="C29" s="453"/>
      <c r="D29" s="453"/>
      <c r="E29" s="453"/>
      <c r="F29" s="453"/>
      <c r="G29" s="453"/>
      <c r="H29" s="453"/>
      <c r="I29" s="453"/>
      <c r="J29" s="453"/>
      <c r="K29" s="453"/>
      <c r="L29" s="453"/>
      <c r="M29" s="453"/>
      <c r="N29" s="453"/>
      <c r="O29" s="344"/>
    </row>
    <row r="30" spans="1:15">
      <c r="A30" s="359">
        <v>22</v>
      </c>
      <c r="B30" s="475" t="s">
        <v>15</v>
      </c>
      <c r="C30" s="453"/>
      <c r="D30" s="453"/>
      <c r="E30" s="453"/>
      <c r="F30" s="453"/>
      <c r="G30" s="453"/>
      <c r="H30" s="453"/>
      <c r="I30" s="453"/>
      <c r="J30" s="453"/>
      <c r="K30" s="453"/>
      <c r="L30" s="453"/>
      <c r="M30" s="453"/>
      <c r="N30" s="453"/>
      <c r="O30" s="344"/>
    </row>
    <row r="31" spans="1:15" ht="25.5">
      <c r="A31" s="354">
        <v>23</v>
      </c>
      <c r="B31" s="476" t="s">
        <v>92</v>
      </c>
      <c r="C31" s="453"/>
      <c r="D31" s="453"/>
      <c r="E31" s="453"/>
      <c r="F31" s="453"/>
      <c r="G31" s="453"/>
      <c r="H31" s="453"/>
      <c r="I31" s="453"/>
      <c r="J31" s="453"/>
      <c r="K31" s="453"/>
      <c r="L31" s="453"/>
      <c r="M31" s="453"/>
      <c r="N31" s="453"/>
      <c r="O31" s="344"/>
    </row>
    <row r="32" spans="1:15" ht="25.5">
      <c r="A32" s="359">
        <v>24</v>
      </c>
      <c r="B32" s="477" t="s">
        <v>19</v>
      </c>
      <c r="C32" s="453"/>
      <c r="D32" s="453"/>
      <c r="E32" s="453"/>
      <c r="F32" s="453"/>
      <c r="G32" s="453"/>
      <c r="H32" s="453"/>
      <c r="I32" s="453"/>
      <c r="J32" s="453"/>
      <c r="K32" s="453"/>
      <c r="L32" s="453"/>
      <c r="M32" s="453"/>
      <c r="N32" s="453"/>
      <c r="O32" s="344"/>
    </row>
    <row r="33" spans="1:15">
      <c r="A33" s="367">
        <v>25</v>
      </c>
      <c r="B33" s="368" t="s">
        <v>20</v>
      </c>
      <c r="C33" s="381">
        <f>'Cost of Capital'!D97</f>
        <v>2.6700000000000002E-2</v>
      </c>
      <c r="D33" s="381">
        <f>'Cost of Capital'!$D$142</f>
        <v>2.58E-2</v>
      </c>
      <c r="E33" s="381">
        <f>'Cost of Capital'!$D$142</f>
        <v>2.58E-2</v>
      </c>
      <c r="F33" s="381">
        <f>'Cost of Capital'!$D$142</f>
        <v>2.58E-2</v>
      </c>
      <c r="G33" s="381">
        <f>'Cost of Capital'!$D$142</f>
        <v>2.58E-2</v>
      </c>
      <c r="H33" s="381">
        <f>'Cost of Capital'!$D$142</f>
        <v>2.58E-2</v>
      </c>
      <c r="I33" s="381">
        <f>'Cost of Capital'!$D$142</f>
        <v>2.58E-2</v>
      </c>
      <c r="J33" s="381">
        <f>'Cost of Capital'!$D$142</f>
        <v>2.58E-2</v>
      </c>
      <c r="K33" s="381">
        <f>'Cost of Capital'!$D$142</f>
        <v>2.58E-2</v>
      </c>
      <c r="L33" s="381">
        <f>'Cost of Capital'!$D$142</f>
        <v>2.58E-2</v>
      </c>
      <c r="M33" s="381">
        <f>'Cost of Capital'!$D$142</f>
        <v>2.58E-2</v>
      </c>
      <c r="N33" s="381">
        <f>'Cost of Capital'!$D$142</f>
        <v>2.58E-2</v>
      </c>
      <c r="O33" s="381">
        <f>'Cost of Capital'!$D$142</f>
        <v>2.58E-2</v>
      </c>
    </row>
    <row r="34" spans="1:15">
      <c r="A34" s="359">
        <v>26</v>
      </c>
      <c r="B34" s="368" t="s">
        <v>21</v>
      </c>
      <c r="C34" s="461">
        <f>C33/12</f>
        <v>2.225E-3</v>
      </c>
      <c r="D34" s="461">
        <f>D33/12</f>
        <v>2.15E-3</v>
      </c>
      <c r="E34" s="461">
        <f t="shared" ref="E34:N34" si="5">E33/12</f>
        <v>2.15E-3</v>
      </c>
      <c r="F34" s="461">
        <f t="shared" si="5"/>
        <v>2.15E-3</v>
      </c>
      <c r="G34" s="461">
        <f t="shared" si="5"/>
        <v>2.15E-3</v>
      </c>
      <c r="H34" s="461">
        <f t="shared" si="5"/>
        <v>2.15E-3</v>
      </c>
      <c r="I34" s="461">
        <f t="shared" si="5"/>
        <v>2.15E-3</v>
      </c>
      <c r="J34" s="461">
        <f t="shared" si="5"/>
        <v>2.15E-3</v>
      </c>
      <c r="K34" s="461">
        <f t="shared" si="5"/>
        <v>2.15E-3</v>
      </c>
      <c r="L34" s="461">
        <f t="shared" si="5"/>
        <v>2.15E-3</v>
      </c>
      <c r="M34" s="461">
        <f t="shared" si="5"/>
        <v>2.15E-3</v>
      </c>
      <c r="N34" s="461">
        <f t="shared" si="5"/>
        <v>2.15E-3</v>
      </c>
      <c r="O34" s="461">
        <f t="shared" ref="O34" si="6">O33/12</f>
        <v>2.15E-3</v>
      </c>
    </row>
    <row r="35" spans="1:15" ht="25.5">
      <c r="A35" s="354">
        <v>27</v>
      </c>
      <c r="B35" s="477" t="s">
        <v>22</v>
      </c>
      <c r="C35" s="453"/>
      <c r="D35" s="453"/>
      <c r="E35" s="453"/>
      <c r="F35" s="453"/>
      <c r="G35" s="453"/>
      <c r="H35" s="453"/>
      <c r="I35" s="453"/>
      <c r="J35" s="453"/>
      <c r="K35" s="453"/>
      <c r="L35" s="453"/>
      <c r="M35" s="453"/>
      <c r="N35" s="453"/>
      <c r="O35" s="344"/>
    </row>
    <row r="36" spans="1:15">
      <c r="A36" s="359">
        <v>28</v>
      </c>
      <c r="B36" s="368" t="s">
        <v>18</v>
      </c>
      <c r="C36" s="462">
        <f>'Def Tax'!E642</f>
        <v>-1.6672288020833332</v>
      </c>
      <c r="D36" s="462">
        <f>'Def Tax'!E645</f>
        <v>-0.75802494167751733</v>
      </c>
      <c r="E36" s="462">
        <f>'Def Tax'!E646</f>
        <v>-0.2751979361654211</v>
      </c>
      <c r="F36" s="462">
        <f>'Def Tax'!E647</f>
        <v>-3.8829175416282669E-2</v>
      </c>
      <c r="G36" s="462">
        <f>'Def Tax'!E648</f>
        <v>0.39015046429509082</v>
      </c>
      <c r="H36" s="462">
        <f>'Def Tax'!E649</f>
        <v>-0.98539885620337231</v>
      </c>
      <c r="I36" s="462">
        <f>'Def Tax'!E650</f>
        <v>-0.88675645441276485</v>
      </c>
      <c r="J36" s="462">
        <f>'Def Tax'!E651</f>
        <v>0.5970212723871684</v>
      </c>
      <c r="K36" s="462">
        <f>'Def Tax'!E652</f>
        <v>7.7191851930851596E-2</v>
      </c>
      <c r="L36" s="462">
        <f>'Def Tax'!E653</f>
        <v>0.29488061157632472</v>
      </c>
      <c r="M36" s="462">
        <f>'Def Tax'!E654</f>
        <v>-1.0576243331550481</v>
      </c>
      <c r="N36" s="462">
        <f>'Def Tax'!E655</f>
        <v>-0.99641279322356413</v>
      </c>
      <c r="O36" s="462">
        <f>'Def Tax'!E656</f>
        <v>-0.58806655777160355</v>
      </c>
    </row>
    <row r="37" spans="1:15">
      <c r="A37" s="354">
        <v>29</v>
      </c>
      <c r="B37" s="478" t="s">
        <v>23</v>
      </c>
      <c r="C37" s="453"/>
      <c r="D37" s="453"/>
      <c r="E37" s="453"/>
      <c r="F37" s="453"/>
      <c r="G37" s="453"/>
      <c r="H37" s="453"/>
      <c r="I37" s="453"/>
      <c r="J37" s="453"/>
      <c r="K37" s="453"/>
      <c r="L37" s="453"/>
      <c r="M37" s="453"/>
      <c r="N37" s="453"/>
      <c r="O37" s="453"/>
    </row>
    <row r="38" spans="1:15">
      <c r="A38" s="371">
        <v>30</v>
      </c>
      <c r="B38" s="368" t="s">
        <v>16</v>
      </c>
      <c r="C38" s="383">
        <f>'Income Tax Rates'!G52</f>
        <v>8.795E-2</v>
      </c>
      <c r="D38" s="383">
        <f>'Income Tax Rates'!$G$72</f>
        <v>8.8330000000000006E-2</v>
      </c>
      <c r="E38" s="383">
        <f>'Income Tax Rates'!$G$72</f>
        <v>8.8330000000000006E-2</v>
      </c>
      <c r="F38" s="383">
        <f>'Income Tax Rates'!$G$72</f>
        <v>8.8330000000000006E-2</v>
      </c>
      <c r="G38" s="383">
        <f>'Income Tax Rates'!$G$72</f>
        <v>8.8330000000000006E-2</v>
      </c>
      <c r="H38" s="383">
        <f>'Income Tax Rates'!$G$72</f>
        <v>8.8330000000000006E-2</v>
      </c>
      <c r="I38" s="383">
        <f>'Income Tax Rates'!$G$72</f>
        <v>8.8330000000000006E-2</v>
      </c>
      <c r="J38" s="383">
        <f>'Income Tax Rates'!$G$72</f>
        <v>8.8330000000000006E-2</v>
      </c>
      <c r="K38" s="383">
        <f>'Income Tax Rates'!$G$72</f>
        <v>8.8330000000000006E-2</v>
      </c>
      <c r="L38" s="383">
        <f>'Income Tax Rates'!$G$72</f>
        <v>8.8330000000000006E-2</v>
      </c>
      <c r="M38" s="383">
        <f>'Income Tax Rates'!$G$72</f>
        <v>8.8330000000000006E-2</v>
      </c>
      <c r="N38" s="383">
        <f>'Income Tax Rates'!$G$72</f>
        <v>8.8330000000000006E-2</v>
      </c>
      <c r="O38" s="383">
        <f>'Income Tax Rates'!$G$72</f>
        <v>8.8330000000000006E-2</v>
      </c>
    </row>
    <row r="39" spans="1:15">
      <c r="A39" s="354">
        <v>31</v>
      </c>
      <c r="B39" s="368" t="s">
        <v>49</v>
      </c>
      <c r="C39" s="463">
        <f>((C22*(C26-C34))+C36)*C38</f>
        <v>-0.24467923159487429</v>
      </c>
      <c r="D39" s="463">
        <f>((D22*(D26-D34))+D36)*D38</f>
        <v>-0.10830385466109836</v>
      </c>
      <c r="E39" s="463">
        <f t="shared" ref="E39:N39" si="7">((E22*(E26-E34))+E36)*E38</f>
        <v>-3.6376252133826406E-2</v>
      </c>
      <c r="F39" s="463">
        <f t="shared" si="7"/>
        <v>1.1505327775054362E-2</v>
      </c>
      <c r="G39" s="463">
        <f t="shared" si="7"/>
        <v>1.0989008245614367E-2</v>
      </c>
      <c r="H39" s="463">
        <f t="shared" si="7"/>
        <v>-0.16215335921440396</v>
      </c>
      <c r="I39" s="463">
        <f t="shared" si="7"/>
        <v>-8.9015059390982518E-2</v>
      </c>
      <c r="J39" s="463">
        <f t="shared" si="7"/>
        <v>8.1149407457337508E-2</v>
      </c>
      <c r="K39" s="463">
        <f t="shared" si="7"/>
        <v>2.287183339050413E-2</v>
      </c>
      <c r="L39" s="463">
        <f t="shared" si="7"/>
        <v>-3.9510076949623553E-3</v>
      </c>
      <c r="M39" s="463">
        <f t="shared" si="7"/>
        <v>-0.17558719926218627</v>
      </c>
      <c r="N39" s="463">
        <f t="shared" si="7"/>
        <v>-0.15074331567638249</v>
      </c>
      <c r="O39" s="463">
        <f t="shared" ref="O39" si="8">((O22*(O26-O34))+O36)*O38</f>
        <v>-9.068369274298535E-2</v>
      </c>
    </row>
    <row r="40" spans="1:15">
      <c r="A40" s="359">
        <v>32</v>
      </c>
      <c r="B40" s="368"/>
      <c r="C40" s="453"/>
      <c r="D40" s="453"/>
      <c r="E40" s="453"/>
      <c r="F40" s="453"/>
      <c r="G40" s="453"/>
      <c r="H40" s="453"/>
      <c r="I40" s="453"/>
      <c r="J40" s="453"/>
      <c r="K40" s="453"/>
      <c r="L40" s="453"/>
      <c r="M40" s="453"/>
      <c r="N40" s="453"/>
      <c r="O40" s="344"/>
    </row>
    <row r="41" spans="1:15">
      <c r="A41" s="354">
        <v>33</v>
      </c>
      <c r="B41" s="475" t="s">
        <v>50</v>
      </c>
      <c r="C41" s="453"/>
      <c r="D41" s="453"/>
      <c r="E41" s="453"/>
      <c r="F41" s="453"/>
      <c r="G41" s="453"/>
      <c r="H41" s="453"/>
      <c r="I41" s="453"/>
      <c r="J41" s="453"/>
      <c r="K41" s="453"/>
      <c r="L41" s="453"/>
      <c r="M41" s="453"/>
      <c r="N41" s="453"/>
      <c r="O41" s="344"/>
    </row>
    <row r="42" spans="1:15" ht="25.5">
      <c r="A42" s="359">
        <v>34</v>
      </c>
      <c r="B42" s="479" t="s">
        <v>109</v>
      </c>
      <c r="C42" s="453"/>
      <c r="D42" s="453"/>
      <c r="E42" s="453"/>
      <c r="F42" s="453"/>
      <c r="G42" s="453"/>
      <c r="H42" s="453"/>
      <c r="I42" s="453"/>
      <c r="J42" s="453"/>
      <c r="K42" s="453"/>
      <c r="L42" s="453"/>
      <c r="M42" s="453"/>
      <c r="N42" s="453"/>
      <c r="O42" s="344"/>
    </row>
    <row r="43" spans="1:15">
      <c r="A43" s="367">
        <v>35</v>
      </c>
      <c r="B43" s="368" t="s">
        <v>51</v>
      </c>
      <c r="C43" s="385">
        <f>'Income Tax Rates'!$G$53</f>
        <v>0.35</v>
      </c>
      <c r="D43" s="385">
        <f>'Income Tax Rates'!$G$73</f>
        <v>0.35</v>
      </c>
      <c r="E43" s="385">
        <f>'Income Tax Rates'!$G$73</f>
        <v>0.35</v>
      </c>
      <c r="F43" s="385">
        <f>'Income Tax Rates'!$G$73</f>
        <v>0.35</v>
      </c>
      <c r="G43" s="385">
        <f>'Income Tax Rates'!$G$73</f>
        <v>0.35</v>
      </c>
      <c r="H43" s="385">
        <f>'Income Tax Rates'!$G$73</f>
        <v>0.35</v>
      </c>
      <c r="I43" s="385">
        <f>'Income Tax Rates'!$G$73</f>
        <v>0.35</v>
      </c>
      <c r="J43" s="385">
        <f>'Income Tax Rates'!$G$73</f>
        <v>0.35</v>
      </c>
      <c r="K43" s="385">
        <f>'Income Tax Rates'!$G$73</f>
        <v>0.35</v>
      </c>
      <c r="L43" s="385">
        <f>'Income Tax Rates'!$G$73</f>
        <v>0.35</v>
      </c>
      <c r="M43" s="385">
        <f>'Income Tax Rates'!$G$73</f>
        <v>0.35</v>
      </c>
      <c r="N43" s="385">
        <f>'Income Tax Rates'!$G$73</f>
        <v>0.35</v>
      </c>
      <c r="O43" s="385">
        <f>'Income Tax Rates'!$G$73</f>
        <v>0.35</v>
      </c>
    </row>
    <row r="44" spans="1:15">
      <c r="A44" s="359">
        <v>36</v>
      </c>
      <c r="B44" s="368" t="s">
        <v>52</v>
      </c>
      <c r="C44" s="463">
        <f>((C22*(C26-C34))-C39+C36)*C43</f>
        <v>-0.88807154760246487</v>
      </c>
      <c r="D44" s="463">
        <f>((D22*(D26-D34))-D39+D36)*D43</f>
        <v>-0.39123832573994383</v>
      </c>
      <c r="E44" s="463">
        <f t="shared" ref="E44:N44" si="9">((E22*(E26-E34))-E39+E36)*E43</f>
        <v>-0.1314060706894139</v>
      </c>
      <c r="F44" s="463">
        <f t="shared" si="9"/>
        <v>4.1562003401328346E-2</v>
      </c>
      <c r="G44" s="463">
        <f t="shared" si="9"/>
        <v>3.9696843671999736E-2</v>
      </c>
      <c r="H44" s="463">
        <f t="shared" si="9"/>
        <v>-0.58576501243347079</v>
      </c>
      <c r="I44" s="463">
        <f t="shared" si="9"/>
        <v>-0.32155921791284897</v>
      </c>
      <c r="J44" s="463">
        <f t="shared" si="9"/>
        <v>0.29314522929719017</v>
      </c>
      <c r="K44" s="463">
        <f t="shared" si="9"/>
        <v>8.26225237347709E-2</v>
      </c>
      <c r="L44" s="463">
        <f t="shared" si="9"/>
        <v>-1.4272674231214932E-2</v>
      </c>
      <c r="M44" s="463">
        <f t="shared" si="9"/>
        <v>-0.63429359994311196</v>
      </c>
      <c r="N44" s="463">
        <f t="shared" si="9"/>
        <v>-0.54454721511310611</v>
      </c>
      <c r="O44" s="463">
        <f t="shared" ref="O44" si="10">((O22*(O26-O34))-O39+O36)*O43</f>
        <v>-0.32758701185383343</v>
      </c>
    </row>
    <row r="45" spans="1:15">
      <c r="A45" s="354">
        <v>37</v>
      </c>
      <c r="B45" s="368"/>
      <c r="C45" s="453"/>
      <c r="D45" s="453"/>
      <c r="E45" s="453"/>
      <c r="F45" s="453"/>
      <c r="G45" s="453"/>
      <c r="H45" s="453"/>
      <c r="I45" s="453"/>
      <c r="J45" s="453"/>
      <c r="K45" s="453"/>
      <c r="L45" s="453"/>
      <c r="M45" s="453"/>
      <c r="N45" s="453"/>
      <c r="O45" s="453"/>
    </row>
    <row r="46" spans="1:15" ht="25.5">
      <c r="A46" s="359">
        <v>38</v>
      </c>
      <c r="B46" s="477" t="s">
        <v>53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  <c r="M46" s="386"/>
      <c r="N46" s="386"/>
      <c r="O46" s="386"/>
    </row>
    <row r="47" spans="1:15">
      <c r="A47" s="354">
        <v>39</v>
      </c>
      <c r="B47" s="368" t="s">
        <v>58</v>
      </c>
      <c r="C47" s="462">
        <f>-'Def Tax'!F642</f>
        <v>0.6788955682083333</v>
      </c>
      <c r="D47" s="462">
        <f>-'Def Tax'!F645</f>
        <v>0.30881936123942055</v>
      </c>
      <c r="E47" s="462">
        <f>-'Def Tax'!F646</f>
        <v>0.11211563919379255</v>
      </c>
      <c r="F47" s="462">
        <f>-'Def Tax'!F647</f>
        <v>1.581900606459356E-2</v>
      </c>
      <c r="G47" s="462">
        <f>-'Def Tax'!F648</f>
        <v>-0.15894729915382</v>
      </c>
      <c r="H47" s="462">
        <f>-'Def Tax'!F649</f>
        <v>0.40145149401725388</v>
      </c>
      <c r="I47" s="462">
        <f>-'Def Tax'!F650</f>
        <v>0.36126457952776037</v>
      </c>
      <c r="J47" s="462">
        <f>-'Def Tax'!F651</f>
        <v>-0.24322646637053238</v>
      </c>
      <c r="K47" s="462">
        <f>-'Def Tax'!F652</f>
        <v>-3.1447960476628942E-2</v>
      </c>
      <c r="L47" s="462">
        <f>-'Def Tax'!F653</f>
        <v>-0.12013436115619469</v>
      </c>
      <c r="M47" s="462">
        <f>-'Def Tax'!F654</f>
        <v>0.43087615332736656</v>
      </c>
      <c r="N47" s="462">
        <f>-'Def Tax'!F655</f>
        <v>0.40593857195928001</v>
      </c>
      <c r="O47" s="462">
        <f>-'Def Tax'!F656</f>
        <v>0.23957831563615128</v>
      </c>
    </row>
    <row r="48" spans="1:15">
      <c r="A48" s="359">
        <v>40</v>
      </c>
      <c r="B48" s="368"/>
      <c r="C48" s="453"/>
      <c r="D48" s="453"/>
      <c r="E48" s="453"/>
      <c r="F48" s="453"/>
      <c r="G48" s="453"/>
      <c r="H48" s="453"/>
      <c r="I48" s="453"/>
      <c r="J48" s="453"/>
      <c r="K48" s="453"/>
      <c r="L48" s="453"/>
      <c r="M48" s="453"/>
      <c r="N48" s="453"/>
      <c r="O48" s="344"/>
    </row>
    <row r="49" spans="1:15">
      <c r="A49" s="354">
        <v>41</v>
      </c>
      <c r="B49" s="475" t="s">
        <v>54</v>
      </c>
      <c r="C49" s="453"/>
      <c r="D49" s="453"/>
      <c r="E49" s="453"/>
      <c r="F49" s="453"/>
      <c r="G49" s="453"/>
      <c r="H49" s="453"/>
      <c r="I49" s="453"/>
      <c r="J49" s="453"/>
      <c r="K49" s="453"/>
      <c r="L49" s="453"/>
      <c r="M49" s="453"/>
      <c r="N49" s="453"/>
      <c r="O49" s="344"/>
    </row>
    <row r="50" spans="1:15">
      <c r="A50" s="359">
        <v>42</v>
      </c>
      <c r="B50" s="475" t="s">
        <v>55</v>
      </c>
      <c r="C50" s="453"/>
      <c r="D50" s="453"/>
      <c r="E50" s="453"/>
      <c r="F50" s="453"/>
      <c r="G50" s="453"/>
      <c r="H50" s="453"/>
      <c r="I50" s="453"/>
      <c r="J50" s="453"/>
      <c r="K50" s="453"/>
      <c r="L50" s="453"/>
      <c r="M50" s="453"/>
      <c r="N50" s="453"/>
      <c r="O50" s="344"/>
    </row>
    <row r="51" spans="1:15" ht="25.5">
      <c r="A51" s="354">
        <v>43</v>
      </c>
      <c r="B51" s="477" t="s">
        <v>56</v>
      </c>
      <c r="C51" s="453"/>
      <c r="D51" s="453"/>
      <c r="E51" s="453"/>
      <c r="F51" s="453"/>
      <c r="G51" s="453"/>
      <c r="H51" s="453"/>
      <c r="I51" s="453"/>
      <c r="J51" s="453"/>
      <c r="K51" s="453"/>
      <c r="L51" s="453"/>
      <c r="M51" s="453"/>
      <c r="N51" s="453"/>
      <c r="O51" s="344"/>
    </row>
    <row r="52" spans="1:15">
      <c r="A52" s="371">
        <v>44</v>
      </c>
      <c r="B52" s="368" t="s">
        <v>57</v>
      </c>
      <c r="C52" s="387">
        <f>'Income Tax Rates'!G56</f>
        <v>0.40720000000000001</v>
      </c>
      <c r="D52" s="387">
        <f>'Income Tax Rates'!$G$76</f>
        <v>0.40739999999999998</v>
      </c>
      <c r="E52" s="387">
        <f>'Income Tax Rates'!$G$76</f>
        <v>0.40739999999999998</v>
      </c>
      <c r="F52" s="387">
        <f>'Income Tax Rates'!$G$76</f>
        <v>0.40739999999999998</v>
      </c>
      <c r="G52" s="387">
        <f>'Income Tax Rates'!$G$76</f>
        <v>0.40739999999999998</v>
      </c>
      <c r="H52" s="387">
        <f>'Income Tax Rates'!$G$76</f>
        <v>0.40739999999999998</v>
      </c>
      <c r="I52" s="387">
        <f>'Income Tax Rates'!$G$76</f>
        <v>0.40739999999999998</v>
      </c>
      <c r="J52" s="387">
        <f>'Income Tax Rates'!$G$76</f>
        <v>0.40739999999999998</v>
      </c>
      <c r="K52" s="387">
        <f>'Income Tax Rates'!$G$76</f>
        <v>0.40739999999999998</v>
      </c>
      <c r="L52" s="387">
        <f>'Income Tax Rates'!$G$76</f>
        <v>0.40739999999999998</v>
      </c>
      <c r="M52" s="387">
        <f>'Income Tax Rates'!$G$76</f>
        <v>0.40739999999999998</v>
      </c>
      <c r="N52" s="387">
        <f>'Income Tax Rates'!$G$76</f>
        <v>0.40739999999999998</v>
      </c>
      <c r="O52" s="387">
        <f>'Income Tax Rates'!$G$76</f>
        <v>0.40739999999999998</v>
      </c>
    </row>
    <row r="53" spans="1:15">
      <c r="A53" s="354">
        <v>45</v>
      </c>
      <c r="B53" s="368" t="s">
        <v>59</v>
      </c>
      <c r="C53" s="464">
        <f>1/(1-C52)</f>
        <v>1.6869095816464237</v>
      </c>
      <c r="D53" s="464">
        <f>1/(1-D52)</f>
        <v>1.6874789065136686</v>
      </c>
      <c r="E53" s="464">
        <f t="shared" ref="E53:N53" si="11">1/(1-E52)</f>
        <v>1.6874789065136686</v>
      </c>
      <c r="F53" s="464">
        <f t="shared" si="11"/>
        <v>1.6874789065136686</v>
      </c>
      <c r="G53" s="464">
        <f t="shared" si="11"/>
        <v>1.6874789065136686</v>
      </c>
      <c r="H53" s="464">
        <f t="shared" si="11"/>
        <v>1.6874789065136686</v>
      </c>
      <c r="I53" s="464">
        <f t="shared" si="11"/>
        <v>1.6874789065136686</v>
      </c>
      <c r="J53" s="464">
        <f t="shared" si="11"/>
        <v>1.6874789065136686</v>
      </c>
      <c r="K53" s="464">
        <f t="shared" si="11"/>
        <v>1.6874789065136686</v>
      </c>
      <c r="L53" s="464">
        <f t="shared" si="11"/>
        <v>1.6874789065136686</v>
      </c>
      <c r="M53" s="464">
        <f t="shared" si="11"/>
        <v>1.6874789065136686</v>
      </c>
      <c r="N53" s="464">
        <f t="shared" si="11"/>
        <v>1.6874789065136686</v>
      </c>
      <c r="O53" s="464">
        <f t="shared" ref="O53" si="12">1/(1-O52)</f>
        <v>1.6874789065136686</v>
      </c>
    </row>
    <row r="54" spans="1:15">
      <c r="A54" s="359">
        <v>46</v>
      </c>
      <c r="B54" s="368"/>
      <c r="C54" s="387"/>
      <c r="D54" s="387"/>
      <c r="E54" s="387"/>
      <c r="F54" s="387"/>
      <c r="G54" s="387"/>
      <c r="H54" s="387"/>
      <c r="I54" s="387"/>
      <c r="J54" s="387"/>
      <c r="K54" s="387"/>
      <c r="L54" s="387"/>
      <c r="M54" s="387"/>
      <c r="N54" s="387"/>
      <c r="O54" s="344"/>
    </row>
    <row r="55" spans="1:15" ht="15.75">
      <c r="A55" s="354">
        <v>47</v>
      </c>
      <c r="B55" s="473" t="s">
        <v>94</v>
      </c>
      <c r="C55" s="387"/>
      <c r="D55" s="387"/>
      <c r="E55" s="387"/>
      <c r="F55" s="387"/>
      <c r="G55" s="387"/>
      <c r="H55" s="387"/>
      <c r="I55" s="387"/>
      <c r="J55" s="387"/>
      <c r="K55" s="387"/>
      <c r="L55" s="387"/>
      <c r="M55" s="387"/>
      <c r="N55" s="387"/>
      <c r="O55" s="344"/>
    </row>
    <row r="56" spans="1:15">
      <c r="A56" s="359">
        <v>48</v>
      </c>
      <c r="B56" s="368" t="s">
        <v>49</v>
      </c>
      <c r="C56" s="454">
        <f>C39</f>
        <v>-0.24467923159487429</v>
      </c>
      <c r="D56" s="454">
        <f>D39</f>
        <v>-0.10830385466109836</v>
      </c>
      <c r="E56" s="454">
        <f t="shared" ref="E56:N56" si="13">E39</f>
        <v>-3.6376252133826406E-2</v>
      </c>
      <c r="F56" s="454">
        <f t="shared" si="13"/>
        <v>1.1505327775054362E-2</v>
      </c>
      <c r="G56" s="454">
        <f t="shared" si="13"/>
        <v>1.0989008245614367E-2</v>
      </c>
      <c r="H56" s="454">
        <f t="shared" si="13"/>
        <v>-0.16215335921440396</v>
      </c>
      <c r="I56" s="454">
        <f t="shared" si="13"/>
        <v>-8.9015059390982518E-2</v>
      </c>
      <c r="J56" s="454">
        <f t="shared" si="13"/>
        <v>8.1149407457337508E-2</v>
      </c>
      <c r="K56" s="454">
        <f t="shared" si="13"/>
        <v>2.287183339050413E-2</v>
      </c>
      <c r="L56" s="454">
        <f t="shared" si="13"/>
        <v>-3.9510076949623553E-3</v>
      </c>
      <c r="M56" s="454">
        <f t="shared" si="13"/>
        <v>-0.17558719926218627</v>
      </c>
      <c r="N56" s="454">
        <f t="shared" si="13"/>
        <v>-0.15074331567638249</v>
      </c>
      <c r="O56" s="454">
        <f t="shared" ref="O56" si="14">O39</f>
        <v>-9.068369274298535E-2</v>
      </c>
    </row>
    <row r="57" spans="1:15">
      <c r="A57" s="354">
        <v>49</v>
      </c>
      <c r="B57" s="368" t="s">
        <v>52</v>
      </c>
      <c r="C57" s="454">
        <f>C44</f>
        <v>-0.88807154760246487</v>
      </c>
      <c r="D57" s="454">
        <f>D44</f>
        <v>-0.39123832573994383</v>
      </c>
      <c r="E57" s="454">
        <f t="shared" ref="E57:N57" si="15">E44</f>
        <v>-0.1314060706894139</v>
      </c>
      <c r="F57" s="454">
        <f t="shared" si="15"/>
        <v>4.1562003401328346E-2</v>
      </c>
      <c r="G57" s="454">
        <f t="shared" si="15"/>
        <v>3.9696843671999736E-2</v>
      </c>
      <c r="H57" s="454">
        <f t="shared" si="15"/>
        <v>-0.58576501243347079</v>
      </c>
      <c r="I57" s="454">
        <f t="shared" si="15"/>
        <v>-0.32155921791284897</v>
      </c>
      <c r="J57" s="454">
        <f t="shared" si="15"/>
        <v>0.29314522929719017</v>
      </c>
      <c r="K57" s="454">
        <f t="shared" si="15"/>
        <v>8.26225237347709E-2</v>
      </c>
      <c r="L57" s="454">
        <f t="shared" si="15"/>
        <v>-1.4272674231214932E-2</v>
      </c>
      <c r="M57" s="454">
        <f t="shared" si="15"/>
        <v>-0.63429359994311196</v>
      </c>
      <c r="N57" s="454">
        <f t="shared" si="15"/>
        <v>-0.54454721511310611</v>
      </c>
      <c r="O57" s="454">
        <f t="shared" ref="O57" si="16">O44</f>
        <v>-0.32758701185383343</v>
      </c>
    </row>
    <row r="58" spans="1:15">
      <c r="A58" s="359">
        <v>50</v>
      </c>
      <c r="B58" s="368" t="s">
        <v>58</v>
      </c>
      <c r="C58" s="455">
        <f>C47</f>
        <v>0.6788955682083333</v>
      </c>
      <c r="D58" s="455">
        <f>D47</f>
        <v>0.30881936123942055</v>
      </c>
      <c r="E58" s="455">
        <f t="shared" ref="E58:N58" si="17">E47</f>
        <v>0.11211563919379255</v>
      </c>
      <c r="F58" s="455">
        <f t="shared" si="17"/>
        <v>1.581900606459356E-2</v>
      </c>
      <c r="G58" s="455">
        <f t="shared" si="17"/>
        <v>-0.15894729915382</v>
      </c>
      <c r="H58" s="455">
        <f t="shared" si="17"/>
        <v>0.40145149401725388</v>
      </c>
      <c r="I58" s="455">
        <f t="shared" si="17"/>
        <v>0.36126457952776037</v>
      </c>
      <c r="J58" s="455">
        <f t="shared" si="17"/>
        <v>-0.24322646637053238</v>
      </c>
      <c r="K58" s="455">
        <f t="shared" si="17"/>
        <v>-3.1447960476628942E-2</v>
      </c>
      <c r="L58" s="455">
        <f t="shared" si="17"/>
        <v>-0.12013436115619469</v>
      </c>
      <c r="M58" s="455">
        <f t="shared" si="17"/>
        <v>0.43087615332736656</v>
      </c>
      <c r="N58" s="455">
        <f t="shared" si="17"/>
        <v>0.40593857195928001</v>
      </c>
      <c r="O58" s="455">
        <f t="shared" ref="O58" si="18">O47</f>
        <v>0.23957831563615128</v>
      </c>
    </row>
    <row r="59" spans="1:15">
      <c r="A59" s="354">
        <v>51</v>
      </c>
      <c r="B59" s="368" t="s">
        <v>59</v>
      </c>
      <c r="C59" s="456">
        <f>C53</f>
        <v>1.6869095816464237</v>
      </c>
      <c r="D59" s="456">
        <f>D53</f>
        <v>1.6874789065136686</v>
      </c>
      <c r="E59" s="456">
        <f t="shared" ref="E59:N59" si="19">E53</f>
        <v>1.6874789065136686</v>
      </c>
      <c r="F59" s="456">
        <f t="shared" si="19"/>
        <v>1.6874789065136686</v>
      </c>
      <c r="G59" s="456">
        <f t="shared" si="19"/>
        <v>1.6874789065136686</v>
      </c>
      <c r="H59" s="456">
        <f t="shared" si="19"/>
        <v>1.6874789065136686</v>
      </c>
      <c r="I59" s="456">
        <f t="shared" si="19"/>
        <v>1.6874789065136686</v>
      </c>
      <c r="J59" s="456">
        <f t="shared" si="19"/>
        <v>1.6874789065136686</v>
      </c>
      <c r="K59" s="456">
        <f t="shared" si="19"/>
        <v>1.6874789065136686</v>
      </c>
      <c r="L59" s="456">
        <f t="shared" si="19"/>
        <v>1.6874789065136686</v>
      </c>
      <c r="M59" s="456">
        <f t="shared" si="19"/>
        <v>1.6874789065136686</v>
      </c>
      <c r="N59" s="456">
        <f t="shared" si="19"/>
        <v>1.6874789065136686</v>
      </c>
      <c r="O59" s="456">
        <f t="shared" ref="O59" si="20">O53</f>
        <v>1.6874789065136686</v>
      </c>
    </row>
    <row r="60" spans="1:15">
      <c r="A60" s="359">
        <v>52</v>
      </c>
      <c r="B60" s="466" t="s">
        <v>60</v>
      </c>
      <c r="C60" s="465">
        <f>(C56+C57+C58)*C59</f>
        <v>-0.76561270409751336</v>
      </c>
      <c r="D60" s="465">
        <f>(D56+D57+D58)*D59</f>
        <v>-0.32184073432605748</v>
      </c>
      <c r="E60" s="465">
        <f t="shared" ref="E60:N60" si="21">(E56+E57+E58)*E59</f>
        <v>-9.393635442026281E-2</v>
      </c>
      <c r="F60" s="465">
        <f t="shared" si="21"/>
        <v>0.11624424104113444</v>
      </c>
      <c r="G60" s="465">
        <f t="shared" si="21"/>
        <v>-0.18268890859973996</v>
      </c>
      <c r="H60" s="465">
        <f t="shared" si="21"/>
        <v>-0.5846555478073252</v>
      </c>
      <c r="I60" s="465">
        <f t="shared" si="21"/>
        <v>-8.3209074883683995E-2</v>
      </c>
      <c r="J60" s="465">
        <f t="shared" si="21"/>
        <v>0.22117477283833159</v>
      </c>
      <c r="K60" s="465">
        <f t="shared" si="21"/>
        <v>0.12495173244793467</v>
      </c>
      <c r="L60" s="465">
        <f t="shared" si="21"/>
        <v>-0.23347627924801212</v>
      </c>
      <c r="M60" s="465">
        <f t="shared" si="21"/>
        <v>-0.63956234538969226</v>
      </c>
      <c r="N60" s="465">
        <f t="shared" si="21"/>
        <v>-0.48827532708438837</v>
      </c>
      <c r="O60" s="465">
        <f t="shared" ref="O60" si="22">(O56+O57+O58)*O59</f>
        <v>-0.3015396371256624</v>
      </c>
    </row>
    <row r="61" spans="1:15">
      <c r="A61" s="354">
        <v>53</v>
      </c>
      <c r="B61" s="453"/>
      <c r="C61" s="453"/>
      <c r="D61" s="453"/>
      <c r="E61" s="453"/>
      <c r="F61" s="453"/>
      <c r="G61" s="453"/>
      <c r="H61" s="453"/>
      <c r="I61" s="453"/>
      <c r="J61" s="453"/>
      <c r="K61" s="453"/>
      <c r="L61" s="453"/>
      <c r="M61" s="453"/>
      <c r="N61" s="453"/>
      <c r="O61" s="344"/>
    </row>
    <row r="62" spans="1:15">
      <c r="A62" s="359">
        <v>54</v>
      </c>
      <c r="B62" s="469" t="s">
        <v>259</v>
      </c>
      <c r="C62" s="453"/>
      <c r="D62" s="453"/>
      <c r="E62" s="453"/>
      <c r="F62" s="453"/>
      <c r="G62" s="453"/>
      <c r="H62" s="453"/>
      <c r="I62" s="453"/>
      <c r="J62" s="453"/>
      <c r="K62" s="453"/>
      <c r="L62" s="453"/>
      <c r="M62" s="453"/>
      <c r="N62" s="453"/>
      <c r="O62" s="344"/>
    </row>
    <row r="63" spans="1:15" ht="15.75">
      <c r="A63" s="354">
        <v>55</v>
      </c>
      <c r="B63" s="468" t="s">
        <v>258</v>
      </c>
      <c r="C63" s="453"/>
      <c r="D63" s="453"/>
      <c r="E63" s="453"/>
      <c r="F63" s="453"/>
      <c r="G63" s="453"/>
      <c r="H63" s="453"/>
      <c r="I63" s="453"/>
      <c r="J63" s="453"/>
      <c r="K63" s="453"/>
      <c r="L63" s="453"/>
      <c r="M63" s="453"/>
      <c r="N63" s="453"/>
      <c r="O63" s="344"/>
    </row>
    <row r="64" spans="1:15" ht="15">
      <c r="A64" s="359">
        <v>56</v>
      </c>
      <c r="B64" s="480" t="s">
        <v>63</v>
      </c>
      <c r="C64" s="453"/>
      <c r="D64" s="453"/>
      <c r="E64" s="453"/>
      <c r="F64" s="453"/>
      <c r="G64" s="453"/>
      <c r="H64" s="453"/>
      <c r="I64" s="453"/>
      <c r="J64" s="453"/>
      <c r="K64" s="453"/>
      <c r="L64" s="453"/>
      <c r="M64" s="453"/>
      <c r="N64" s="453"/>
      <c r="O64" s="344"/>
    </row>
    <row r="65" spans="1:15">
      <c r="A65" s="367">
        <v>57</v>
      </c>
      <c r="B65" s="368" t="s">
        <v>13</v>
      </c>
      <c r="C65" s="457">
        <f>C22</f>
        <v>-232.33019278410416</v>
      </c>
      <c r="D65" s="457">
        <f>D22</f>
        <v>-97.963592775443061</v>
      </c>
      <c r="E65" s="457">
        <f t="shared" ref="E65:N65" si="23">E22</f>
        <v>-28.592444832341883</v>
      </c>
      <c r="F65" s="457">
        <f t="shared" si="23"/>
        <v>35.385368190719809</v>
      </c>
      <c r="G65" s="457">
        <f t="shared" si="23"/>
        <v>-55.613931503503139</v>
      </c>
      <c r="H65" s="457">
        <f t="shared" si="23"/>
        <v>-177.96347908954021</v>
      </c>
      <c r="I65" s="457">
        <f t="shared" si="23"/>
        <v>-25.322475253510525</v>
      </c>
      <c r="J65" s="457">
        <f t="shared" si="23"/>
        <v>67.321785782101387</v>
      </c>
      <c r="K65" s="457">
        <f t="shared" si="23"/>
        <v>38.035089289341357</v>
      </c>
      <c r="L65" s="457">
        <f t="shared" si="23"/>
        <v>-71.073042588768018</v>
      </c>
      <c r="M65" s="457">
        <f t="shared" si="23"/>
        <v>-194.67672713973411</v>
      </c>
      <c r="N65" s="457">
        <f t="shared" si="23"/>
        <v>-148.62498259300969</v>
      </c>
      <c r="O65" s="457">
        <f t="shared" ref="O65" si="24">O22</f>
        <v>-91.785146700174664</v>
      </c>
    </row>
    <row r="66" spans="1:15">
      <c r="A66" s="371">
        <v>58</v>
      </c>
      <c r="B66" s="368" t="s">
        <v>48</v>
      </c>
      <c r="C66" s="458">
        <f>C26</f>
        <v>7.0233333333333328E-3</v>
      </c>
      <c r="D66" s="458">
        <f>D26</f>
        <v>6.9283333333333324E-3</v>
      </c>
      <c r="E66" s="458">
        <f t="shared" ref="E66:N66" si="25">E26</f>
        <v>6.9283333333333324E-3</v>
      </c>
      <c r="F66" s="458">
        <f t="shared" si="25"/>
        <v>6.9283333333333324E-3</v>
      </c>
      <c r="G66" s="458">
        <f t="shared" si="25"/>
        <v>6.9283333333333324E-3</v>
      </c>
      <c r="H66" s="458">
        <f t="shared" si="25"/>
        <v>6.9283333333333324E-3</v>
      </c>
      <c r="I66" s="458">
        <f t="shared" si="25"/>
        <v>6.9283333333333324E-3</v>
      </c>
      <c r="J66" s="458">
        <f t="shared" si="25"/>
        <v>6.9283333333333324E-3</v>
      </c>
      <c r="K66" s="458">
        <f t="shared" si="25"/>
        <v>6.9283333333333324E-3</v>
      </c>
      <c r="L66" s="458">
        <f t="shared" si="25"/>
        <v>6.9283333333333324E-3</v>
      </c>
      <c r="M66" s="458">
        <f t="shared" si="25"/>
        <v>6.9283333333333324E-3</v>
      </c>
      <c r="N66" s="458">
        <f t="shared" si="25"/>
        <v>6.9283333333333324E-3</v>
      </c>
      <c r="O66" s="458">
        <f t="shared" ref="O66" si="26">O26</f>
        <v>6.9283333333333324E-3</v>
      </c>
    </row>
    <row r="67" spans="1:15">
      <c r="A67" s="367">
        <v>59</v>
      </c>
      <c r="B67" s="368" t="s">
        <v>152</v>
      </c>
      <c r="C67" s="455">
        <f>C65*C66</f>
        <v>-1.631732387320358</v>
      </c>
      <c r="D67" s="455">
        <f t="shared" ref="D67:N67" si="27">D65*D66</f>
        <v>-0.67872442527919463</v>
      </c>
      <c r="E67" s="455">
        <f t="shared" si="27"/>
        <v>-0.19809798861340866</v>
      </c>
      <c r="F67" s="455">
        <f t="shared" si="27"/>
        <v>0.24516162594803703</v>
      </c>
      <c r="G67" s="455">
        <f t="shared" si="27"/>
        <v>-0.38531185543343754</v>
      </c>
      <c r="H67" s="455">
        <f t="shared" si="27"/>
        <v>-1.2329903042920309</v>
      </c>
      <c r="I67" s="455">
        <f t="shared" si="27"/>
        <v>-0.17544254938140541</v>
      </c>
      <c r="J67" s="455">
        <f t="shared" si="27"/>
        <v>0.46642777249365902</v>
      </c>
      <c r="K67" s="455">
        <f t="shared" si="27"/>
        <v>0.26351977695965334</v>
      </c>
      <c r="L67" s="455">
        <f t="shared" si="27"/>
        <v>-0.49241773006918099</v>
      </c>
      <c r="M67" s="455">
        <f t="shared" si="27"/>
        <v>-1.3487852578664576</v>
      </c>
      <c r="N67" s="455">
        <f t="shared" si="27"/>
        <v>-1.0297234210652353</v>
      </c>
      <c r="O67" s="455">
        <f t="shared" ref="O67" si="28">O65*O66</f>
        <v>-0.63591809138771005</v>
      </c>
    </row>
    <row r="68" spans="1:15">
      <c r="A68" s="371">
        <v>60</v>
      </c>
      <c r="B68" s="368" t="s">
        <v>151</v>
      </c>
      <c r="C68" s="457">
        <f>C60</f>
        <v>-0.76561270409751336</v>
      </c>
      <c r="D68" s="457">
        <f>D60</f>
        <v>-0.32184073432605748</v>
      </c>
      <c r="E68" s="457">
        <f t="shared" ref="E68:N68" si="29">E60</f>
        <v>-9.393635442026281E-2</v>
      </c>
      <c r="F68" s="457">
        <f t="shared" si="29"/>
        <v>0.11624424104113444</v>
      </c>
      <c r="G68" s="457">
        <f t="shared" si="29"/>
        <v>-0.18268890859973996</v>
      </c>
      <c r="H68" s="457">
        <f t="shared" si="29"/>
        <v>-0.5846555478073252</v>
      </c>
      <c r="I68" s="457">
        <f t="shared" si="29"/>
        <v>-8.3209074883683995E-2</v>
      </c>
      <c r="J68" s="457">
        <f t="shared" si="29"/>
        <v>0.22117477283833159</v>
      </c>
      <c r="K68" s="457">
        <f t="shared" si="29"/>
        <v>0.12495173244793467</v>
      </c>
      <c r="L68" s="457">
        <f t="shared" si="29"/>
        <v>-0.23347627924801212</v>
      </c>
      <c r="M68" s="457">
        <f t="shared" si="29"/>
        <v>-0.63956234538969226</v>
      </c>
      <c r="N68" s="457">
        <f t="shared" si="29"/>
        <v>-0.48827532708438837</v>
      </c>
      <c r="O68" s="457">
        <f t="shared" ref="O68" si="30">O60</f>
        <v>-0.3015396371256624</v>
      </c>
    </row>
    <row r="69" spans="1:15">
      <c r="A69" s="354">
        <v>61</v>
      </c>
      <c r="B69" s="466" t="s">
        <v>112</v>
      </c>
      <c r="C69" s="465">
        <f t="shared" ref="C69:N69" si="31">C67+C68</f>
        <v>-2.3973450914178711</v>
      </c>
      <c r="D69" s="465">
        <f t="shared" si="31"/>
        <v>-1.0005651596052521</v>
      </c>
      <c r="E69" s="465">
        <f t="shared" si="31"/>
        <v>-0.29203434303367148</v>
      </c>
      <c r="F69" s="465">
        <f t="shared" si="31"/>
        <v>0.36140586698917149</v>
      </c>
      <c r="G69" s="465">
        <f t="shared" si="31"/>
        <v>-0.56800076403317745</v>
      </c>
      <c r="H69" s="465">
        <f t="shared" si="31"/>
        <v>-1.8176458520993561</v>
      </c>
      <c r="I69" s="465">
        <f t="shared" si="31"/>
        <v>-0.25865162426508942</v>
      </c>
      <c r="J69" s="465">
        <f t="shared" si="31"/>
        <v>0.68760254533199061</v>
      </c>
      <c r="K69" s="465">
        <f t="shared" si="31"/>
        <v>0.38847150940758801</v>
      </c>
      <c r="L69" s="465">
        <f t="shared" si="31"/>
        <v>-0.72589400931719306</v>
      </c>
      <c r="M69" s="465">
        <f t="shared" si="31"/>
        <v>-1.98834760325615</v>
      </c>
      <c r="N69" s="465">
        <f t="shared" si="31"/>
        <v>-1.5179987481496235</v>
      </c>
      <c r="O69" s="465">
        <f t="shared" ref="O69" si="32">O67+O68</f>
        <v>-0.9374577285133725</v>
      </c>
    </row>
    <row r="70" spans="1:15">
      <c r="A70" s="389"/>
      <c r="B70" s="453"/>
      <c r="C70" s="453"/>
      <c r="D70" s="453"/>
      <c r="E70" s="453"/>
      <c r="F70" s="453"/>
      <c r="G70" s="453"/>
      <c r="H70" s="453"/>
      <c r="I70" s="453"/>
      <c r="J70" s="453"/>
      <c r="K70" s="453"/>
      <c r="L70" s="453"/>
      <c r="M70" s="453"/>
      <c r="N70" s="453"/>
      <c r="O70" s="344"/>
    </row>
    <row r="71" spans="1:15">
      <c r="A71" s="389"/>
      <c r="B71" s="453"/>
      <c r="C71" s="453"/>
      <c r="D71" s="453"/>
      <c r="E71" s="453"/>
      <c r="F71" s="453"/>
      <c r="G71" s="453"/>
      <c r="H71" s="453"/>
      <c r="I71" s="453"/>
      <c r="J71" s="453"/>
      <c r="K71" s="453"/>
      <c r="L71" s="453"/>
      <c r="M71" s="453"/>
      <c r="N71" s="453"/>
      <c r="O71" s="344"/>
    </row>
    <row r="72" spans="1:15">
      <c r="A72" s="389"/>
      <c r="B72" s="453"/>
      <c r="C72" s="453"/>
      <c r="D72" s="453"/>
      <c r="E72" s="453"/>
      <c r="F72" s="453"/>
      <c r="G72" s="453"/>
      <c r="H72" s="453"/>
      <c r="I72" s="453"/>
      <c r="J72" s="453"/>
      <c r="K72" s="453"/>
      <c r="L72" s="453"/>
      <c r="M72" s="453"/>
      <c r="N72" s="453"/>
      <c r="O72" s="344"/>
    </row>
    <row r="73" spans="1:15" ht="15">
      <c r="A73" s="389"/>
      <c r="B73" s="481"/>
      <c r="C73" s="453"/>
      <c r="D73" s="453"/>
      <c r="E73" s="453"/>
      <c r="F73" s="453"/>
      <c r="G73" s="453"/>
      <c r="H73" s="453"/>
      <c r="I73" s="453"/>
      <c r="J73" s="453"/>
      <c r="K73" s="453"/>
      <c r="L73" s="453"/>
      <c r="M73" s="453"/>
      <c r="N73" s="453"/>
      <c r="O73" s="344"/>
    </row>
  </sheetData>
  <mergeCells count="6">
    <mergeCell ref="A2:O2"/>
    <mergeCell ref="A1:O1"/>
    <mergeCell ref="D16:O16"/>
    <mergeCell ref="A5:O5"/>
    <mergeCell ref="A4:O4"/>
    <mergeCell ref="A3:O3"/>
  </mergeCells>
  <pageMargins left="0.7" right="0.7" top="0.75" bottom="0.75" header="0.3" footer="0.3"/>
  <pageSetup scale="45" orientation="portrait" verticalDpi="1200" r:id="rId1"/>
  <headerFooter>
    <oddHeader>&amp;RTO9 Annual Update
Attachment 4
WP-Schedule 3-CWIPBA Model
Page &amp;P of 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73"/>
  <sheetViews>
    <sheetView zoomScaleNormal="100" workbookViewId="0">
      <selection sqref="A1:O1"/>
    </sheetView>
  </sheetViews>
  <sheetFormatPr defaultRowHeight="12.75"/>
  <cols>
    <col min="2" max="2" width="60.5703125" bestFit="1" customWidth="1"/>
    <col min="3" max="3" width="9.42578125" bestFit="1" customWidth="1"/>
    <col min="4" max="9" width="9.28515625" bestFit="1" customWidth="1"/>
    <col min="10" max="11" width="10" customWidth="1"/>
    <col min="12" max="12" width="10.7109375" customWidth="1"/>
    <col min="13" max="13" width="10" customWidth="1"/>
    <col min="14" max="14" width="10.140625" customWidth="1"/>
    <col min="15" max="15" width="10.28515625" customWidth="1"/>
  </cols>
  <sheetData>
    <row r="1" spans="1:15" ht="15.75">
      <c r="A1" s="647" t="s">
        <v>0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647"/>
      <c r="O1" s="647"/>
    </row>
    <row r="2" spans="1:15" ht="15">
      <c r="A2" s="648" t="s">
        <v>6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  <c r="N2" s="648"/>
      <c r="O2" s="648"/>
    </row>
    <row r="3" spans="1:15" ht="15">
      <c r="A3" s="649">
        <v>2011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649"/>
      <c r="O3" s="649"/>
    </row>
    <row r="4" spans="1:15">
      <c r="A4" s="650" t="s">
        <v>1</v>
      </c>
      <c r="B4" s="650"/>
      <c r="C4" s="650"/>
      <c r="D4" s="650"/>
      <c r="E4" s="650"/>
      <c r="F4" s="650"/>
      <c r="G4" s="650"/>
      <c r="H4" s="650"/>
      <c r="I4" s="650"/>
      <c r="J4" s="650"/>
      <c r="K4" s="650"/>
      <c r="L4" s="650"/>
      <c r="M4" s="650"/>
      <c r="N4" s="650"/>
      <c r="O4" s="650"/>
    </row>
    <row r="5" spans="1:15" ht="15.75">
      <c r="A5" s="647" t="s">
        <v>7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  <c r="L5" s="647"/>
      <c r="M5" s="647"/>
      <c r="N5" s="647"/>
      <c r="O5" s="647"/>
    </row>
    <row r="6" spans="1:15">
      <c r="A6" s="354"/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</row>
    <row r="7" spans="1:15">
      <c r="A7" s="354"/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</row>
    <row r="8" spans="1:15">
      <c r="A8" s="356" t="s">
        <v>2</v>
      </c>
      <c r="B8" s="357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</row>
    <row r="9" spans="1:15">
      <c r="A9" s="354">
        <v>1</v>
      </c>
      <c r="B9" s="358" t="s">
        <v>110</v>
      </c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</row>
    <row r="10" spans="1:15">
      <c r="A10" s="359">
        <v>2</v>
      </c>
      <c r="B10" s="355" t="s">
        <v>61</v>
      </c>
      <c r="C10" s="35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</row>
    <row r="11" spans="1:15" ht="15.75">
      <c r="A11" s="354">
        <v>3</v>
      </c>
      <c r="B11" s="360" t="s">
        <v>96</v>
      </c>
      <c r="C11" s="355"/>
      <c r="D11" s="355"/>
      <c r="E11" s="355"/>
      <c r="F11" s="355"/>
      <c r="G11" s="355"/>
      <c r="H11" s="355"/>
      <c r="I11" s="355"/>
      <c r="J11" s="355"/>
      <c r="K11" s="355"/>
      <c r="L11" s="355"/>
      <c r="M11" s="355"/>
      <c r="N11" s="355"/>
    </row>
    <row r="12" spans="1:15">
      <c r="A12" s="359">
        <v>4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355"/>
    </row>
    <row r="13" spans="1:15">
      <c r="A13" s="354">
        <v>5</v>
      </c>
      <c r="B13" s="361" t="s">
        <v>62</v>
      </c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</row>
    <row r="14" spans="1:15" ht="15.75">
      <c r="A14" s="359">
        <v>6</v>
      </c>
      <c r="B14" s="360" t="s">
        <v>253</v>
      </c>
      <c r="C14" s="35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</row>
    <row r="15" spans="1:15">
      <c r="A15" s="354">
        <v>7</v>
      </c>
      <c r="B15" s="361"/>
      <c r="C15" s="355"/>
      <c r="D15" s="355"/>
      <c r="E15" s="355"/>
      <c r="F15" s="355"/>
      <c r="G15" s="355"/>
      <c r="H15" s="355"/>
      <c r="I15" s="355"/>
      <c r="J15" s="355"/>
      <c r="K15" s="355"/>
      <c r="L15" s="355"/>
      <c r="M15" s="355"/>
      <c r="N15" s="355"/>
    </row>
    <row r="16" spans="1:15" ht="15.75">
      <c r="A16" s="359">
        <v>8</v>
      </c>
      <c r="B16" s="362" t="s">
        <v>97</v>
      </c>
      <c r="C16" s="408">
        <v>2010</v>
      </c>
      <c r="D16" s="646">
        <v>2011</v>
      </c>
      <c r="E16" s="646"/>
      <c r="F16" s="646"/>
      <c r="G16" s="646"/>
      <c r="H16" s="646"/>
      <c r="I16" s="646"/>
      <c r="J16" s="646"/>
      <c r="K16" s="646"/>
      <c r="L16" s="646"/>
      <c r="M16" s="646"/>
      <c r="N16" s="646"/>
      <c r="O16" s="646"/>
    </row>
    <row r="17" spans="1:15" ht="21" thickBot="1">
      <c r="A17" s="354">
        <v>9</v>
      </c>
      <c r="B17" s="363" t="s">
        <v>332</v>
      </c>
      <c r="C17" s="395" t="s">
        <v>101</v>
      </c>
      <c r="D17" s="395" t="s">
        <v>100</v>
      </c>
      <c r="E17" s="395" t="s">
        <v>76</v>
      </c>
      <c r="F17" s="395" t="s">
        <v>77</v>
      </c>
      <c r="G17" s="395" t="s">
        <v>78</v>
      </c>
      <c r="H17" s="395" t="s">
        <v>75</v>
      </c>
      <c r="I17" s="395" t="s">
        <v>79</v>
      </c>
      <c r="J17" s="395" t="s">
        <v>80</v>
      </c>
      <c r="K17" s="395" t="s">
        <v>81</v>
      </c>
      <c r="L17" s="395" t="s">
        <v>82</v>
      </c>
      <c r="M17" s="395" t="s">
        <v>83</v>
      </c>
      <c r="N17" s="395" t="s">
        <v>84</v>
      </c>
      <c r="O17" s="395" t="s">
        <v>101</v>
      </c>
    </row>
    <row r="18" spans="1:15" ht="29.25" thickTop="1">
      <c r="A18" s="359">
        <v>10</v>
      </c>
      <c r="B18" s="472" t="s">
        <v>254</v>
      </c>
      <c r="C18" s="366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5"/>
    </row>
    <row r="19" spans="1:15">
      <c r="A19" s="367">
        <v>11</v>
      </c>
      <c r="B19" s="368" t="s">
        <v>146</v>
      </c>
      <c r="C19" s="369">
        <f>'Red Bluff CWIP Balance'!E15+'Def Tax'!F726</f>
        <v>458.35808062741489</v>
      </c>
      <c r="D19" s="370">
        <f>C20</f>
        <v>785.4382496093732</v>
      </c>
      <c r="E19" s="370">
        <f>D20</f>
        <v>970.527432583674</v>
      </c>
      <c r="F19" s="370">
        <f t="shared" ref="F19:O19" si="0">E20</f>
        <v>1144.6181166975734</v>
      </c>
      <c r="G19" s="370">
        <f t="shared" si="0"/>
        <v>1544.3018936755072</v>
      </c>
      <c r="H19" s="370">
        <f t="shared" si="0"/>
        <v>2006.8657635022216</v>
      </c>
      <c r="I19" s="370">
        <f t="shared" si="0"/>
        <v>2927.998875341937</v>
      </c>
      <c r="J19" s="370">
        <f t="shared" si="0"/>
        <v>3542.6737668379169</v>
      </c>
      <c r="K19" s="370">
        <f t="shared" si="0"/>
        <v>5138.1455301832084</v>
      </c>
      <c r="L19" s="370">
        <f t="shared" si="0"/>
        <v>6164.7092627825059</v>
      </c>
      <c r="M19" s="370">
        <f t="shared" si="0"/>
        <v>6854.269101975523</v>
      </c>
      <c r="N19" s="370">
        <f t="shared" si="0"/>
        <v>8434.2979461010182</v>
      </c>
      <c r="O19" s="370">
        <f t="shared" si="0"/>
        <v>9779.0124079521356</v>
      </c>
    </row>
    <row r="20" spans="1:15">
      <c r="A20" s="371">
        <v>12</v>
      </c>
      <c r="B20" s="368" t="s">
        <v>147</v>
      </c>
      <c r="C20" s="372">
        <f>'Red Bluff CWIP Balance'!E16+'Def Tax'!F727</f>
        <v>785.4382496093732</v>
      </c>
      <c r="D20" s="372">
        <f>'Red Bluff CWIP Balance'!E17+'Def Tax'!F728</f>
        <v>970.527432583674</v>
      </c>
      <c r="E20" s="372">
        <f>'Red Bluff CWIP Balance'!E18+'Def Tax'!F729</f>
        <v>1144.6181166975734</v>
      </c>
      <c r="F20" s="372">
        <f>'Red Bluff CWIP Balance'!E19+'Def Tax'!F730</f>
        <v>1544.3018936755072</v>
      </c>
      <c r="G20" s="372">
        <f>'Red Bluff CWIP Balance'!E20+'Def Tax'!F731</f>
        <v>2006.8657635022216</v>
      </c>
      <c r="H20" s="372">
        <f>'Red Bluff CWIP Balance'!E21+'Def Tax'!F732</f>
        <v>2927.998875341937</v>
      </c>
      <c r="I20" s="372">
        <f>'Red Bluff CWIP Balance'!E22+'Def Tax'!F733</f>
        <v>3542.6737668379169</v>
      </c>
      <c r="J20" s="372">
        <f>'Red Bluff CWIP Balance'!E23+'Def Tax'!F734</f>
        <v>5138.1455301832084</v>
      </c>
      <c r="K20" s="372">
        <f>'Red Bluff CWIP Balance'!E24+'Def Tax'!F735</f>
        <v>6164.7092627825059</v>
      </c>
      <c r="L20" s="372">
        <f>'Red Bluff CWIP Balance'!E25+'Def Tax'!F736</f>
        <v>6854.269101975523</v>
      </c>
      <c r="M20" s="372">
        <f>'Red Bluff CWIP Balance'!E26+'Def Tax'!F737</f>
        <v>8434.2979461010182</v>
      </c>
      <c r="N20" s="372">
        <f>'Red Bluff CWIP Balance'!E27+'Def Tax'!F738</f>
        <v>9779.0124079521356</v>
      </c>
      <c r="O20" s="482">
        <f>'Red Bluff CWIP Balance'!E28+'Def Tax'!F739</f>
        <v>15428.554097952136</v>
      </c>
    </row>
    <row r="21" spans="1:15">
      <c r="A21" s="367">
        <v>13</v>
      </c>
      <c r="B21" s="368" t="s">
        <v>12</v>
      </c>
      <c r="C21" s="452">
        <f>SUM(C19:C20)</f>
        <v>1243.796330236788</v>
      </c>
      <c r="D21" s="452">
        <f>SUM(D19:D20)</f>
        <v>1755.9656821930471</v>
      </c>
      <c r="E21" s="452">
        <f t="shared" ref="E21:N21" si="1">SUM(E19:E20)</f>
        <v>2115.1455492812474</v>
      </c>
      <c r="F21" s="452">
        <f t="shared" si="1"/>
        <v>2688.9200103730809</v>
      </c>
      <c r="G21" s="452">
        <f t="shared" si="1"/>
        <v>3551.1676571777289</v>
      </c>
      <c r="H21" s="452">
        <f t="shared" si="1"/>
        <v>4934.8646388441584</v>
      </c>
      <c r="I21" s="452">
        <f t="shared" si="1"/>
        <v>6470.6726421798539</v>
      </c>
      <c r="J21" s="452">
        <f t="shared" si="1"/>
        <v>8680.8192970211257</v>
      </c>
      <c r="K21" s="452">
        <f t="shared" si="1"/>
        <v>11302.854792965714</v>
      </c>
      <c r="L21" s="452">
        <f t="shared" si="1"/>
        <v>13018.97836475803</v>
      </c>
      <c r="M21" s="452">
        <f t="shared" si="1"/>
        <v>15288.56704807654</v>
      </c>
      <c r="N21" s="452">
        <f t="shared" si="1"/>
        <v>18213.310354053152</v>
      </c>
      <c r="O21" s="452">
        <f t="shared" ref="O21" si="2">SUM(O19:O20)</f>
        <v>25207.566505904273</v>
      </c>
    </row>
    <row r="22" spans="1:15">
      <c r="A22" s="359">
        <v>14</v>
      </c>
      <c r="B22" s="466" t="s">
        <v>13</v>
      </c>
      <c r="C22" s="460">
        <f>C21/2</f>
        <v>621.89816511839399</v>
      </c>
      <c r="D22" s="460">
        <f>D21/2</f>
        <v>877.98284109652354</v>
      </c>
      <c r="E22" s="460">
        <f t="shared" ref="E22:N22" si="3">E21/2</f>
        <v>1057.5727746406237</v>
      </c>
      <c r="F22" s="460">
        <f t="shared" si="3"/>
        <v>1344.4600051865405</v>
      </c>
      <c r="G22" s="460">
        <f t="shared" si="3"/>
        <v>1775.5838285888644</v>
      </c>
      <c r="H22" s="460">
        <f t="shared" si="3"/>
        <v>2467.4323194220792</v>
      </c>
      <c r="I22" s="460">
        <f t="shared" si="3"/>
        <v>3235.336321089927</v>
      </c>
      <c r="J22" s="460">
        <f t="shared" si="3"/>
        <v>4340.4096485105629</v>
      </c>
      <c r="K22" s="460">
        <f t="shared" si="3"/>
        <v>5651.4273964828571</v>
      </c>
      <c r="L22" s="460">
        <f t="shared" si="3"/>
        <v>6509.4891823790149</v>
      </c>
      <c r="M22" s="460">
        <f t="shared" si="3"/>
        <v>7644.2835240382701</v>
      </c>
      <c r="N22" s="460">
        <f t="shared" si="3"/>
        <v>9106.655177026576</v>
      </c>
      <c r="O22" s="460">
        <f t="shared" ref="O22" si="4">O21/2</f>
        <v>12603.783252952137</v>
      </c>
    </row>
    <row r="23" spans="1:15">
      <c r="A23" s="354">
        <v>15</v>
      </c>
      <c r="B23" s="368"/>
      <c r="C23" s="544"/>
      <c r="D23" s="453"/>
      <c r="E23" s="453"/>
      <c r="F23" s="453"/>
      <c r="G23" s="453"/>
      <c r="H23" s="453"/>
      <c r="I23" s="453"/>
      <c r="J23" s="453"/>
      <c r="K23" s="453"/>
      <c r="L23" s="453"/>
      <c r="M23" s="453"/>
      <c r="N23" s="453"/>
      <c r="O23" s="453"/>
    </row>
    <row r="24" spans="1:15" ht="28.5">
      <c r="A24" s="359">
        <v>16</v>
      </c>
      <c r="B24" s="472" t="s">
        <v>255</v>
      </c>
      <c r="C24" s="453"/>
      <c r="D24" s="453"/>
      <c r="E24" s="453"/>
      <c r="F24" s="453"/>
      <c r="G24" s="453"/>
      <c r="H24" s="453"/>
      <c r="I24" s="453"/>
      <c r="J24" s="453"/>
      <c r="K24" s="453"/>
      <c r="L24" s="453"/>
      <c r="M24" s="453"/>
      <c r="N24" s="453"/>
      <c r="O24" s="453"/>
    </row>
    <row r="25" spans="1:15">
      <c r="A25" s="367">
        <v>17</v>
      </c>
      <c r="B25" s="374" t="s">
        <v>47</v>
      </c>
      <c r="C25" s="375">
        <f>'Cost of Capital'!D108</f>
        <v>8.4279999999999994E-2</v>
      </c>
      <c r="D25" s="375">
        <f>'Cost of Capital'!$D$161</f>
        <v>8.3139999999999992E-2</v>
      </c>
      <c r="E25" s="375">
        <f>'Cost of Capital'!$D$161</f>
        <v>8.3139999999999992E-2</v>
      </c>
      <c r="F25" s="375">
        <f>'Cost of Capital'!$D$161</f>
        <v>8.3139999999999992E-2</v>
      </c>
      <c r="G25" s="375">
        <f>'Cost of Capital'!$D$161</f>
        <v>8.3139999999999992E-2</v>
      </c>
      <c r="H25" s="375">
        <f>'Cost of Capital'!$D$161</f>
        <v>8.3139999999999992E-2</v>
      </c>
      <c r="I25" s="375">
        <f>'Cost of Capital'!$D$161</f>
        <v>8.3139999999999992E-2</v>
      </c>
      <c r="J25" s="375">
        <f>'Cost of Capital'!$D$161</f>
        <v>8.3139999999999992E-2</v>
      </c>
      <c r="K25" s="375">
        <f>'Cost of Capital'!$D$161</f>
        <v>8.3139999999999992E-2</v>
      </c>
      <c r="L25" s="375">
        <f>'Cost of Capital'!$D$161</f>
        <v>8.3139999999999992E-2</v>
      </c>
      <c r="M25" s="375">
        <f>'Cost of Capital'!$D$161</f>
        <v>8.3139999999999992E-2</v>
      </c>
      <c r="N25" s="375">
        <f>'Cost of Capital'!$D$161</f>
        <v>8.3139999999999992E-2</v>
      </c>
      <c r="O25" s="375">
        <f>'Cost of Capital'!$D$161</f>
        <v>8.3139999999999992E-2</v>
      </c>
    </row>
    <row r="26" spans="1:15">
      <c r="A26" s="359">
        <v>18</v>
      </c>
      <c r="B26" s="466" t="s">
        <v>48</v>
      </c>
      <c r="C26" s="441">
        <f>'Cost of Capital'!D109</f>
        <v>7.0233333333333328E-3</v>
      </c>
      <c r="D26" s="441">
        <f>'Cost of Capital'!$D$162</f>
        <v>6.9283333333333324E-3</v>
      </c>
      <c r="E26" s="441">
        <f>'Cost of Capital'!$D$162</f>
        <v>6.9283333333333324E-3</v>
      </c>
      <c r="F26" s="441">
        <f>'Cost of Capital'!$D$162</f>
        <v>6.9283333333333324E-3</v>
      </c>
      <c r="G26" s="441">
        <f>'Cost of Capital'!$D$162</f>
        <v>6.9283333333333324E-3</v>
      </c>
      <c r="H26" s="441">
        <f>'Cost of Capital'!$D$162</f>
        <v>6.9283333333333324E-3</v>
      </c>
      <c r="I26" s="441">
        <f>'Cost of Capital'!$D$162</f>
        <v>6.9283333333333324E-3</v>
      </c>
      <c r="J26" s="441">
        <f>'Cost of Capital'!$D$162</f>
        <v>6.9283333333333324E-3</v>
      </c>
      <c r="K26" s="441">
        <f>'Cost of Capital'!$D$162</f>
        <v>6.9283333333333324E-3</v>
      </c>
      <c r="L26" s="441">
        <f>'Cost of Capital'!$D$162</f>
        <v>6.9283333333333324E-3</v>
      </c>
      <c r="M26" s="441">
        <f>'Cost of Capital'!$D$162</f>
        <v>6.9283333333333324E-3</v>
      </c>
      <c r="N26" s="441">
        <f>'Cost of Capital'!$D$162</f>
        <v>6.9283333333333324E-3</v>
      </c>
      <c r="O26" s="441">
        <f>'Cost of Capital'!$D$162</f>
        <v>6.9283333333333324E-3</v>
      </c>
    </row>
    <row r="27" spans="1:15">
      <c r="A27" s="354">
        <v>19</v>
      </c>
      <c r="B27" s="368"/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</row>
    <row r="28" spans="1:15" ht="15.75">
      <c r="A28" s="359">
        <v>20</v>
      </c>
      <c r="B28" s="473" t="s">
        <v>256</v>
      </c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</row>
    <row r="29" spans="1:15">
      <c r="A29" s="354">
        <v>21</v>
      </c>
      <c r="B29" s="474" t="s">
        <v>91</v>
      </c>
      <c r="C29" s="453"/>
      <c r="D29" s="453"/>
      <c r="E29" s="453"/>
      <c r="F29" s="453"/>
      <c r="G29" s="453"/>
      <c r="H29" s="453"/>
      <c r="I29" s="453"/>
      <c r="J29" s="453"/>
      <c r="K29" s="453"/>
      <c r="L29" s="453"/>
      <c r="M29" s="453"/>
      <c r="N29" s="453"/>
      <c r="O29" s="453"/>
    </row>
    <row r="30" spans="1:15">
      <c r="A30" s="359">
        <v>22</v>
      </c>
      <c r="B30" s="475" t="s">
        <v>15</v>
      </c>
      <c r="C30" s="453"/>
      <c r="D30" s="453"/>
      <c r="E30" s="453"/>
      <c r="F30" s="453"/>
      <c r="G30" s="453"/>
      <c r="H30" s="453"/>
      <c r="I30" s="453"/>
      <c r="J30" s="453"/>
      <c r="K30" s="453"/>
      <c r="L30" s="453"/>
      <c r="M30" s="453"/>
      <c r="N30" s="453"/>
      <c r="O30" s="453"/>
    </row>
    <row r="31" spans="1:15" ht="25.5">
      <c r="A31" s="354">
        <v>23</v>
      </c>
      <c r="B31" s="476" t="s">
        <v>92</v>
      </c>
      <c r="C31" s="453"/>
      <c r="D31" s="453"/>
      <c r="E31" s="453"/>
      <c r="F31" s="453"/>
      <c r="G31" s="453"/>
      <c r="H31" s="453"/>
      <c r="I31" s="453"/>
      <c r="J31" s="453"/>
      <c r="K31" s="453"/>
      <c r="L31" s="453"/>
      <c r="M31" s="453"/>
      <c r="N31" s="453"/>
      <c r="O31" s="453"/>
    </row>
    <row r="32" spans="1:15" ht="25.5">
      <c r="A32" s="359">
        <v>24</v>
      </c>
      <c r="B32" s="477" t="s">
        <v>19</v>
      </c>
      <c r="C32" s="453"/>
      <c r="D32" s="453"/>
      <c r="E32" s="453"/>
      <c r="F32" s="453"/>
      <c r="G32" s="453"/>
      <c r="H32" s="453"/>
      <c r="I32" s="453"/>
      <c r="J32" s="453"/>
      <c r="K32" s="453"/>
      <c r="L32" s="453"/>
      <c r="M32" s="453"/>
      <c r="N32" s="453"/>
      <c r="O32" s="453"/>
    </row>
    <row r="33" spans="1:15">
      <c r="A33" s="367">
        <v>25</v>
      </c>
      <c r="B33" s="368" t="s">
        <v>20</v>
      </c>
      <c r="C33" s="381">
        <f>'Cost of Capital'!D105</f>
        <v>2.6700000000000002E-2</v>
      </c>
      <c r="D33" s="381">
        <f>'Cost of Capital'!$D$158</f>
        <v>2.58E-2</v>
      </c>
      <c r="E33" s="381">
        <f>'Cost of Capital'!$D$158</f>
        <v>2.58E-2</v>
      </c>
      <c r="F33" s="381">
        <f>'Cost of Capital'!$D$158</f>
        <v>2.58E-2</v>
      </c>
      <c r="G33" s="381">
        <f>'Cost of Capital'!$D$158</f>
        <v>2.58E-2</v>
      </c>
      <c r="H33" s="381">
        <f>'Cost of Capital'!$D$158</f>
        <v>2.58E-2</v>
      </c>
      <c r="I33" s="381">
        <f>'Cost of Capital'!$D$158</f>
        <v>2.58E-2</v>
      </c>
      <c r="J33" s="381">
        <f>'Cost of Capital'!$D$158</f>
        <v>2.58E-2</v>
      </c>
      <c r="K33" s="381">
        <f>'Cost of Capital'!$D$158</f>
        <v>2.58E-2</v>
      </c>
      <c r="L33" s="381">
        <f>'Cost of Capital'!$D$158</f>
        <v>2.58E-2</v>
      </c>
      <c r="M33" s="381">
        <f>'Cost of Capital'!$D$158</f>
        <v>2.58E-2</v>
      </c>
      <c r="N33" s="381">
        <f>'Cost of Capital'!$D$158</f>
        <v>2.58E-2</v>
      </c>
      <c r="O33" s="381">
        <f>'Cost of Capital'!$D$158</f>
        <v>2.58E-2</v>
      </c>
    </row>
    <row r="34" spans="1:15">
      <c r="A34" s="359">
        <v>26</v>
      </c>
      <c r="B34" s="368" t="s">
        <v>21</v>
      </c>
      <c r="C34" s="461">
        <f>C33/12</f>
        <v>2.225E-3</v>
      </c>
      <c r="D34" s="461">
        <f>D33/12</f>
        <v>2.15E-3</v>
      </c>
      <c r="E34" s="461">
        <f t="shared" ref="E34:N34" si="5">E33/12</f>
        <v>2.15E-3</v>
      </c>
      <c r="F34" s="461">
        <f t="shared" si="5"/>
        <v>2.15E-3</v>
      </c>
      <c r="G34" s="461">
        <f t="shared" si="5"/>
        <v>2.15E-3</v>
      </c>
      <c r="H34" s="461">
        <f t="shared" si="5"/>
        <v>2.15E-3</v>
      </c>
      <c r="I34" s="461">
        <f t="shared" si="5"/>
        <v>2.15E-3</v>
      </c>
      <c r="J34" s="461">
        <f t="shared" si="5"/>
        <v>2.15E-3</v>
      </c>
      <c r="K34" s="461">
        <f t="shared" si="5"/>
        <v>2.15E-3</v>
      </c>
      <c r="L34" s="461">
        <f t="shared" si="5"/>
        <v>2.15E-3</v>
      </c>
      <c r="M34" s="461">
        <f t="shared" si="5"/>
        <v>2.15E-3</v>
      </c>
      <c r="N34" s="461">
        <f t="shared" si="5"/>
        <v>2.15E-3</v>
      </c>
      <c r="O34" s="461">
        <f t="shared" ref="O34" si="6">O33/12</f>
        <v>2.15E-3</v>
      </c>
    </row>
    <row r="35" spans="1:15" ht="25.5">
      <c r="A35" s="354">
        <v>27</v>
      </c>
      <c r="B35" s="477" t="s">
        <v>22</v>
      </c>
      <c r="C35" s="453"/>
      <c r="D35" s="453"/>
      <c r="E35" s="453"/>
      <c r="F35" s="453"/>
      <c r="G35" s="453"/>
      <c r="H35" s="453"/>
      <c r="I35" s="453"/>
      <c r="J35" s="453"/>
      <c r="K35" s="453"/>
      <c r="L35" s="453"/>
      <c r="M35" s="453"/>
      <c r="N35" s="453"/>
      <c r="O35" s="453"/>
    </row>
    <row r="36" spans="1:15">
      <c r="A36" s="359">
        <v>28</v>
      </c>
      <c r="B36" s="368" t="s">
        <v>18</v>
      </c>
      <c r="C36" s="462">
        <f>'Def Tax'!E703</f>
        <v>2.3865397395833332</v>
      </c>
      <c r="D36" s="462">
        <f>'Def Tax'!E706</f>
        <v>4.0974507278103296</v>
      </c>
      <c r="E36" s="462">
        <f>'Def Tax'!E707</f>
        <v>5.074828023267675</v>
      </c>
      <c r="F36" s="462">
        <f>'Def Tax'!E708</f>
        <v>5.9990082733888608</v>
      </c>
      <c r="G36" s="462">
        <f>'Def Tax'!E709</f>
        <v>8.1023925873127602</v>
      </c>
      <c r="H36" s="462">
        <f>'Def Tax'!E710</f>
        <v>10.542317861205014</v>
      </c>
      <c r="I36" s="462">
        <f>'Def Tax'!E711</f>
        <v>15.381745193815457</v>
      </c>
      <c r="J36" s="462">
        <f>'Def Tax'!E712</f>
        <v>18.646971106283246</v>
      </c>
      <c r="K36" s="462">
        <f>'Def Tax'!E713</f>
        <v>27.037353455795131</v>
      </c>
      <c r="L36" s="462">
        <f>'Def Tax'!E714</f>
        <v>32.505735817544064</v>
      </c>
      <c r="M36" s="462">
        <f>'Def Tax'!E715</f>
        <v>36.249250743677109</v>
      </c>
      <c r="N36" s="462">
        <f>'Def Tax'!E716</f>
        <v>44.654546424633764</v>
      </c>
      <c r="O36" s="462">
        <f>'Def Tax'!E717</f>
        <v>51.882947395595394</v>
      </c>
    </row>
    <row r="37" spans="1:15">
      <c r="A37" s="354">
        <v>29</v>
      </c>
      <c r="B37" s="478" t="s">
        <v>23</v>
      </c>
      <c r="C37" s="453"/>
      <c r="D37" s="453"/>
      <c r="E37" s="453"/>
      <c r="F37" s="453"/>
      <c r="G37" s="453"/>
      <c r="H37" s="453"/>
      <c r="I37" s="453"/>
      <c r="J37" s="453"/>
      <c r="K37" s="453"/>
      <c r="L37" s="453"/>
      <c r="M37" s="453"/>
      <c r="N37" s="453"/>
      <c r="O37" s="453"/>
    </row>
    <row r="38" spans="1:15">
      <c r="A38" s="371">
        <v>30</v>
      </c>
      <c r="B38" s="368" t="s">
        <v>16</v>
      </c>
      <c r="C38" s="383">
        <f>'Income Tax Rates'!H52</f>
        <v>8.795E-2</v>
      </c>
      <c r="D38" s="383">
        <f>'Income Tax Rates'!$H$72</f>
        <v>8.8330000000000006E-2</v>
      </c>
      <c r="E38" s="383">
        <f>'Income Tax Rates'!$H$72</f>
        <v>8.8330000000000006E-2</v>
      </c>
      <c r="F38" s="383">
        <f>'Income Tax Rates'!$H$72</f>
        <v>8.8330000000000006E-2</v>
      </c>
      <c r="G38" s="383">
        <f>'Income Tax Rates'!$H$72</f>
        <v>8.8330000000000006E-2</v>
      </c>
      <c r="H38" s="383">
        <f>'Income Tax Rates'!$H$72</f>
        <v>8.8330000000000006E-2</v>
      </c>
      <c r="I38" s="383">
        <f>'Income Tax Rates'!$H$72</f>
        <v>8.8330000000000006E-2</v>
      </c>
      <c r="J38" s="383">
        <f>'Income Tax Rates'!$H$72</f>
        <v>8.8330000000000006E-2</v>
      </c>
      <c r="K38" s="383">
        <f>'Income Tax Rates'!$H$72</f>
        <v>8.8330000000000006E-2</v>
      </c>
      <c r="L38" s="383">
        <f>'Income Tax Rates'!$H$72</f>
        <v>8.8330000000000006E-2</v>
      </c>
      <c r="M38" s="383">
        <f>'Income Tax Rates'!$H$72</f>
        <v>8.8330000000000006E-2</v>
      </c>
      <c r="N38" s="383">
        <f>'Income Tax Rates'!$H$72</f>
        <v>8.8330000000000006E-2</v>
      </c>
      <c r="O38" s="383">
        <f>'Income Tax Rates'!$H$72</f>
        <v>8.8330000000000006E-2</v>
      </c>
    </row>
    <row r="39" spans="1:15">
      <c r="A39" s="354">
        <v>31</v>
      </c>
      <c r="B39" s="368" t="s">
        <v>49</v>
      </c>
      <c r="C39" s="463">
        <f>((C22*(C26-C34))+C36)*C38</f>
        <v>0.47234553957669845</v>
      </c>
      <c r="D39" s="463">
        <f>((D22*(D26-D34))+D36)*D38</f>
        <v>0.73249820149261691</v>
      </c>
      <c r="E39" s="463">
        <f t="shared" ref="E39:N39" si="7">((E22*(E26-E34))+E36)*E38</f>
        <v>0.89462949417614379</v>
      </c>
      <c r="F39" s="463">
        <f t="shared" si="7"/>
        <v>1.0973488816618555</v>
      </c>
      <c r="G39" s="463">
        <f t="shared" si="7"/>
        <v>1.4651053292935403</v>
      </c>
      <c r="H39" s="463">
        <f t="shared" si="7"/>
        <v>1.9726325481013074</v>
      </c>
      <c r="I39" s="463">
        <f t="shared" si="7"/>
        <v>2.7242085471571369</v>
      </c>
      <c r="J39" s="463">
        <f t="shared" si="7"/>
        <v>3.4790444539066212</v>
      </c>
      <c r="K39" s="463">
        <f t="shared" si="7"/>
        <v>4.7735084280789266</v>
      </c>
      <c r="L39" s="463">
        <f t="shared" si="7"/>
        <v>5.6186929373767276</v>
      </c>
      <c r="M39" s="463">
        <f t="shared" si="7"/>
        <v>6.4283204666318099</v>
      </c>
      <c r="N39" s="463">
        <f t="shared" si="7"/>
        <v>7.7879837058089567</v>
      </c>
      <c r="O39" s="463">
        <f t="shared" ref="O39" si="8">((O22*(O26-O34))+O36)*O38</f>
        <v>9.9025018517200465</v>
      </c>
    </row>
    <row r="40" spans="1:15">
      <c r="A40" s="359">
        <v>32</v>
      </c>
      <c r="B40" s="368"/>
      <c r="C40" s="453"/>
      <c r="D40" s="453"/>
      <c r="E40" s="453"/>
      <c r="F40" s="453"/>
      <c r="G40" s="453"/>
      <c r="H40" s="453"/>
      <c r="I40" s="453"/>
      <c r="J40" s="453"/>
      <c r="K40" s="453"/>
      <c r="L40" s="453"/>
      <c r="M40" s="453"/>
      <c r="N40" s="453"/>
      <c r="O40" s="453"/>
    </row>
    <row r="41" spans="1:15">
      <c r="A41" s="354">
        <v>33</v>
      </c>
      <c r="B41" s="475" t="s">
        <v>50</v>
      </c>
      <c r="C41" s="453"/>
      <c r="D41" s="453"/>
      <c r="E41" s="453"/>
      <c r="F41" s="453"/>
      <c r="G41" s="453"/>
      <c r="H41" s="453"/>
      <c r="I41" s="453"/>
      <c r="J41" s="453"/>
      <c r="K41" s="453"/>
      <c r="L41" s="453"/>
      <c r="M41" s="453"/>
      <c r="N41" s="453"/>
      <c r="O41" s="453"/>
    </row>
    <row r="42" spans="1:15" ht="25.5">
      <c r="A42" s="359">
        <v>34</v>
      </c>
      <c r="B42" s="479" t="s">
        <v>109</v>
      </c>
      <c r="C42" s="453"/>
      <c r="D42" s="453"/>
      <c r="E42" s="453"/>
      <c r="F42" s="453"/>
      <c r="G42" s="453"/>
      <c r="H42" s="453"/>
      <c r="I42" s="453"/>
      <c r="J42" s="453"/>
      <c r="K42" s="453"/>
      <c r="L42" s="453"/>
      <c r="M42" s="453"/>
      <c r="N42" s="453"/>
      <c r="O42" s="453"/>
    </row>
    <row r="43" spans="1:15">
      <c r="A43" s="367">
        <v>35</v>
      </c>
      <c r="B43" s="368" t="s">
        <v>51</v>
      </c>
      <c r="C43" s="385">
        <f>'Income Tax Rates'!H53</f>
        <v>0.35</v>
      </c>
      <c r="D43" s="385">
        <f>'Income Tax Rates'!$H$73</f>
        <v>0.35</v>
      </c>
      <c r="E43" s="385">
        <f>'Income Tax Rates'!$H$73</f>
        <v>0.35</v>
      </c>
      <c r="F43" s="385">
        <f>'Income Tax Rates'!$H$73</f>
        <v>0.35</v>
      </c>
      <c r="G43" s="385">
        <f>'Income Tax Rates'!$H$73</f>
        <v>0.35</v>
      </c>
      <c r="H43" s="385">
        <f>'Income Tax Rates'!$H$73</f>
        <v>0.35</v>
      </c>
      <c r="I43" s="385">
        <f>'Income Tax Rates'!$H$73</f>
        <v>0.35</v>
      </c>
      <c r="J43" s="385">
        <f>'Income Tax Rates'!$H$73</f>
        <v>0.35</v>
      </c>
      <c r="K43" s="385">
        <f>'Income Tax Rates'!$H$73</f>
        <v>0.35</v>
      </c>
      <c r="L43" s="385">
        <f>'Income Tax Rates'!$H$73</f>
        <v>0.35</v>
      </c>
      <c r="M43" s="385">
        <f>'Income Tax Rates'!$H$73</f>
        <v>0.35</v>
      </c>
      <c r="N43" s="385">
        <f>'Income Tax Rates'!$H$73</f>
        <v>0.35</v>
      </c>
      <c r="O43" s="385">
        <f>'Income Tax Rates'!$H$73</f>
        <v>0.35</v>
      </c>
    </row>
    <row r="44" spans="1:15">
      <c r="A44" s="359">
        <v>36</v>
      </c>
      <c r="B44" s="368" t="s">
        <v>52</v>
      </c>
      <c r="C44" s="463">
        <f>((C22*(C26-C34))-C39+C36)*C43</f>
        <v>1.7143941134715714</v>
      </c>
      <c r="D44" s="463">
        <f>((D22*(D26-D34))-D39+D36)*D43</f>
        <v>2.6460865207083764</v>
      </c>
      <c r="E44" s="463">
        <f t="shared" ref="E44:N44" si="9">((E22*(E26-E34))-E39+E36)*E43</f>
        <v>3.2317718197039254</v>
      </c>
      <c r="F44" s="463">
        <f t="shared" si="9"/>
        <v>3.9640781074451739</v>
      </c>
      <c r="G44" s="463">
        <f t="shared" si="9"/>
        <v>5.2925665283025527</v>
      </c>
      <c r="H44" s="463">
        <f t="shared" si="9"/>
        <v>7.1259647944597715</v>
      </c>
      <c r="I44" s="463">
        <f t="shared" si="9"/>
        <v>9.8409682119932214</v>
      </c>
      <c r="J44" s="463">
        <f t="shared" si="9"/>
        <v>12.567747764661689</v>
      </c>
      <c r="K44" s="463">
        <f t="shared" si="9"/>
        <v>17.243887128035208</v>
      </c>
      <c r="L44" s="463">
        <f t="shared" si="9"/>
        <v>20.2970432081556</v>
      </c>
      <c r="M44" s="463">
        <f t="shared" si="9"/>
        <v>23.221752767292852</v>
      </c>
      <c r="N44" s="463">
        <f t="shared" si="9"/>
        <v>28.133418847234211</v>
      </c>
      <c r="O44" s="463">
        <f t="shared" ref="O44" si="10">((O22*(O26-O34))-O39+O36)*O43</f>
        <v>35.771933115647734</v>
      </c>
    </row>
    <row r="45" spans="1:15">
      <c r="A45" s="354">
        <v>37</v>
      </c>
      <c r="B45" s="368"/>
      <c r="C45" s="453"/>
      <c r="D45" s="453"/>
      <c r="E45" s="453"/>
      <c r="F45" s="453"/>
      <c r="G45" s="453"/>
      <c r="H45" s="453"/>
      <c r="I45" s="453"/>
      <c r="J45" s="453"/>
      <c r="K45" s="453"/>
      <c r="L45" s="453"/>
      <c r="M45" s="453"/>
      <c r="N45" s="453"/>
      <c r="O45" s="453"/>
    </row>
    <row r="46" spans="1:15" ht="25.5">
      <c r="A46" s="359">
        <v>38</v>
      </c>
      <c r="B46" s="477" t="s">
        <v>53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  <c r="M46" s="386"/>
      <c r="N46" s="386"/>
      <c r="O46" s="386"/>
    </row>
    <row r="47" spans="1:15">
      <c r="A47" s="354">
        <v>39</v>
      </c>
      <c r="B47" s="368" t="s">
        <v>58</v>
      </c>
      <c r="C47" s="462">
        <f>-'Def Tax'!$F703</f>
        <v>-0.97179898195833325</v>
      </c>
      <c r="D47" s="462">
        <f>-'Def Tax'!$F706</f>
        <v>-1.6693014265099282</v>
      </c>
      <c r="E47" s="462">
        <f>-'Def Tax'!$F707</f>
        <v>-2.0674849366792509</v>
      </c>
      <c r="F47" s="462">
        <f>-'Def Tax'!$F708</f>
        <v>-2.4439959705786216</v>
      </c>
      <c r="G47" s="462">
        <f>-'Def Tax'!$F709</f>
        <v>-3.3009147400712182</v>
      </c>
      <c r="H47" s="462">
        <f>-'Def Tax'!$F710</f>
        <v>-4.2949402966549224</v>
      </c>
      <c r="I47" s="462">
        <f>-'Def Tax'!$F711</f>
        <v>-6.2665229919604171</v>
      </c>
      <c r="J47" s="462">
        <f>-'Def Tax'!$F712</f>
        <v>-7.5967760286997938</v>
      </c>
      <c r="K47" s="462">
        <f>-'Def Tax'!$F713</f>
        <v>-11.015017797890936</v>
      </c>
      <c r="L47" s="462">
        <f>-'Def Tax'!$F714</f>
        <v>-13.24283677206745</v>
      </c>
      <c r="M47" s="462">
        <f>-'Def Tax'!$F715</f>
        <v>-14.767944752974053</v>
      </c>
      <c r="N47" s="462">
        <f>-'Def Tax'!$F716</f>
        <v>-18.192262213395797</v>
      </c>
      <c r="O47" s="462">
        <f>-'Def Tax'!$F717</f>
        <v>-21.137112768965562</v>
      </c>
    </row>
    <row r="48" spans="1:15">
      <c r="A48" s="359">
        <v>40</v>
      </c>
      <c r="B48" s="368"/>
      <c r="C48" s="453"/>
      <c r="D48" s="453"/>
      <c r="E48" s="453"/>
      <c r="F48" s="453"/>
      <c r="G48" s="453"/>
      <c r="H48" s="453"/>
      <c r="I48" s="453"/>
      <c r="J48" s="453"/>
      <c r="K48" s="453"/>
      <c r="L48" s="453"/>
      <c r="M48" s="453"/>
      <c r="N48" s="453"/>
      <c r="O48" s="453"/>
    </row>
    <row r="49" spans="1:15">
      <c r="A49" s="354">
        <v>41</v>
      </c>
      <c r="B49" s="475" t="s">
        <v>54</v>
      </c>
      <c r="C49" s="453"/>
      <c r="D49" s="453"/>
      <c r="E49" s="453"/>
      <c r="F49" s="453"/>
      <c r="G49" s="453"/>
      <c r="H49" s="453"/>
      <c r="I49" s="453"/>
      <c r="J49" s="453"/>
      <c r="K49" s="453"/>
      <c r="L49" s="453"/>
      <c r="M49" s="453"/>
      <c r="N49" s="453"/>
      <c r="O49" s="453"/>
    </row>
    <row r="50" spans="1:15">
      <c r="A50" s="359">
        <v>42</v>
      </c>
      <c r="B50" s="475" t="s">
        <v>55</v>
      </c>
      <c r="C50" s="453"/>
      <c r="D50" s="453"/>
      <c r="E50" s="453"/>
      <c r="F50" s="453"/>
      <c r="G50" s="453"/>
      <c r="H50" s="453"/>
      <c r="I50" s="453"/>
      <c r="J50" s="453"/>
      <c r="K50" s="453"/>
      <c r="L50" s="453"/>
      <c r="M50" s="453"/>
      <c r="N50" s="453"/>
      <c r="O50" s="453"/>
    </row>
    <row r="51" spans="1:15" ht="25.5">
      <c r="A51" s="354">
        <v>43</v>
      </c>
      <c r="B51" s="477" t="s">
        <v>56</v>
      </c>
      <c r="C51" s="453"/>
      <c r="D51" s="453"/>
      <c r="E51" s="453"/>
      <c r="F51" s="453"/>
      <c r="G51" s="453"/>
      <c r="H51" s="453"/>
      <c r="I51" s="453"/>
      <c r="J51" s="453"/>
      <c r="K51" s="453"/>
      <c r="L51" s="453"/>
      <c r="M51" s="453"/>
      <c r="N51" s="453"/>
      <c r="O51" s="453"/>
    </row>
    <row r="52" spans="1:15">
      <c r="A52" s="371">
        <v>44</v>
      </c>
      <c r="B52" s="368" t="s">
        <v>57</v>
      </c>
      <c r="C52" s="387">
        <f>'Income Tax Rates'!H56</f>
        <v>0.40720000000000001</v>
      </c>
      <c r="D52" s="387">
        <f>'Income Tax Rates'!$H$76</f>
        <v>0.40739999999999998</v>
      </c>
      <c r="E52" s="387">
        <f>'Income Tax Rates'!$H$76</f>
        <v>0.40739999999999998</v>
      </c>
      <c r="F52" s="387">
        <f>'Income Tax Rates'!$H$76</f>
        <v>0.40739999999999998</v>
      </c>
      <c r="G52" s="387">
        <f>'Income Tax Rates'!$H$76</f>
        <v>0.40739999999999998</v>
      </c>
      <c r="H52" s="387">
        <f>'Income Tax Rates'!$H$76</f>
        <v>0.40739999999999998</v>
      </c>
      <c r="I52" s="387">
        <f>'Income Tax Rates'!$H$76</f>
        <v>0.40739999999999998</v>
      </c>
      <c r="J52" s="387">
        <f>'Income Tax Rates'!$H$76</f>
        <v>0.40739999999999998</v>
      </c>
      <c r="K52" s="387">
        <f>'Income Tax Rates'!$H$76</f>
        <v>0.40739999999999998</v>
      </c>
      <c r="L52" s="387">
        <f>'Income Tax Rates'!$H$76</f>
        <v>0.40739999999999998</v>
      </c>
      <c r="M52" s="387">
        <f>'Income Tax Rates'!$H$76</f>
        <v>0.40739999999999998</v>
      </c>
      <c r="N52" s="387">
        <f>'Income Tax Rates'!$H$76</f>
        <v>0.40739999999999998</v>
      </c>
      <c r="O52" s="387">
        <f>'Income Tax Rates'!$H$76</f>
        <v>0.40739999999999998</v>
      </c>
    </row>
    <row r="53" spans="1:15">
      <c r="A53" s="354">
        <v>45</v>
      </c>
      <c r="B53" s="368" t="s">
        <v>59</v>
      </c>
      <c r="C53" s="464">
        <f>1/(1-C52)</f>
        <v>1.6869095816464237</v>
      </c>
      <c r="D53" s="464">
        <f>1/(1-D52)</f>
        <v>1.6874789065136686</v>
      </c>
      <c r="E53" s="464">
        <f t="shared" ref="E53:N53" si="11">1/(1-E52)</f>
        <v>1.6874789065136686</v>
      </c>
      <c r="F53" s="464">
        <f t="shared" si="11"/>
        <v>1.6874789065136686</v>
      </c>
      <c r="G53" s="464">
        <f t="shared" si="11"/>
        <v>1.6874789065136686</v>
      </c>
      <c r="H53" s="464">
        <f t="shared" si="11"/>
        <v>1.6874789065136686</v>
      </c>
      <c r="I53" s="464">
        <f t="shared" si="11"/>
        <v>1.6874789065136686</v>
      </c>
      <c r="J53" s="464">
        <f t="shared" si="11"/>
        <v>1.6874789065136686</v>
      </c>
      <c r="K53" s="464">
        <f t="shared" si="11"/>
        <v>1.6874789065136686</v>
      </c>
      <c r="L53" s="464">
        <f t="shared" si="11"/>
        <v>1.6874789065136686</v>
      </c>
      <c r="M53" s="464">
        <f t="shared" si="11"/>
        <v>1.6874789065136686</v>
      </c>
      <c r="N53" s="464">
        <f t="shared" si="11"/>
        <v>1.6874789065136686</v>
      </c>
      <c r="O53" s="464">
        <f t="shared" ref="O53" si="12">1/(1-O52)</f>
        <v>1.6874789065136686</v>
      </c>
    </row>
    <row r="54" spans="1:15">
      <c r="A54" s="359">
        <v>46</v>
      </c>
      <c r="B54" s="368"/>
      <c r="C54" s="387"/>
      <c r="D54" s="387"/>
      <c r="E54" s="387"/>
      <c r="F54" s="387"/>
      <c r="G54" s="387"/>
      <c r="H54" s="387"/>
      <c r="I54" s="387"/>
      <c r="J54" s="387"/>
      <c r="K54" s="387"/>
      <c r="L54" s="387"/>
      <c r="M54" s="387"/>
      <c r="N54" s="387"/>
      <c r="O54" s="387"/>
    </row>
    <row r="55" spans="1:15" ht="15.75">
      <c r="A55" s="354">
        <v>47</v>
      </c>
      <c r="B55" s="473" t="s">
        <v>94</v>
      </c>
      <c r="C55" s="387"/>
      <c r="D55" s="387"/>
      <c r="E55" s="387"/>
      <c r="F55" s="387"/>
      <c r="G55" s="387"/>
      <c r="H55" s="387"/>
      <c r="I55" s="387"/>
      <c r="J55" s="387"/>
      <c r="K55" s="387"/>
      <c r="L55" s="387"/>
      <c r="M55" s="387"/>
      <c r="N55" s="387"/>
      <c r="O55" s="387"/>
    </row>
    <row r="56" spans="1:15">
      <c r="A56" s="359">
        <v>48</v>
      </c>
      <c r="B56" s="368" t="s">
        <v>49</v>
      </c>
      <c r="C56" s="454">
        <f>C39</f>
        <v>0.47234553957669845</v>
      </c>
      <c r="D56" s="454">
        <f>D39</f>
        <v>0.73249820149261691</v>
      </c>
      <c r="E56" s="454">
        <f t="shared" ref="E56:N56" si="13">E39</f>
        <v>0.89462949417614379</v>
      </c>
      <c r="F56" s="454">
        <f t="shared" si="13"/>
        <v>1.0973488816618555</v>
      </c>
      <c r="G56" s="454">
        <f t="shared" si="13"/>
        <v>1.4651053292935403</v>
      </c>
      <c r="H56" s="454">
        <f t="shared" si="13"/>
        <v>1.9726325481013074</v>
      </c>
      <c r="I56" s="454">
        <f t="shared" si="13"/>
        <v>2.7242085471571369</v>
      </c>
      <c r="J56" s="454">
        <f t="shared" si="13"/>
        <v>3.4790444539066212</v>
      </c>
      <c r="K56" s="454">
        <f t="shared" si="13"/>
        <v>4.7735084280789266</v>
      </c>
      <c r="L56" s="454">
        <f t="shared" si="13"/>
        <v>5.6186929373767276</v>
      </c>
      <c r="M56" s="454">
        <f t="shared" si="13"/>
        <v>6.4283204666318099</v>
      </c>
      <c r="N56" s="454">
        <f t="shared" si="13"/>
        <v>7.7879837058089567</v>
      </c>
      <c r="O56" s="454">
        <f t="shared" ref="O56" si="14">O39</f>
        <v>9.9025018517200465</v>
      </c>
    </row>
    <row r="57" spans="1:15">
      <c r="A57" s="354">
        <v>49</v>
      </c>
      <c r="B57" s="368" t="s">
        <v>52</v>
      </c>
      <c r="C57" s="454">
        <f>C44</f>
        <v>1.7143941134715714</v>
      </c>
      <c r="D57" s="454">
        <f>D44</f>
        <v>2.6460865207083764</v>
      </c>
      <c r="E57" s="454">
        <f t="shared" ref="E57:N57" si="15">E44</f>
        <v>3.2317718197039254</v>
      </c>
      <c r="F57" s="454">
        <f t="shared" si="15"/>
        <v>3.9640781074451739</v>
      </c>
      <c r="G57" s="454">
        <f t="shared" si="15"/>
        <v>5.2925665283025527</v>
      </c>
      <c r="H57" s="454">
        <f t="shared" si="15"/>
        <v>7.1259647944597715</v>
      </c>
      <c r="I57" s="454">
        <f t="shared" si="15"/>
        <v>9.8409682119932214</v>
      </c>
      <c r="J57" s="454">
        <f t="shared" si="15"/>
        <v>12.567747764661689</v>
      </c>
      <c r="K57" s="454">
        <f t="shared" si="15"/>
        <v>17.243887128035208</v>
      </c>
      <c r="L57" s="454">
        <f t="shared" si="15"/>
        <v>20.2970432081556</v>
      </c>
      <c r="M57" s="454">
        <f t="shared" si="15"/>
        <v>23.221752767292852</v>
      </c>
      <c r="N57" s="454">
        <f t="shared" si="15"/>
        <v>28.133418847234211</v>
      </c>
      <c r="O57" s="454">
        <f t="shared" ref="O57" si="16">O44</f>
        <v>35.771933115647734</v>
      </c>
    </row>
    <row r="58" spans="1:15">
      <c r="A58" s="359">
        <v>50</v>
      </c>
      <c r="B58" s="368" t="s">
        <v>58</v>
      </c>
      <c r="C58" s="455">
        <f>C47</f>
        <v>-0.97179898195833325</v>
      </c>
      <c r="D58" s="455">
        <f>D47</f>
        <v>-1.6693014265099282</v>
      </c>
      <c r="E58" s="455">
        <f t="shared" ref="E58:N58" si="17">E47</f>
        <v>-2.0674849366792509</v>
      </c>
      <c r="F58" s="455">
        <f t="shared" si="17"/>
        <v>-2.4439959705786216</v>
      </c>
      <c r="G58" s="455">
        <f t="shared" si="17"/>
        <v>-3.3009147400712182</v>
      </c>
      <c r="H58" s="455">
        <f t="shared" si="17"/>
        <v>-4.2949402966549224</v>
      </c>
      <c r="I58" s="455">
        <f t="shared" si="17"/>
        <v>-6.2665229919604171</v>
      </c>
      <c r="J58" s="455">
        <f t="shared" si="17"/>
        <v>-7.5967760286997938</v>
      </c>
      <c r="K58" s="455">
        <f t="shared" si="17"/>
        <v>-11.015017797890936</v>
      </c>
      <c r="L58" s="455">
        <f t="shared" si="17"/>
        <v>-13.24283677206745</v>
      </c>
      <c r="M58" s="455">
        <f t="shared" si="17"/>
        <v>-14.767944752974053</v>
      </c>
      <c r="N58" s="455">
        <f t="shared" si="17"/>
        <v>-18.192262213395797</v>
      </c>
      <c r="O58" s="455">
        <f t="shared" ref="O58" si="18">O47</f>
        <v>-21.137112768965562</v>
      </c>
    </row>
    <row r="59" spans="1:15">
      <c r="A59" s="354">
        <v>51</v>
      </c>
      <c r="B59" s="368" t="s">
        <v>59</v>
      </c>
      <c r="C59" s="456">
        <f>C53</f>
        <v>1.6869095816464237</v>
      </c>
      <c r="D59" s="456">
        <f>D53</f>
        <v>1.6874789065136686</v>
      </c>
      <c r="E59" s="456">
        <f t="shared" ref="E59:N59" si="19">E53</f>
        <v>1.6874789065136686</v>
      </c>
      <c r="F59" s="456">
        <f t="shared" si="19"/>
        <v>1.6874789065136686</v>
      </c>
      <c r="G59" s="456">
        <f t="shared" si="19"/>
        <v>1.6874789065136686</v>
      </c>
      <c r="H59" s="456">
        <f t="shared" si="19"/>
        <v>1.6874789065136686</v>
      </c>
      <c r="I59" s="456">
        <f t="shared" si="19"/>
        <v>1.6874789065136686</v>
      </c>
      <c r="J59" s="456">
        <f t="shared" si="19"/>
        <v>1.6874789065136686</v>
      </c>
      <c r="K59" s="456">
        <f t="shared" si="19"/>
        <v>1.6874789065136686</v>
      </c>
      <c r="L59" s="456">
        <f t="shared" si="19"/>
        <v>1.6874789065136686</v>
      </c>
      <c r="M59" s="456">
        <f t="shared" si="19"/>
        <v>1.6874789065136686</v>
      </c>
      <c r="N59" s="456">
        <f t="shared" si="19"/>
        <v>1.6874789065136686</v>
      </c>
      <c r="O59" s="456">
        <f t="shared" ref="O59" si="20">O53</f>
        <v>1.6874789065136686</v>
      </c>
    </row>
    <row r="60" spans="1:15">
      <c r="A60" s="359">
        <v>52</v>
      </c>
      <c r="B60" s="466" t="s">
        <v>60</v>
      </c>
      <c r="C60" s="465">
        <f>(C56+C57+C58)*C59</f>
        <v>2.0494950591935504</v>
      </c>
      <c r="D60" s="465">
        <f>(D56+D57+D58)*D59</f>
        <v>2.8843795067348381</v>
      </c>
      <c r="E60" s="465">
        <f t="shared" ref="E60:N60" si="21">(E56+E57+E58)*E59</f>
        <v>3.4743779568019204</v>
      </c>
      <c r="F60" s="465">
        <f t="shared" si="21"/>
        <v>4.416859633021275</v>
      </c>
      <c r="G60" s="465">
        <f t="shared" si="21"/>
        <v>5.8332047207642166</v>
      </c>
      <c r="H60" s="465">
        <f t="shared" si="21"/>
        <v>8.1060699390923983</v>
      </c>
      <c r="I60" s="465">
        <f t="shared" si="21"/>
        <v>10.62884537156588</v>
      </c>
      <c r="J60" s="465">
        <f t="shared" si="21"/>
        <v>14.259224080102122</v>
      </c>
      <c r="K60" s="465">
        <f t="shared" si="21"/>
        <v>18.566280388496793</v>
      </c>
      <c r="L60" s="465">
        <f t="shared" si="21"/>
        <v>21.38525037709227</v>
      </c>
      <c r="M60" s="465">
        <f t="shared" si="21"/>
        <v>25.113277895630457</v>
      </c>
      <c r="N60" s="465">
        <f t="shared" si="21"/>
        <v>29.917550353775514</v>
      </c>
      <c r="O60" s="465">
        <f t="shared" ref="O60" si="22">(O56+O57+O58)*O59</f>
        <v>41.406213632133344</v>
      </c>
    </row>
    <row r="61" spans="1:15">
      <c r="A61" s="354">
        <v>53</v>
      </c>
      <c r="B61" s="453"/>
      <c r="C61" s="453"/>
      <c r="D61" s="453"/>
      <c r="E61" s="453"/>
      <c r="F61" s="453"/>
      <c r="G61" s="453"/>
      <c r="H61" s="453"/>
      <c r="I61" s="453"/>
      <c r="J61" s="453"/>
      <c r="K61" s="453"/>
      <c r="L61" s="453"/>
      <c r="M61" s="453"/>
      <c r="N61" s="453"/>
      <c r="O61" s="453"/>
    </row>
    <row r="62" spans="1:15">
      <c r="A62" s="359">
        <v>54</v>
      </c>
      <c r="B62" s="534" t="s">
        <v>292</v>
      </c>
      <c r="C62" s="453"/>
      <c r="D62" s="453"/>
      <c r="E62" s="453"/>
      <c r="F62" s="453"/>
      <c r="G62" s="453"/>
      <c r="H62" s="453"/>
      <c r="I62" s="453"/>
      <c r="J62" s="453"/>
      <c r="K62" s="453"/>
      <c r="L62" s="453"/>
      <c r="M62" s="453"/>
      <c r="N62" s="453"/>
      <c r="O62" s="453"/>
    </row>
    <row r="63" spans="1:15" ht="15.75">
      <c r="A63" s="354">
        <v>55</v>
      </c>
      <c r="B63" s="468" t="s">
        <v>258</v>
      </c>
      <c r="C63" s="453"/>
      <c r="D63" s="453"/>
      <c r="E63" s="453"/>
      <c r="F63" s="453"/>
      <c r="G63" s="453"/>
      <c r="H63" s="453"/>
      <c r="I63" s="453"/>
      <c r="J63" s="453"/>
      <c r="K63" s="453"/>
      <c r="L63" s="453"/>
      <c r="M63" s="453"/>
      <c r="N63" s="453"/>
      <c r="O63" s="453"/>
    </row>
    <row r="64" spans="1:15" ht="15">
      <c r="A64" s="359">
        <v>56</v>
      </c>
      <c r="B64" s="480" t="s">
        <v>63</v>
      </c>
      <c r="C64" s="453"/>
      <c r="D64" s="453"/>
      <c r="E64" s="453"/>
      <c r="F64" s="453"/>
      <c r="G64" s="453"/>
      <c r="H64" s="453"/>
      <c r="I64" s="453"/>
      <c r="J64" s="453"/>
      <c r="K64" s="453"/>
      <c r="L64" s="453"/>
      <c r="M64" s="453"/>
      <c r="N64" s="453"/>
      <c r="O64" s="453"/>
    </row>
    <row r="65" spans="1:15">
      <c r="A65" s="367">
        <v>57</v>
      </c>
      <c r="B65" s="368" t="s">
        <v>13</v>
      </c>
      <c r="C65" s="457">
        <f>C22</f>
        <v>621.89816511839399</v>
      </c>
      <c r="D65" s="457">
        <f>D22</f>
        <v>877.98284109652354</v>
      </c>
      <c r="E65" s="457">
        <f t="shared" ref="E65:N65" si="23">E22</f>
        <v>1057.5727746406237</v>
      </c>
      <c r="F65" s="457">
        <f t="shared" si="23"/>
        <v>1344.4600051865405</v>
      </c>
      <c r="G65" s="457">
        <f t="shared" si="23"/>
        <v>1775.5838285888644</v>
      </c>
      <c r="H65" s="457">
        <f t="shared" si="23"/>
        <v>2467.4323194220792</v>
      </c>
      <c r="I65" s="457">
        <f t="shared" si="23"/>
        <v>3235.336321089927</v>
      </c>
      <c r="J65" s="457">
        <f t="shared" si="23"/>
        <v>4340.4096485105629</v>
      </c>
      <c r="K65" s="457">
        <f t="shared" si="23"/>
        <v>5651.4273964828571</v>
      </c>
      <c r="L65" s="457">
        <f t="shared" si="23"/>
        <v>6509.4891823790149</v>
      </c>
      <c r="M65" s="457">
        <f t="shared" si="23"/>
        <v>7644.2835240382701</v>
      </c>
      <c r="N65" s="457">
        <f t="shared" si="23"/>
        <v>9106.655177026576</v>
      </c>
      <c r="O65" s="457">
        <f t="shared" ref="O65" si="24">O22</f>
        <v>12603.783252952137</v>
      </c>
    </row>
    <row r="66" spans="1:15">
      <c r="A66" s="371">
        <v>58</v>
      </c>
      <c r="B66" s="368" t="s">
        <v>48</v>
      </c>
      <c r="C66" s="458">
        <f>C26</f>
        <v>7.0233333333333328E-3</v>
      </c>
      <c r="D66" s="458">
        <f>D26</f>
        <v>6.9283333333333324E-3</v>
      </c>
      <c r="E66" s="458">
        <f t="shared" ref="E66:N66" si="25">E26</f>
        <v>6.9283333333333324E-3</v>
      </c>
      <c r="F66" s="458">
        <f t="shared" si="25"/>
        <v>6.9283333333333324E-3</v>
      </c>
      <c r="G66" s="458">
        <f t="shared" si="25"/>
        <v>6.9283333333333324E-3</v>
      </c>
      <c r="H66" s="458">
        <f t="shared" si="25"/>
        <v>6.9283333333333324E-3</v>
      </c>
      <c r="I66" s="458">
        <f t="shared" si="25"/>
        <v>6.9283333333333324E-3</v>
      </c>
      <c r="J66" s="458">
        <f t="shared" si="25"/>
        <v>6.9283333333333324E-3</v>
      </c>
      <c r="K66" s="458">
        <f t="shared" si="25"/>
        <v>6.9283333333333324E-3</v>
      </c>
      <c r="L66" s="458">
        <f t="shared" si="25"/>
        <v>6.9283333333333324E-3</v>
      </c>
      <c r="M66" s="458">
        <f t="shared" si="25"/>
        <v>6.9283333333333324E-3</v>
      </c>
      <c r="N66" s="458">
        <f t="shared" si="25"/>
        <v>6.9283333333333324E-3</v>
      </c>
      <c r="O66" s="458">
        <f t="shared" ref="O66" si="26">O26</f>
        <v>6.9283333333333324E-3</v>
      </c>
    </row>
    <row r="67" spans="1:15">
      <c r="A67" s="367">
        <v>59</v>
      </c>
      <c r="B67" s="368" t="s">
        <v>152</v>
      </c>
      <c r="C67" s="455">
        <f>C65*C66</f>
        <v>4.3677981130148531</v>
      </c>
      <c r="D67" s="455">
        <f t="shared" ref="D67:N67" si="27">D65*D66</f>
        <v>6.0829577840637468</v>
      </c>
      <c r="E67" s="455">
        <f t="shared" si="27"/>
        <v>7.3272167069684535</v>
      </c>
      <c r="F67" s="455">
        <f t="shared" si="27"/>
        <v>9.3148670692674127</v>
      </c>
      <c r="G67" s="455">
        <f t="shared" si="27"/>
        <v>12.301836625739847</v>
      </c>
      <c r="H67" s="455">
        <f t="shared" si="27"/>
        <v>17.095193586395968</v>
      </c>
      <c r="I67" s="455">
        <f t="shared" si="27"/>
        <v>22.415488477951374</v>
      </c>
      <c r="J67" s="455">
        <f t="shared" si="27"/>
        <v>30.071804848097347</v>
      </c>
      <c r="K67" s="455">
        <f t="shared" si="27"/>
        <v>39.154972811965386</v>
      </c>
      <c r="L67" s="455">
        <f t="shared" si="27"/>
        <v>45.099910885249265</v>
      </c>
      <c r="M67" s="455">
        <f t="shared" si="27"/>
        <v>52.96214434904514</v>
      </c>
      <c r="N67" s="455">
        <f t="shared" si="27"/>
        <v>63.093942618165784</v>
      </c>
      <c r="O67" s="455">
        <f t="shared" ref="O67" si="28">O65*O66</f>
        <v>87.323211637536701</v>
      </c>
    </row>
    <row r="68" spans="1:15">
      <c r="A68" s="371">
        <v>60</v>
      </c>
      <c r="B68" s="368" t="s">
        <v>151</v>
      </c>
      <c r="C68" s="457">
        <f>C60</f>
        <v>2.0494950591935504</v>
      </c>
      <c r="D68" s="457">
        <f>D60</f>
        <v>2.8843795067348381</v>
      </c>
      <c r="E68" s="457">
        <f t="shared" ref="E68:N68" si="29">E60</f>
        <v>3.4743779568019204</v>
      </c>
      <c r="F68" s="457">
        <f t="shared" si="29"/>
        <v>4.416859633021275</v>
      </c>
      <c r="G68" s="457">
        <f t="shared" si="29"/>
        <v>5.8332047207642166</v>
      </c>
      <c r="H68" s="457">
        <f t="shared" si="29"/>
        <v>8.1060699390923983</v>
      </c>
      <c r="I68" s="457">
        <f t="shared" si="29"/>
        <v>10.62884537156588</v>
      </c>
      <c r="J68" s="457">
        <f t="shared" si="29"/>
        <v>14.259224080102122</v>
      </c>
      <c r="K68" s="457">
        <f t="shared" si="29"/>
        <v>18.566280388496793</v>
      </c>
      <c r="L68" s="457">
        <f t="shared" si="29"/>
        <v>21.38525037709227</v>
      </c>
      <c r="M68" s="457">
        <f t="shared" si="29"/>
        <v>25.113277895630457</v>
      </c>
      <c r="N68" s="457">
        <f t="shared" si="29"/>
        <v>29.917550353775514</v>
      </c>
      <c r="O68" s="457">
        <f t="shared" ref="O68" si="30">O60</f>
        <v>41.406213632133344</v>
      </c>
    </row>
    <row r="69" spans="1:15">
      <c r="A69" s="354">
        <v>61</v>
      </c>
      <c r="B69" s="466" t="s">
        <v>112</v>
      </c>
      <c r="C69" s="465">
        <f>C67+C68</f>
        <v>6.417293172208403</v>
      </c>
      <c r="D69" s="465">
        <f t="shared" ref="D69:N69" si="31">D67+D68</f>
        <v>8.9673372907985858</v>
      </c>
      <c r="E69" s="465">
        <f t="shared" si="31"/>
        <v>10.801594663770373</v>
      </c>
      <c r="F69" s="465">
        <f t="shared" si="31"/>
        <v>13.731726702288688</v>
      </c>
      <c r="G69" s="465">
        <f t="shared" si="31"/>
        <v>18.135041346504064</v>
      </c>
      <c r="H69" s="465">
        <f t="shared" si="31"/>
        <v>25.201263525488365</v>
      </c>
      <c r="I69" s="465">
        <f t="shared" si="31"/>
        <v>33.044333849517258</v>
      </c>
      <c r="J69" s="465">
        <f t="shared" si="31"/>
        <v>44.331028928199473</v>
      </c>
      <c r="K69" s="465">
        <f t="shared" si="31"/>
        <v>57.721253200462179</v>
      </c>
      <c r="L69" s="465">
        <f t="shared" si="31"/>
        <v>66.485161262341535</v>
      </c>
      <c r="M69" s="465">
        <f t="shared" si="31"/>
        <v>78.075422244675593</v>
      </c>
      <c r="N69" s="465">
        <f t="shared" si="31"/>
        <v>93.011492971941294</v>
      </c>
      <c r="O69" s="465">
        <f t="shared" ref="O69" si="32">O67+O68</f>
        <v>128.72942526967006</v>
      </c>
    </row>
    <row r="70" spans="1:15">
      <c r="A70" s="389"/>
      <c r="B70" s="453"/>
      <c r="C70" s="453"/>
      <c r="D70" s="453"/>
      <c r="E70" s="453"/>
      <c r="F70" s="453"/>
      <c r="G70" s="453"/>
      <c r="H70" s="453"/>
      <c r="I70" s="453"/>
      <c r="J70" s="453"/>
      <c r="K70" s="453"/>
      <c r="L70" s="453"/>
      <c r="M70" s="453"/>
      <c r="N70" s="453"/>
      <c r="O70" s="344"/>
    </row>
    <row r="71" spans="1:15">
      <c r="A71" s="389"/>
      <c r="B71" s="453"/>
      <c r="C71" s="453"/>
      <c r="D71" s="453"/>
      <c r="E71" s="453"/>
      <c r="F71" s="453"/>
      <c r="G71" s="453"/>
      <c r="H71" s="453"/>
      <c r="I71" s="453"/>
      <c r="J71" s="453"/>
      <c r="K71" s="453"/>
      <c r="L71" s="453"/>
      <c r="M71" s="453"/>
      <c r="N71" s="453"/>
      <c r="O71" s="344"/>
    </row>
    <row r="72" spans="1:15">
      <c r="A72" s="389"/>
      <c r="B72" s="453"/>
      <c r="C72" s="453"/>
      <c r="D72" s="453"/>
      <c r="E72" s="453"/>
      <c r="F72" s="453"/>
      <c r="G72" s="453"/>
      <c r="H72" s="453"/>
      <c r="I72" s="453"/>
      <c r="J72" s="453"/>
      <c r="K72" s="453"/>
      <c r="L72" s="453"/>
      <c r="M72" s="453"/>
      <c r="N72" s="453"/>
      <c r="O72" s="344"/>
    </row>
    <row r="73" spans="1:15" ht="15">
      <c r="A73" s="389"/>
      <c r="B73" s="481"/>
      <c r="C73" s="453"/>
      <c r="D73" s="453"/>
      <c r="E73" s="453"/>
      <c r="F73" s="453"/>
      <c r="G73" s="453"/>
      <c r="H73" s="453"/>
      <c r="I73" s="453"/>
      <c r="J73" s="453"/>
      <c r="K73" s="453"/>
      <c r="L73" s="453"/>
      <c r="M73" s="453"/>
      <c r="N73" s="453"/>
      <c r="O73" s="344"/>
    </row>
  </sheetData>
  <mergeCells count="6">
    <mergeCell ref="D16:O16"/>
    <mergeCell ref="A1:O1"/>
    <mergeCell ref="A2:O2"/>
    <mergeCell ref="A3:O3"/>
    <mergeCell ref="A4:O4"/>
    <mergeCell ref="A5:O5"/>
  </mergeCells>
  <pageMargins left="0.7" right="0.7" top="0.75" bottom="0.75" header="0.3" footer="0.3"/>
  <pageSetup scale="47" orientation="portrait" verticalDpi="1200" r:id="rId1"/>
  <headerFooter>
    <oddHeader>&amp;RTO9 Annual Update
Attachment 4
WP-Schedule 3-CWIPBA Model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30</vt:i4>
      </vt:variant>
    </vt:vector>
  </HeadingPairs>
  <TitlesOfParts>
    <vt:vector size="60" baseType="lpstr">
      <vt:lpstr>Monthly Entry</vt:lpstr>
      <vt:lpstr>Balancing Acct</vt:lpstr>
      <vt:lpstr>Revenue</vt:lpstr>
      <vt:lpstr>DPV2 Rev Req</vt:lpstr>
      <vt:lpstr>Tehachapi Rev Req</vt:lpstr>
      <vt:lpstr>Rancho Vista Rev Req</vt:lpstr>
      <vt:lpstr>Eldorado Ivanpah Rev Req</vt:lpstr>
      <vt:lpstr>Lugo-Pisgah Rev Req</vt:lpstr>
      <vt:lpstr>Red Bluff Rev Req</vt:lpstr>
      <vt:lpstr>Whirlwind Rev Req</vt:lpstr>
      <vt:lpstr>CR Rev Req</vt:lpstr>
      <vt:lpstr>S of Kramer Rev Req</vt:lpstr>
      <vt:lpstr>W of Devers Rev Req</vt:lpstr>
      <vt:lpstr>DPV2 CWIP Balance</vt:lpstr>
      <vt:lpstr>DPV2 Transfer</vt:lpstr>
      <vt:lpstr>Tehachapi CWIP Balance</vt:lpstr>
      <vt:lpstr>Tehachapi Transfer</vt:lpstr>
      <vt:lpstr>Rancho Vista CWIP Balance</vt:lpstr>
      <vt:lpstr>Rancho Vista Transfer</vt:lpstr>
      <vt:lpstr>Red Bluff CWIP Balance</vt:lpstr>
      <vt:lpstr>Eldorado Ivanpah CWIP Balance</vt:lpstr>
      <vt:lpstr>Lugo-Pisgah CWIP Balance</vt:lpstr>
      <vt:lpstr>CR CWIP Balance</vt:lpstr>
      <vt:lpstr>W. of Devers CWIP Balance</vt:lpstr>
      <vt:lpstr>Whirlwind CWIP Balance</vt:lpstr>
      <vt:lpstr>S. of Kramer CWIP Balance</vt:lpstr>
      <vt:lpstr>Def Tax</vt:lpstr>
      <vt:lpstr>Beg int cap</vt:lpstr>
      <vt:lpstr>Cost of Capital</vt:lpstr>
      <vt:lpstr>Income Tax Rates</vt:lpstr>
      <vt:lpstr>'Balancing Acct'!Print_Area</vt:lpstr>
      <vt:lpstr>'Beg int cap'!Print_Area</vt:lpstr>
      <vt:lpstr>'Cost of Capital'!Print_Area</vt:lpstr>
      <vt:lpstr>'CR Rev Req'!Print_Area</vt:lpstr>
      <vt:lpstr>'Def Tax'!Print_Area</vt:lpstr>
      <vt:lpstr>'DPV2 CWIP Balance'!Print_Area</vt:lpstr>
      <vt:lpstr>'DPV2 Rev Req'!Print_Area</vt:lpstr>
      <vt:lpstr>'DPV2 Transfer'!Print_Area</vt:lpstr>
      <vt:lpstr>'Eldorado Ivanpah Rev Req'!Print_Area</vt:lpstr>
      <vt:lpstr>'Income Tax Rates'!Print_Area</vt:lpstr>
      <vt:lpstr>'Lugo-Pisgah Rev Req'!Print_Area</vt:lpstr>
      <vt:lpstr>'Rancho Vista CWIP Balance'!Print_Area</vt:lpstr>
      <vt:lpstr>'Rancho Vista Rev Req'!Print_Area</vt:lpstr>
      <vt:lpstr>'Rancho Vista Transfer'!Print_Area</vt:lpstr>
      <vt:lpstr>'Red Bluff Rev Req'!Print_Area</vt:lpstr>
      <vt:lpstr>Revenue!Print_Area</vt:lpstr>
      <vt:lpstr>'S of Kramer Rev Req'!Print_Area</vt:lpstr>
      <vt:lpstr>'Tehachapi CWIP Balance'!Print_Area</vt:lpstr>
      <vt:lpstr>'Tehachapi Rev Req'!Print_Area</vt:lpstr>
      <vt:lpstr>'Tehachapi Transfer'!Print_Area</vt:lpstr>
      <vt:lpstr>'W of Devers Rev Req'!Print_Area</vt:lpstr>
      <vt:lpstr>'Whirlwind Rev Req'!Print_Area</vt:lpstr>
      <vt:lpstr>'Balancing Acct'!Print_Titles</vt:lpstr>
      <vt:lpstr>'Cost of Capital'!Print_Titles</vt:lpstr>
      <vt:lpstr>'Def Tax'!Print_Titles</vt:lpstr>
      <vt:lpstr>'DPV2 Rev Req'!Print_Titles</vt:lpstr>
      <vt:lpstr>'Monthly Entry'!Print_Titles</vt:lpstr>
      <vt:lpstr>'Rancho Vista Rev Req'!Print_Titles</vt:lpstr>
      <vt:lpstr>Revenue!Print_Titles</vt:lpstr>
      <vt:lpstr>'Tehachapi Rev Req'!Print_Titles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FERC Group</dc:creator>
  <cp:lastModifiedBy>Kim, Jee Young</cp:lastModifiedBy>
  <cp:lastPrinted>2014-07-16T00:27:01Z</cp:lastPrinted>
  <dcterms:created xsi:type="dcterms:W3CDTF">2007-12-28T23:26:08Z</dcterms:created>
  <dcterms:modified xsi:type="dcterms:W3CDTF">2014-11-21T23:25:19Z</dcterms:modified>
</cp:coreProperties>
</file>