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FERC-REG\FERC\FERC Contract &amp; Cost Analysis\2017 FERC Rate Case (Formula 5th True Up) TO11\6-June 15-Draft Informational Filing\Workpapers\"/>
    </mc:Choice>
  </mc:AlternateContent>
  <bookViews>
    <workbookView xWindow="0" yWindow="45" windowWidth="19065" windowHeight="12615"/>
  </bookViews>
  <sheets>
    <sheet name="26-TaxRates" sheetId="5" r:id="rId1"/>
    <sheet name="I - Composite Tax Rate" sheetId="1" r:id="rId2"/>
    <sheet name="Apportionment" sheetId="2" r:id="rId3"/>
    <sheet name="II - IV  Apportionment Detail" sheetId="4" r:id="rId4"/>
    <sheet name="A1 Summary 2014 Appt (9-14-15)" sheetId="8" state="hidden" r:id="rId5"/>
    <sheet name="A1 Summary (9-8-14)" sheetId="7" state="hidden" r:id="rId6"/>
    <sheet name="A1 Summary (8-25-14)" sheetId="6" state="hidden" r:id="rId7"/>
  </sheets>
  <definedNames>
    <definedName name="_xlnm.Print_Area" localSheetId="0">'26-TaxRates'!$A$1:$F$79</definedName>
    <definedName name="_xlnm.Print_Area" localSheetId="6">'A1 Summary (8-25-14)'!$A$1:$AD$95</definedName>
    <definedName name="_xlnm.Print_Area" localSheetId="5">'A1 Summary (9-8-14)'!$H$11:$AD$108</definedName>
    <definedName name="_xlnm.Print_Area" localSheetId="4">'A1 Summary 2014 Appt (9-14-15)'!$H$13:$AC$131</definedName>
    <definedName name="_xlnm.Print_Area" localSheetId="1">'I - Composite Tax Rate'!$A$1:$H$41</definedName>
    <definedName name="_xlnm.Print_Area">#REF!</definedName>
    <definedName name="Print_Area_MI" localSheetId="6">'A1 Summary (8-25-14)'!$X$1:$AG$40</definedName>
    <definedName name="Print_Area_MI" localSheetId="5">'A1 Summary (9-8-14)'!$X$1:$AG$40</definedName>
    <definedName name="Print_Area_MI" localSheetId="4">'A1 Summary 2014 Appt (9-14-15)'!$X$1:$AF$42</definedName>
    <definedName name="_xlnm.Print_Titles" localSheetId="6">'A1 Summary (8-25-14)'!$A:$G,'A1 Summary (8-25-14)'!$1:$3</definedName>
    <definedName name="_xlnm.Print_Titles" localSheetId="5">'A1 Summary (9-8-14)'!$A:$G,'A1 Summary (9-8-14)'!$1:$10</definedName>
    <definedName name="_xlnm.Print_Titles" localSheetId="4">'A1 Summary 2014 Appt (9-14-15)'!$A:$G,'A1 Summary 2014 Appt (9-14-15)'!$1:$12</definedName>
    <definedName name="_xlnm.Print_Titles" localSheetId="3">'II - IV  Apportionment Detail'!$1:$3</definedName>
    <definedName name="_xlnm.Print_Titles">#REF!</definedName>
    <definedName name="Print_Titles_MI" localSheetId="6">'A1 Summary (8-25-14)'!$A:$G</definedName>
    <definedName name="Print_Titles_MI" localSheetId="5">'A1 Summary (9-8-14)'!$A:$G</definedName>
    <definedName name="Print_Titles_MI" localSheetId="4">'A1 Summary 2014 Appt (9-14-15)'!$A:$G</definedName>
    <definedName name="PRINT_TITLES_MI">#REF!</definedName>
  </definedNames>
  <calcPr calcId="152511"/>
</workbook>
</file>

<file path=xl/calcChain.xml><?xml version="1.0" encoding="utf-8"?>
<calcChain xmlns="http://schemas.openxmlformats.org/spreadsheetml/2006/main">
  <c r="B34" i="1" l="1"/>
  <c r="G60" i="2"/>
  <c r="E112" i="4"/>
  <c r="E109" i="4"/>
  <c r="E116" i="4" l="1"/>
  <c r="D32" i="5" l="1"/>
  <c r="D29" i="5"/>
  <c r="G35" i="4"/>
  <c r="G27" i="4"/>
  <c r="G23" i="4"/>
  <c r="E60" i="4"/>
  <c r="E51" i="4"/>
  <c r="E56" i="4"/>
  <c r="B48" i="2"/>
  <c r="B47" i="2"/>
  <c r="E44" i="2" s="1"/>
  <c r="B46" i="2"/>
  <c r="B32" i="2"/>
  <c r="E12" i="2"/>
  <c r="F30" i="4"/>
  <c r="F31" i="4"/>
  <c r="E30" i="4"/>
  <c r="E22" i="4"/>
  <c r="E17" i="4"/>
  <c r="F17" i="4"/>
  <c r="F22" i="4"/>
  <c r="E27" i="4"/>
  <c r="F27" i="4"/>
  <c r="F116" i="4"/>
  <c r="F112" i="4"/>
  <c r="F109" i="4"/>
  <c r="E87" i="4"/>
  <c r="E86" i="4"/>
  <c r="E94" i="4"/>
  <c r="E91" i="4"/>
  <c r="F91" i="4"/>
  <c r="F94" i="4"/>
  <c r="F87" i="4"/>
  <c r="F86" i="4"/>
  <c r="F64" i="4"/>
  <c r="E64" i="4"/>
  <c r="I123" i="8"/>
  <c r="I125" i="8" s="1"/>
  <c r="J127" i="8" s="1"/>
  <c r="G121" i="8"/>
  <c r="K121" i="8" s="1"/>
  <c r="AA114" i="8"/>
  <c r="W114" i="8"/>
  <c r="G113" i="8"/>
  <c r="G112" i="8"/>
  <c r="G111" i="8"/>
  <c r="O114" i="8"/>
  <c r="G110" i="8"/>
  <c r="G109" i="8"/>
  <c r="G108" i="8"/>
  <c r="G107" i="8"/>
  <c r="S114" i="8"/>
  <c r="AA99" i="8"/>
  <c r="AA95" i="8"/>
  <c r="S120" i="8"/>
  <c r="Y92" i="8"/>
  <c r="AA90" i="8"/>
  <c r="W90" i="8"/>
  <c r="S90" i="8"/>
  <c r="G89" i="8"/>
  <c r="G88" i="8"/>
  <c r="G87" i="8"/>
  <c r="G86" i="8"/>
  <c r="G85" i="8"/>
  <c r="G84" i="8"/>
  <c r="G83" i="8"/>
  <c r="O90" i="8"/>
  <c r="G76" i="8"/>
  <c r="AA68" i="8"/>
  <c r="W68" i="8"/>
  <c r="W42" i="8" s="1"/>
  <c r="K68" i="8"/>
  <c r="AA66" i="8"/>
  <c r="W66" i="8"/>
  <c r="S66" i="8"/>
  <c r="S68" i="8" s="1"/>
  <c r="S42" i="8" s="1"/>
  <c r="O66" i="8"/>
  <c r="O68" i="8" s="1"/>
  <c r="O42" i="8" s="1"/>
  <c r="K66" i="8"/>
  <c r="G65" i="8"/>
  <c r="G64" i="8"/>
  <c r="G63" i="8"/>
  <c r="G62" i="8"/>
  <c r="G61" i="8"/>
  <c r="AA56" i="8"/>
  <c r="S56" i="8"/>
  <c r="K56" i="8"/>
  <c r="K55" i="8"/>
  <c r="K57" i="8" s="1"/>
  <c r="AA53" i="8"/>
  <c r="W53" i="8"/>
  <c r="S53" i="8"/>
  <c r="O53" i="8"/>
  <c r="K53" i="8"/>
  <c r="G53" i="8"/>
  <c r="AA52" i="8"/>
  <c r="AA55" i="8" s="1"/>
  <c r="AA57" i="8" s="1"/>
  <c r="W52" i="8"/>
  <c r="W55" i="8" s="1"/>
  <c r="S52" i="8"/>
  <c r="O52" i="8"/>
  <c r="O55" i="8" s="1"/>
  <c r="K52" i="8"/>
  <c r="AA42" i="8"/>
  <c r="K42" i="8"/>
  <c r="W38" i="8"/>
  <c r="AC37" i="8"/>
  <c r="AA37" i="8"/>
  <c r="Y37" i="8"/>
  <c r="W37" i="8"/>
  <c r="W39" i="8" s="1"/>
  <c r="W41" i="8" s="1"/>
  <c r="W44" i="8" s="1"/>
  <c r="U37" i="8"/>
  <c r="S38" i="8" s="1"/>
  <c r="S39" i="8" s="1"/>
  <c r="S41" i="8" s="1"/>
  <c r="S44" i="8" s="1"/>
  <c r="S37" i="8"/>
  <c r="Q37" i="8"/>
  <c r="O38" i="8" s="1"/>
  <c r="O37" i="8"/>
  <c r="O56" i="8" s="1"/>
  <c r="M37" i="8"/>
  <c r="K38" i="8" s="1"/>
  <c r="K39" i="8" s="1"/>
  <c r="K41" i="8" s="1"/>
  <c r="K44" i="8" s="1"/>
  <c r="K37" i="8"/>
  <c r="I35" i="8"/>
  <c r="G35" i="8"/>
  <c r="I34" i="8"/>
  <c r="G34" i="8"/>
  <c r="G52" i="8" s="1"/>
  <c r="G55" i="8" s="1"/>
  <c r="I33" i="8"/>
  <c r="G33" i="8"/>
  <c r="I32" i="8"/>
  <c r="G32" i="8"/>
  <c r="I31" i="8"/>
  <c r="G31" i="8"/>
  <c r="I30" i="8"/>
  <c r="G30" i="8"/>
  <c r="I29" i="8"/>
  <c r="G29" i="8"/>
  <c r="I28" i="8"/>
  <c r="G28" i="8"/>
  <c r="I27" i="8"/>
  <c r="G27" i="8"/>
  <c r="I26" i="8"/>
  <c r="G26" i="8"/>
  <c r="I25" i="8"/>
  <c r="G25" i="8"/>
  <c r="I24" i="8"/>
  <c r="G24" i="8"/>
  <c r="I23" i="8"/>
  <c r="G23" i="8"/>
  <c r="I22" i="8"/>
  <c r="G22" i="8"/>
  <c r="I21" i="8"/>
  <c r="G21" i="8"/>
  <c r="I20" i="8"/>
  <c r="G20" i="8"/>
  <c r="I19" i="8"/>
  <c r="G19" i="8"/>
  <c r="I18" i="8"/>
  <c r="G18" i="8"/>
  <c r="I17" i="8"/>
  <c r="G17" i="8"/>
  <c r="I16" i="8"/>
  <c r="G16" i="8"/>
  <c r="I15" i="8"/>
  <c r="G15" i="8"/>
  <c r="I14" i="8"/>
  <c r="G14" i="8"/>
  <c r="G37" i="8" s="1"/>
  <c r="U13" i="8"/>
  <c r="I13" i="8" s="1"/>
  <c r="I37" i="8" s="1"/>
  <c r="G38" i="8" s="1"/>
  <c r="G13" i="8"/>
  <c r="M10" i="8"/>
  <c r="Y10" i="8" s="1"/>
  <c r="Q10" i="8" s="1"/>
  <c r="U10" i="8" s="1"/>
  <c r="AC10" i="8" s="1"/>
  <c r="K10" i="8"/>
  <c r="W10" i="8" s="1"/>
  <c r="O10" i="8" s="1"/>
  <c r="S10" i="8" s="1"/>
  <c r="AA10" i="8" s="1"/>
  <c r="O57" i="8" l="1"/>
  <c r="G82" i="8"/>
  <c r="G90" i="8" s="1"/>
  <c r="K90" i="8"/>
  <c r="G99" i="8" s="1"/>
  <c r="S123" i="8"/>
  <c r="Y93" i="8"/>
  <c r="Y94" i="8" s="1"/>
  <c r="AA94" i="8" s="1"/>
  <c r="AA96" i="8" s="1"/>
  <c r="AA38" i="8"/>
  <c r="AA39" i="8" s="1"/>
  <c r="AA41" i="8" s="1"/>
  <c r="AA44" i="8" s="1"/>
  <c r="G39" i="8"/>
  <c r="G41" i="8" s="1"/>
  <c r="G56" i="8"/>
  <c r="G57" i="8"/>
  <c r="S55" i="8"/>
  <c r="S57" i="8" s="1"/>
  <c r="G66" i="8"/>
  <c r="G68" i="8" s="1"/>
  <c r="G42" i="8" s="1"/>
  <c r="K114" i="8"/>
  <c r="O39" i="8"/>
  <c r="O41" i="8" s="1"/>
  <c r="O44" i="8" s="1"/>
  <c r="W56" i="8"/>
  <c r="W57" i="8" s="1"/>
  <c r="M94" i="8"/>
  <c r="G106" i="8"/>
  <c r="G114" i="8" s="1"/>
  <c r="M93" i="8"/>
  <c r="D31" i="5"/>
  <c r="D30" i="5"/>
  <c r="AA98" i="8" l="1"/>
  <c r="AA102" i="8" s="1"/>
  <c r="AA104" i="8" s="1"/>
  <c r="AA100" i="8"/>
  <c r="AA101" i="8" s="1"/>
  <c r="G94" i="8"/>
  <c r="G44" i="8"/>
  <c r="G120" i="8" s="1"/>
  <c r="S122" i="8"/>
  <c r="G122" i="8"/>
  <c r="K122" i="8" s="1"/>
  <c r="J100" i="7"/>
  <c r="J102" i="7" s="1"/>
  <c r="J104" i="7" s="1"/>
  <c r="AB91" i="7"/>
  <c r="X91" i="7"/>
  <c r="H90" i="7"/>
  <c r="H89" i="7"/>
  <c r="H88" i="7"/>
  <c r="P91" i="7"/>
  <c r="H86" i="7"/>
  <c r="H85" i="7"/>
  <c r="H84" i="7"/>
  <c r="T91" i="7"/>
  <c r="L91" i="7"/>
  <c r="H83" i="7"/>
  <c r="X71" i="7"/>
  <c r="Z71" i="7" s="1"/>
  <c r="X70" i="7"/>
  <c r="N71" i="7"/>
  <c r="X69" i="7"/>
  <c r="AB67" i="7"/>
  <c r="X67" i="7"/>
  <c r="L67" i="7"/>
  <c r="H66" i="7"/>
  <c r="H65" i="7"/>
  <c r="H64" i="7"/>
  <c r="H63" i="7"/>
  <c r="H62" i="7"/>
  <c r="H61" i="7"/>
  <c r="H60" i="7"/>
  <c r="T67" i="7"/>
  <c r="P67" i="7"/>
  <c r="H59" i="7"/>
  <c r="H55" i="7"/>
  <c r="E48" i="7"/>
  <c r="AB39" i="7"/>
  <c r="Z72" i="7" s="1"/>
  <c r="T39" i="7"/>
  <c r="P39" i="7"/>
  <c r="H39" i="7"/>
  <c r="E39" i="7"/>
  <c r="E40" i="7" s="1"/>
  <c r="AD35" i="7"/>
  <c r="AB36" i="7" s="1"/>
  <c r="AB37" i="7" s="1"/>
  <c r="AB38" i="7" s="1"/>
  <c r="AB40" i="7" s="1"/>
  <c r="AB35" i="7"/>
  <c r="Z35" i="7"/>
  <c r="X36" i="7" s="1"/>
  <c r="X37" i="7" s="1"/>
  <c r="X38" i="7" s="1"/>
  <c r="X40" i="7" s="1"/>
  <c r="X35" i="7"/>
  <c r="V35" i="7"/>
  <c r="T36" i="7" s="1"/>
  <c r="T37" i="7" s="1"/>
  <c r="T38" i="7" s="1"/>
  <c r="T35" i="7"/>
  <c r="R35" i="7"/>
  <c r="P36" i="7" s="1"/>
  <c r="P35" i="7"/>
  <c r="N35" i="7"/>
  <c r="L36" i="7" s="1"/>
  <c r="L35" i="7"/>
  <c r="J33" i="7"/>
  <c r="H33" i="7"/>
  <c r="J32" i="7"/>
  <c r="H32" i="7"/>
  <c r="E47" i="7" s="1"/>
  <c r="J31" i="7"/>
  <c r="H31" i="7"/>
  <c r="J30" i="7"/>
  <c r="H30" i="7"/>
  <c r="J29" i="7"/>
  <c r="H29" i="7"/>
  <c r="J28" i="7"/>
  <c r="H28" i="7"/>
  <c r="J27" i="7"/>
  <c r="H27" i="7"/>
  <c r="J26" i="7"/>
  <c r="H26" i="7"/>
  <c r="J25" i="7"/>
  <c r="H25" i="7"/>
  <c r="J24" i="7"/>
  <c r="J35" i="7" s="1"/>
  <c r="H36" i="7" s="1"/>
  <c r="H24" i="7"/>
  <c r="J23" i="7"/>
  <c r="H23" i="7"/>
  <c r="H22" i="7"/>
  <c r="J21" i="7"/>
  <c r="H21" i="7"/>
  <c r="J20" i="7"/>
  <c r="H20" i="7"/>
  <c r="J19" i="7"/>
  <c r="H19" i="7"/>
  <c r="J18" i="7"/>
  <c r="H18" i="7"/>
  <c r="J17" i="7"/>
  <c r="H17" i="7"/>
  <c r="J16" i="7"/>
  <c r="H16" i="7"/>
  <c r="J15" i="7"/>
  <c r="H15" i="7"/>
  <c r="J14" i="7"/>
  <c r="H14" i="7"/>
  <c r="J13" i="7"/>
  <c r="H13" i="7"/>
  <c r="J12" i="7"/>
  <c r="H12" i="7"/>
  <c r="J11" i="7"/>
  <c r="H11" i="7"/>
  <c r="N8" i="7"/>
  <c r="R8" i="7" s="1"/>
  <c r="V8" i="7" s="1"/>
  <c r="Z8" i="7" s="1"/>
  <c r="AD8" i="7" s="1"/>
  <c r="L8" i="7"/>
  <c r="P8" i="7" s="1"/>
  <c r="T8" i="7" s="1"/>
  <c r="X8" i="7" s="1"/>
  <c r="AB8" i="7" s="1"/>
  <c r="K120" i="8" l="1"/>
  <c r="K123" i="8" s="1"/>
  <c r="K125" i="8" s="1"/>
  <c r="G123" i="8"/>
  <c r="G125" i="8" s="1"/>
  <c r="P37" i="7"/>
  <c r="P38" i="7" s="1"/>
  <c r="P40" i="7" s="1"/>
  <c r="H98" i="7"/>
  <c r="L98" i="7" s="1"/>
  <c r="T40" i="7"/>
  <c r="H35" i="7"/>
  <c r="H37" i="7" s="1"/>
  <c r="H38" i="7" s="1"/>
  <c r="E50" i="7"/>
  <c r="L37" i="7"/>
  <c r="L38" i="7" s="1"/>
  <c r="Z73" i="7"/>
  <c r="H67" i="7"/>
  <c r="N70" i="7"/>
  <c r="Z76" i="7"/>
  <c r="H87" i="7"/>
  <c r="H91" i="7" s="1"/>
  <c r="H99" i="7" s="1"/>
  <c r="L99" i="7" s="1"/>
  <c r="T97" i="7"/>
  <c r="L39" i="7"/>
  <c r="H40" i="7" l="1"/>
  <c r="Z75" i="7"/>
  <c r="Z79" i="7" s="1"/>
  <c r="H71" i="7"/>
  <c r="L40" i="7"/>
  <c r="H97" i="7" s="1"/>
  <c r="L97" i="7" s="1"/>
  <c r="L100" i="7" s="1"/>
  <c r="L102" i="7" s="1"/>
  <c r="H76" i="7"/>
  <c r="T100" i="7"/>
  <c r="T99" i="7"/>
  <c r="H100" i="7" l="1"/>
  <c r="H102" i="7" s="1"/>
  <c r="L86" i="6" l="1"/>
  <c r="J84" i="6"/>
  <c r="J86" i="6" s="1"/>
  <c r="L83" i="6"/>
  <c r="N83" i="6" s="1"/>
  <c r="X78" i="6"/>
  <c r="X77" i="6"/>
  <c r="AB70" i="6"/>
  <c r="X70" i="6"/>
  <c r="T70" i="6"/>
  <c r="H69" i="6"/>
  <c r="H68" i="6"/>
  <c r="H67" i="6"/>
  <c r="H66" i="6"/>
  <c r="H65" i="6"/>
  <c r="H64" i="6"/>
  <c r="H63" i="6"/>
  <c r="P70" i="6"/>
  <c r="H62" i="6"/>
  <c r="AB59" i="6"/>
  <c r="AB60" i="6" s="1"/>
  <c r="H57" i="6"/>
  <c r="E49" i="6"/>
  <c r="AB39" i="6"/>
  <c r="Z80" i="6" s="1"/>
  <c r="T39" i="6"/>
  <c r="P39" i="6"/>
  <c r="E39" i="6"/>
  <c r="E40" i="6" s="1"/>
  <c r="AB36" i="6"/>
  <c r="AD35" i="6"/>
  <c r="AB35" i="6"/>
  <c r="Z35" i="6"/>
  <c r="X36" i="6" s="1"/>
  <c r="X37" i="6" s="1"/>
  <c r="X38" i="6" s="1"/>
  <c r="X40" i="6" s="1"/>
  <c r="X35" i="6"/>
  <c r="V35" i="6"/>
  <c r="T36" i="6" s="1"/>
  <c r="T35" i="6"/>
  <c r="R35" i="6"/>
  <c r="P36" i="6" s="1"/>
  <c r="P35" i="6"/>
  <c r="N35" i="6"/>
  <c r="L36" i="6" s="1"/>
  <c r="L37" i="6" s="1"/>
  <c r="L38" i="6" s="1"/>
  <c r="L35" i="6"/>
  <c r="J33" i="6"/>
  <c r="H33" i="6"/>
  <c r="J32" i="6"/>
  <c r="H32" i="6"/>
  <c r="E48" i="6" s="1"/>
  <c r="E51" i="6" s="1"/>
  <c r="J31" i="6"/>
  <c r="H31" i="6"/>
  <c r="J30" i="6"/>
  <c r="H30" i="6"/>
  <c r="J29" i="6"/>
  <c r="H29" i="6"/>
  <c r="J28" i="6"/>
  <c r="H28" i="6"/>
  <c r="J27" i="6"/>
  <c r="H27" i="6"/>
  <c r="J26" i="6"/>
  <c r="H26" i="6"/>
  <c r="J25" i="6"/>
  <c r="H25" i="6"/>
  <c r="J24" i="6"/>
  <c r="H24" i="6"/>
  <c r="J23" i="6"/>
  <c r="H23" i="6"/>
  <c r="H22" i="6"/>
  <c r="J21" i="6"/>
  <c r="H21" i="6"/>
  <c r="J20" i="6"/>
  <c r="H20" i="6"/>
  <c r="J19" i="6"/>
  <c r="H19" i="6"/>
  <c r="J18" i="6"/>
  <c r="H18" i="6"/>
  <c r="J17" i="6"/>
  <c r="H17" i="6"/>
  <c r="J16" i="6"/>
  <c r="H16" i="6"/>
  <c r="J15" i="6"/>
  <c r="H15" i="6"/>
  <c r="J14" i="6"/>
  <c r="H14" i="6"/>
  <c r="J13" i="6"/>
  <c r="H13" i="6"/>
  <c r="J12" i="6"/>
  <c r="H12" i="6"/>
  <c r="J11" i="6"/>
  <c r="H11" i="6"/>
  <c r="H35" i="6" s="1"/>
  <c r="N8" i="6"/>
  <c r="R8" i="6" s="1"/>
  <c r="V8" i="6" s="1"/>
  <c r="Z8" i="6" s="1"/>
  <c r="AD8" i="6" s="1"/>
  <c r="L8" i="6"/>
  <c r="P8" i="6" s="1"/>
  <c r="T8" i="6" s="1"/>
  <c r="X8" i="6" s="1"/>
  <c r="AB8" i="6" s="1"/>
  <c r="H81" i="6" l="1"/>
  <c r="N81" i="6" s="1"/>
  <c r="F60" i="4"/>
  <c r="J35" i="6"/>
  <c r="H36" i="6" s="1"/>
  <c r="T37" i="6"/>
  <c r="T38" i="6" s="1"/>
  <c r="T40" i="6" s="1"/>
  <c r="H39" i="6"/>
  <c r="F56" i="4" s="1"/>
  <c r="N86" i="6"/>
  <c r="X79" i="6"/>
  <c r="Z79" i="6" s="1"/>
  <c r="Z81" i="6" s="1"/>
  <c r="Z84" i="6"/>
  <c r="AB37" i="6"/>
  <c r="AB38" i="6" s="1"/>
  <c r="AB40" i="6" s="1"/>
  <c r="H70" i="6"/>
  <c r="L70" i="6"/>
  <c r="H82" i="6" s="1"/>
  <c r="N82" i="6" s="1"/>
  <c r="N74" i="6"/>
  <c r="H37" i="6"/>
  <c r="H38" i="6" s="1"/>
  <c r="P37" i="6"/>
  <c r="P38" i="6" s="1"/>
  <c r="L40" i="6"/>
  <c r="N73" i="6"/>
  <c r="L39" i="6"/>
  <c r="P40" i="6" l="1"/>
  <c r="H40" i="6"/>
  <c r="Z83" i="6" s="1"/>
  <c r="Z87" i="6" s="1"/>
  <c r="F51" i="4"/>
  <c r="H74" i="6"/>
  <c r="H80" i="6" l="1"/>
  <c r="D71" i="5"/>
  <c r="D7" i="5" s="1"/>
  <c r="F57" i="5"/>
  <c r="F58" i="5" s="1"/>
  <c r="A8" i="5"/>
  <c r="A9" i="5" s="1"/>
  <c r="A10" i="5" s="1"/>
  <c r="A11" i="5" s="1"/>
  <c r="A12" i="5" s="1"/>
  <c r="A13" i="5" s="1"/>
  <c r="A14" i="5" s="1"/>
  <c r="A15" i="5" s="1"/>
  <c r="A16" i="5" s="1"/>
  <c r="A17" i="5" s="1"/>
  <c r="A18" i="5" s="1"/>
  <c r="A19" i="5" s="1"/>
  <c r="A20" i="5" s="1"/>
  <c r="A21" i="5" s="1"/>
  <c r="A22" i="5" s="1"/>
  <c r="N80" i="6" l="1"/>
  <c r="N84" i="6" s="1"/>
  <c r="H84" i="6"/>
  <c r="H86" i="6" s="1"/>
  <c r="A23" i="5"/>
  <c r="A24" i="5" l="1"/>
  <c r="A25" i="5" l="1"/>
  <c r="A26" i="5" l="1"/>
  <c r="A27" i="5" s="1"/>
  <c r="A28" i="5" s="1"/>
  <c r="A29" i="5" s="1"/>
  <c r="A30" i="5" l="1"/>
  <c r="A31" i="5" l="1"/>
  <c r="A32" i="5" l="1"/>
  <c r="A33" i="5" l="1"/>
  <c r="A34" i="5" s="1"/>
  <c r="A35" i="5" s="1"/>
  <c r="A36" i="5" s="1"/>
  <c r="A37" i="5" s="1"/>
  <c r="A38" i="5" s="1"/>
  <c r="A39" i="5" s="1"/>
  <c r="A40" i="5" l="1"/>
  <c r="E46" i="5"/>
  <c r="A41" i="5" l="1"/>
  <c r="E47" i="5"/>
  <c r="A42" i="5" l="1"/>
  <c r="E48" i="5"/>
  <c r="A43" i="5" l="1"/>
  <c r="A44" i="5" s="1"/>
  <c r="A45" i="5" s="1"/>
  <c r="A46" i="5" s="1"/>
  <c r="E49" i="5"/>
  <c r="A47" i="5" l="1"/>
  <c r="A48" i="5" s="1"/>
  <c r="A49" i="5" s="1"/>
  <c r="A50" i="5" s="1"/>
  <c r="A51" i="5" s="1"/>
  <c r="A52" i="5" l="1"/>
  <c r="A53" i="5" s="1"/>
  <c r="A54" i="5" s="1"/>
  <c r="A55" i="5" s="1"/>
  <c r="E14" i="5"/>
  <c r="E51" i="5"/>
  <c r="A56" i="5" l="1"/>
  <c r="A57" i="5" s="1"/>
  <c r="A58" i="5" s="1"/>
  <c r="C57" i="5"/>
  <c r="C58" i="5"/>
  <c r="F17" i="2" l="1"/>
  <c r="F16" i="2"/>
  <c r="G60" i="4" l="1"/>
  <c r="B28" i="2" l="1"/>
  <c r="F57" i="4"/>
  <c r="E57" i="4"/>
  <c r="B44" i="2" s="1"/>
  <c r="G57" i="4" l="1"/>
  <c r="B30" i="1"/>
  <c r="B38" i="1" l="1"/>
  <c r="B26" i="1"/>
  <c r="B27" i="1"/>
  <c r="B39" i="1"/>
  <c r="B35" i="1"/>
  <c r="B31" i="1"/>
  <c r="B31" i="2"/>
  <c r="E28" i="2" s="1"/>
  <c r="B30" i="2"/>
  <c r="B29" i="2"/>
  <c r="B15" i="2"/>
  <c r="B13" i="2"/>
  <c r="F15" i="2" l="1"/>
  <c r="E88" i="4"/>
  <c r="B45" i="2" s="1"/>
  <c r="F21" i="4"/>
  <c r="F23" i="4" s="1"/>
  <c r="E21" i="4"/>
  <c r="E23" i="4" s="1"/>
  <c r="E13" i="2"/>
  <c r="F13" i="2" s="1"/>
  <c r="B42" i="2"/>
  <c r="B26" i="2"/>
  <c r="D30" i="1"/>
  <c r="E14" i="1" s="1"/>
  <c r="D41" i="5" s="1"/>
  <c r="C46" i="1"/>
  <c r="D46" i="1" s="1"/>
  <c r="E46" i="1" s="1"/>
  <c r="F46" i="1" s="1"/>
  <c r="G46" i="1" s="1"/>
  <c r="D26" i="1"/>
  <c r="E12" i="1" s="1"/>
  <c r="D39" i="5" s="1"/>
  <c r="B35" i="2"/>
  <c r="D34" i="1"/>
  <c r="E15" i="1" s="1"/>
  <c r="D40" i="5" s="1"/>
  <c r="C33" i="2" l="1"/>
  <c r="C32" i="2"/>
  <c r="C28" i="2"/>
  <c r="C31" i="2"/>
  <c r="D38" i="1"/>
  <c r="E13" i="1" s="1"/>
  <c r="D42" i="5" s="1"/>
  <c r="F88" i="4"/>
  <c r="G88" i="4" s="1"/>
  <c r="B51" i="2" l="1"/>
  <c r="C57" i="2" s="1"/>
  <c r="E35" i="4"/>
  <c r="B14" i="2"/>
  <c r="G112" i="4"/>
  <c r="G91" i="4"/>
  <c r="G109" i="4"/>
  <c r="E69" i="4"/>
  <c r="C48" i="2" l="1"/>
  <c r="C49" i="2"/>
  <c r="C44" i="2"/>
  <c r="E14" i="2"/>
  <c r="F14" i="2" s="1"/>
  <c r="B12" i="2"/>
  <c r="F32" i="4"/>
  <c r="F35" i="4" s="1"/>
  <c r="G94" i="4"/>
  <c r="G96" i="4" s="1"/>
  <c r="G98" i="4" s="1"/>
  <c r="G37" i="4" l="1"/>
  <c r="G40" i="4" s="1"/>
  <c r="F12" i="2"/>
  <c r="E19" i="2"/>
  <c r="B19" i="2"/>
  <c r="G116" i="4"/>
  <c r="G118" i="4" s="1"/>
  <c r="G120" i="4" s="1"/>
  <c r="C16" i="2" l="1"/>
  <c r="C17" i="2"/>
  <c r="C13" i="2"/>
  <c r="C15" i="2"/>
  <c r="C14" i="2"/>
  <c r="C12" i="2"/>
  <c r="F69" i="4"/>
  <c r="G69" i="4" s="1"/>
  <c r="G73" i="4" l="1"/>
  <c r="G75" i="4" s="1"/>
  <c r="G70" i="4"/>
  <c r="G71" i="4"/>
  <c r="F19" i="2"/>
  <c r="G17" i="2" l="1"/>
  <c r="G16" i="2"/>
  <c r="G15" i="2"/>
  <c r="G13" i="2"/>
  <c r="G12" i="2"/>
  <c r="G14" i="2"/>
  <c r="G19" i="2" l="1"/>
  <c r="C19" i="2"/>
  <c r="C12" i="1"/>
  <c r="F12" i="1" l="1"/>
  <c r="G12" i="1" s="1"/>
  <c r="D22" i="5"/>
  <c r="D46" i="5" s="1"/>
  <c r="F49" i="2" l="1"/>
  <c r="F48" i="2"/>
  <c r="F32" i="2" l="1"/>
  <c r="F31" i="2"/>
  <c r="F33" i="2"/>
  <c r="E51" i="2" l="1"/>
  <c r="F44" i="2"/>
  <c r="C47" i="2"/>
  <c r="F47" i="2" s="1"/>
  <c r="C46" i="2"/>
  <c r="F46" i="2" s="1"/>
  <c r="C45" i="2"/>
  <c r="F45" i="2" l="1"/>
  <c r="C13" i="1"/>
  <c r="D25" i="5" s="1"/>
  <c r="D49" i="5" s="1"/>
  <c r="F51" i="2"/>
  <c r="C51" i="2"/>
  <c r="F13" i="1" l="1"/>
  <c r="G13" i="1" s="1"/>
  <c r="G48" i="2"/>
  <c r="G49" i="2"/>
  <c r="G45" i="2"/>
  <c r="G47" i="2"/>
  <c r="G46" i="2"/>
  <c r="G44" i="2"/>
  <c r="G51" i="2" l="1"/>
  <c r="E35" i="2"/>
  <c r="F28" i="2"/>
  <c r="C29" i="2"/>
  <c r="C30" i="2"/>
  <c r="F30" i="2" s="1"/>
  <c r="C35" i="2" l="1"/>
  <c r="G58" i="2"/>
  <c r="F29" i="2"/>
  <c r="F35" i="2" s="1"/>
  <c r="G59" i="2" s="1"/>
  <c r="C15" i="1"/>
  <c r="G31" i="2" l="1"/>
  <c r="G28" i="2"/>
  <c r="G30" i="2"/>
  <c r="C14" i="1" s="1"/>
  <c r="D24" i="5" s="1"/>
  <c r="D48" i="5" s="1"/>
  <c r="G33" i="2"/>
  <c r="G29" i="2"/>
  <c r="G32" i="2"/>
  <c r="F15" i="1"/>
  <c r="G15" i="1" s="1"/>
  <c r="D23" i="5"/>
  <c r="D47" i="5" s="1"/>
  <c r="F14" i="1" l="1"/>
  <c r="F16" i="1" s="1"/>
  <c r="G16" i="1" s="1"/>
  <c r="G35" i="2"/>
  <c r="D51" i="5"/>
  <c r="D14" i="5" s="1"/>
  <c r="G14" i="1" l="1"/>
  <c r="G18" i="1"/>
  <c r="G20" i="1" s="1"/>
  <c r="G22" i="1" s="1"/>
</calcChain>
</file>

<file path=xl/comments1.xml><?xml version="1.0" encoding="utf-8"?>
<comments xmlns="http://schemas.openxmlformats.org/spreadsheetml/2006/main">
  <authors>
    <author>Lay, Nay Sok</author>
  </authors>
  <commentList>
    <comment ref="F56" authorId="0" shapeId="0">
      <text>
        <r>
          <rPr>
            <b/>
            <sz val="9"/>
            <color indexed="81"/>
            <rFont val="Tahoma"/>
            <family val="2"/>
          </rPr>
          <t>Lay, Nay Sok:</t>
        </r>
        <r>
          <rPr>
            <sz val="9"/>
            <color indexed="81"/>
            <rFont val="Tahoma"/>
            <family val="2"/>
          </rPr>
          <t xml:space="preserve">
Per Roger Montes and Dena Berkins 5-10-16.</t>
        </r>
      </text>
    </comment>
  </commentList>
</comments>
</file>

<file path=xl/comments2.xml><?xml version="1.0" encoding="utf-8"?>
<comments xmlns="http://schemas.openxmlformats.org/spreadsheetml/2006/main">
  <authors>
    <author>Lay, Nay Sok</author>
  </authors>
  <commentList>
    <comment ref="E78" authorId="0" shapeId="0">
      <text>
        <r>
          <rPr>
            <b/>
            <sz val="9"/>
            <color indexed="81"/>
            <rFont val="Tahoma"/>
            <family val="2"/>
          </rPr>
          <t>Lay, Nay Sok:</t>
        </r>
        <r>
          <rPr>
            <sz val="9"/>
            <color indexed="81"/>
            <rFont val="Tahoma"/>
            <family val="2"/>
          </rPr>
          <t xml:space="preserve">
Not Applicable 
</t>
        </r>
      </text>
    </comment>
    <comment ref="F86" authorId="0" shapeId="0">
      <text>
        <r>
          <rPr>
            <b/>
            <sz val="9"/>
            <color indexed="81"/>
            <rFont val="Tahoma"/>
            <family val="2"/>
          </rPr>
          <t>Lay, Nay Sok:</t>
        </r>
        <r>
          <rPr>
            <sz val="9"/>
            <color indexed="81"/>
            <rFont val="Tahoma"/>
            <family val="2"/>
          </rPr>
          <t xml:space="preserve">
Exclude NM $294,451,85</t>
        </r>
      </text>
    </comment>
  </commentList>
</comments>
</file>

<file path=xl/sharedStrings.xml><?xml version="1.0" encoding="utf-8"?>
<sst xmlns="http://schemas.openxmlformats.org/spreadsheetml/2006/main" count="1082" uniqueCount="452">
  <si>
    <t>Apportionment</t>
  </si>
  <si>
    <t>Gross</t>
  </si>
  <si>
    <t>Gross Receipts</t>
  </si>
  <si>
    <t>Adjusted</t>
  </si>
  <si>
    <t>Receipts</t>
  </si>
  <si>
    <t>Sales</t>
  </si>
  <si>
    <t>Factor</t>
  </si>
  <si>
    <t>California</t>
  </si>
  <si>
    <t>New Mexico</t>
  </si>
  <si>
    <t>Arizona</t>
  </si>
  <si>
    <t>D.C.</t>
  </si>
  <si>
    <t>Nevada</t>
  </si>
  <si>
    <t>Other</t>
  </si>
  <si>
    <t>Everywhere</t>
  </si>
  <si>
    <t>Wages</t>
  </si>
  <si>
    <t>Property</t>
  </si>
  <si>
    <t>Apportionment Factors</t>
  </si>
  <si>
    <t>Southern California Edison</t>
  </si>
  <si>
    <t>Effective State Tax Rates &amp; Composite Tax Rate</t>
  </si>
  <si>
    <t>REGULAR TAX</t>
  </si>
  <si>
    <t>Statutory</t>
  </si>
  <si>
    <t>Ratio of State</t>
  </si>
  <si>
    <t>Effective State</t>
  </si>
  <si>
    <t>Ratemaking</t>
  </si>
  <si>
    <t>State</t>
  </si>
  <si>
    <t>Tax Rate</t>
  </si>
  <si>
    <t>Income to CA</t>
  </si>
  <si>
    <t>Tax Rates</t>
  </si>
  <si>
    <t>Total States</t>
  </si>
  <si>
    <t>Federal Statutory Rate</t>
  </si>
  <si>
    <t>or</t>
  </si>
  <si>
    <t>California net income</t>
  </si>
  <si>
    <t>=</t>
  </si>
  <si>
    <t>Arizona net income</t>
  </si>
  <si>
    <t>New Mexico net income</t>
  </si>
  <si>
    <t>ALTERNATIVE MINIMUM TAX</t>
  </si>
  <si>
    <t>Alternative Minimum Tax Rate</t>
  </si>
  <si>
    <t>DC</t>
  </si>
  <si>
    <t>DC net income</t>
  </si>
  <si>
    <t>1.</t>
  </si>
  <si>
    <t>II.  Calculation of Arizona Apportionment Factor</t>
  </si>
  <si>
    <t>Value of real and tangible personal property (by averaging the value of owned property</t>
  </si>
  <si>
    <t>at the beginning and end of the tax period; rented property at capitalized value)</t>
  </si>
  <si>
    <t>Column A</t>
  </si>
  <si>
    <t>Column B</t>
  </si>
  <si>
    <t>Column C</t>
  </si>
  <si>
    <t>Total Within</t>
  </si>
  <si>
    <t>Total</t>
  </si>
  <si>
    <t>Ratio within</t>
  </si>
  <si>
    <t>A / B</t>
  </si>
  <si>
    <t>a.</t>
  </si>
  <si>
    <t>Inventories</t>
  </si>
  <si>
    <t>Depreciable assets - (do not include Construction in Progress)</t>
  </si>
  <si>
    <t>Land</t>
  </si>
  <si>
    <t>Other Assets - (describe)</t>
  </si>
  <si>
    <t>Less: Nonbusiness property (if included in above totals)</t>
  </si>
  <si>
    <t>Total of section a</t>
  </si>
  <si>
    <t>b.</t>
  </si>
  <si>
    <t>Rented property (capitalize at 8 times net rental paid)</t>
  </si>
  <si>
    <t>Owned property (at original cost):</t>
  </si>
  <si>
    <t>c.</t>
  </si>
  <si>
    <t>Total owned and rented property (section a total plus section b)</t>
  </si>
  <si>
    <t>Property Factor</t>
  </si>
  <si>
    <t>Payroll Factor</t>
  </si>
  <si>
    <t>Total Wages, salaries, commissions and other compensation to employees</t>
  </si>
  <si>
    <t>(per Federal Form 1120 or payroll reports)</t>
  </si>
  <si>
    <t>2.</t>
  </si>
  <si>
    <t>3.</t>
  </si>
  <si>
    <t>Sales Factor</t>
  </si>
  <si>
    <t>Sales delivered or shipped to Arizona purchasers</t>
  </si>
  <si>
    <t>Other gross receipts</t>
  </si>
  <si>
    <t>Total sales and other gross receipts</t>
  </si>
  <si>
    <t>d.</t>
  </si>
  <si>
    <t>e.</t>
  </si>
  <si>
    <t>Sales factor (for Column A - multiply item c by item d; for column B - enter the</t>
  </si>
  <si>
    <t>amount from item c)</t>
  </si>
  <si>
    <t>X 2  OR  X 8</t>
  </si>
  <si>
    <t>4.</t>
  </si>
  <si>
    <t>Total Ratio - add C1(c), C2, and C3(e), in Column C</t>
  </si>
  <si>
    <t>5.</t>
  </si>
  <si>
    <t>Inventory</t>
  </si>
  <si>
    <t>Buildings</t>
  </si>
  <si>
    <t>Furniture and fixtures</t>
  </si>
  <si>
    <t>Total property</t>
  </si>
  <si>
    <t>Payroll</t>
  </si>
  <si>
    <t>(i)  Shipped from outside California</t>
  </si>
  <si>
    <t>Sales shipped from California to:</t>
  </si>
  <si>
    <t>(i)  The United States Government</t>
  </si>
  <si>
    <t>(ii) Purchasers in a state where the taxpayer is not taxable.</t>
  </si>
  <si>
    <t>Other gross receipts (rents, royalties, interest, etc.)</t>
  </si>
  <si>
    <t>Total Percent. Add the percentages in column (c).</t>
  </si>
  <si>
    <t>II.  Calculation of California Apportionment Factor</t>
  </si>
  <si>
    <t>Average annual value of inventory</t>
  </si>
  <si>
    <t>Average annual value of real property</t>
  </si>
  <si>
    <t>Rented property (Annual rental value times 8)</t>
  </si>
  <si>
    <t>Total compensation of employees</t>
  </si>
  <si>
    <t>Gross receipts</t>
  </si>
  <si>
    <t>TOTAL FACTORS (Add lines 1, 2, and 3)</t>
  </si>
  <si>
    <r>
      <t>AVERAGE FACTOR</t>
    </r>
    <r>
      <rPr>
        <sz val="10"/>
        <rFont val="Arial"/>
        <family val="2"/>
      </rPr>
      <t xml:space="preserve"> (Divide line 4 by the number of factors computed above)</t>
    </r>
  </si>
  <si>
    <t>III.  Calculation of New Mexico Apportionment Factor</t>
  </si>
  <si>
    <t>IV.  Calculation of Washington, D.C. Apportionment Factor</t>
  </si>
  <si>
    <t>Washington, D.C.</t>
  </si>
  <si>
    <t>Average value of real estate and tangible personal property owned or rented to</t>
  </si>
  <si>
    <t>and used by the corporation.</t>
  </si>
  <si>
    <t>Total compensation paid or accrued by the corporation.</t>
  </si>
  <si>
    <t>All gross receipts of the corporation other than gross receipts from non-business</t>
  </si>
  <si>
    <t>SOUTHERN CALIFORNIA EDISON COMPANY</t>
  </si>
  <si>
    <t>A</t>
  </si>
  <si>
    <t>B</t>
  </si>
  <si>
    <t>C</t>
  </si>
  <si>
    <t>D = A x B x C</t>
  </si>
  <si>
    <t>E = D</t>
  </si>
  <si>
    <t>New Mexico Form CIT-1, Line 9 - New Mexico Net Taxable Income</t>
  </si>
  <si>
    <t>D.C. Tax Form D-20 SUB Corpration, Line 30 - Net Income</t>
  </si>
  <si>
    <t>Sch 26, Line 16</t>
  </si>
  <si>
    <t>Sch 26, Line 19</t>
  </si>
  <si>
    <t>Sch 26, Line 18</t>
  </si>
  <si>
    <t>Sch 26, Line 17</t>
  </si>
  <si>
    <t>Sch 26, Line 33</t>
  </si>
  <si>
    <t>Sch 26, Line 35</t>
  </si>
  <si>
    <t>Sch 26, Line 34</t>
  </si>
  <si>
    <t>Sch 26, Line 36</t>
  </si>
  <si>
    <r>
      <t>Weight Arizona sales - (</t>
    </r>
    <r>
      <rPr>
        <i/>
        <sz val="8"/>
        <rFont val="Arial"/>
        <family val="2"/>
      </rPr>
      <t>STANDARD</t>
    </r>
    <r>
      <rPr>
        <sz val="8"/>
        <rFont val="Arial"/>
        <family val="2"/>
      </rPr>
      <t xml:space="preserve"> uses X 2; </t>
    </r>
    <r>
      <rPr>
        <i/>
        <sz val="8"/>
        <rFont val="Arial"/>
        <family val="2"/>
      </rPr>
      <t>ENHANCED</t>
    </r>
    <r>
      <rPr>
        <sz val="8"/>
        <rFont val="Arial"/>
        <family val="2"/>
      </rPr>
      <t xml:space="preserve"> uses X 8)</t>
    </r>
  </si>
  <si>
    <t>Sales delivered or shipped to California purchasers:</t>
  </si>
  <si>
    <t xml:space="preserve">Single Sales Factor </t>
  </si>
  <si>
    <t>income (Weight Sales STANDARD uses X 2).</t>
  </si>
  <si>
    <t xml:space="preserve">DC </t>
  </si>
  <si>
    <t>Arizona Form 120, Line 5- Adjusted Business Income</t>
  </si>
  <si>
    <t xml:space="preserve">utilized for the apportionment determination. </t>
  </si>
  <si>
    <t>Machinery and equipment (including delivery equipment)</t>
  </si>
  <si>
    <t>Other tangible assets</t>
  </si>
  <si>
    <t>Rented property used in the business</t>
  </si>
  <si>
    <t>Total Property</t>
  </si>
  <si>
    <t>Total Payroll</t>
  </si>
  <si>
    <t>Total percent</t>
  </si>
  <si>
    <t>For 2012, standard apportionment factor was utilized for the</t>
  </si>
  <si>
    <t>apportionment determination (property, payroll, double-weighted</t>
  </si>
  <si>
    <t>sales).</t>
  </si>
  <si>
    <t>For 2012, property, payroll, and double-weighted sales factor were</t>
  </si>
  <si>
    <t>utilized for the apportionment determination.</t>
  </si>
  <si>
    <t>For 2012, property, payroll, and single-weighted sales factor were</t>
  </si>
  <si>
    <t>Federal Benefit of State Taxes</t>
  </si>
  <si>
    <t>Total for California</t>
  </si>
  <si>
    <t>Other States</t>
  </si>
  <si>
    <t xml:space="preserve">2012 Update:  </t>
  </si>
  <si>
    <t>Arizona provides the option of apportioning using a standard 3-factor formula with</t>
  </si>
  <si>
    <t>California provides the option of apportioning using a single sales factor with market</t>
  </si>
  <si>
    <t>sourcing or a standard 3-factor formula with double-weighting of the sales factor and</t>
  </si>
  <si>
    <t>cost of performance sourcing.  SCE made the single sales factor election for 2011</t>
  </si>
  <si>
    <t>double-weighting of the sales factor or an enhanced sales factor methodology which</t>
  </si>
  <si>
    <t>uses 3 factors, but weights the sales factor at 80%.  SCE used the standard</t>
  </si>
  <si>
    <t>For 2012, both California and Arizona had elective apportion methdologies.</t>
  </si>
  <si>
    <t>single sales factor with market sourcing will be mandatory.</t>
  </si>
  <si>
    <t>apportionment formula for both 2011 and 2012.</t>
  </si>
  <si>
    <t>sales factor.  However, it is included in the denominator sales factor for other states.</t>
  </si>
  <si>
    <t>California net income (line 18 of 100W)</t>
  </si>
  <si>
    <t>Calculation of Income Tax Rates</t>
  </si>
  <si>
    <t>1) Federal Income Tax rate</t>
  </si>
  <si>
    <t>Inputs are shaded yellow</t>
  </si>
  <si>
    <t>Federal</t>
  </si>
  <si>
    <t>Prior</t>
  </si>
  <si>
    <t>Income Tax</t>
  </si>
  <si>
    <t>Line</t>
  </si>
  <si>
    <t>Year</t>
  </si>
  <si>
    <t>Rate ("FITR")</t>
  </si>
  <si>
    <t>Source</t>
  </si>
  <si>
    <t>Note 1, c Column 2, see also Note 2</t>
  </si>
  <si>
    <t>2) Composite State Income Tax Rate</t>
  </si>
  <si>
    <t>Composite State</t>
  </si>
  <si>
    <t>Rate ("CSITR")</t>
  </si>
  <si>
    <t>for apportionment factors and state tax rates.</t>
  </si>
  <si>
    <t>Calculation of Composite State Income Tax Rate for the Prior Year:</t>
  </si>
  <si>
    <t>Factors ("AFs")</t>
  </si>
  <si>
    <t>1) Input most recent available Apportionment Factors.</t>
  </si>
  <si>
    <t>Tax Rate ("STR")</t>
  </si>
  <si>
    <t>2) Input STR for the Prior Year</t>
  </si>
  <si>
    <t>for each state.  See Notes 1 and 3.</t>
  </si>
  <si>
    <t>Ratio of SCE</t>
  </si>
  <si>
    <t>State Taxable</t>
  </si>
  <si>
    <t>Income to SCE</t>
  </si>
  <si>
    <t>Taxable Income</t>
  </si>
  <si>
    <t>3) Input most recent available ratios based on</t>
  </si>
  <si>
    <t xml:space="preserve">      taxable income from state return filings.</t>
  </si>
  <si>
    <t>Income Tax Rate =</t>
  </si>
  <si>
    <t>3) Capitalized Overhead portion of Electric Payroll Tax Expense</t>
  </si>
  <si>
    <t>Amount</t>
  </si>
  <si>
    <t>Capitalization Rate (Note 4)</t>
  </si>
  <si>
    <t>Notes:</t>
  </si>
  <si>
    <t>1) In the event that statutory marginal tax rates change during the Prior Year, the effective tax rate used in</t>
  </si>
  <si>
    <t xml:space="preserve">the formula shall be weighted by the number of days each such rate was in effect.  For example, a 35% rate </t>
  </si>
  <si>
    <t xml:space="preserve">in effect for 120 days superseded by a 40% rate in effect for the remainder of the year will be calculated as: </t>
  </si>
  <si>
    <t xml:space="preserve"> ((.3500 x 120) + (.4000 x 245))/365 = .3836.</t>
  </si>
  <si>
    <t>Calculation of FITR for Prior Year:</t>
  </si>
  <si>
    <t>(Col 1)</t>
  </si>
  <si>
    <t>(Col 2)</t>
  </si>
  <si>
    <t>FITR</t>
  </si>
  <si>
    <t>Days</t>
  </si>
  <si>
    <t>Note</t>
  </si>
  <si>
    <t>a</t>
  </si>
  <si>
    <t>Input FITR in effect for first part of year and number of days</t>
  </si>
  <si>
    <t>b</t>
  </si>
  <si>
    <t>Input FITR in effect for second part of year and number of days</t>
  </si>
  <si>
    <t>c</t>
  </si>
  <si>
    <t>FITR:</t>
  </si>
  <si>
    <t>= ((Line a, C1)*(Line a, C2)+ (Line b, C1)*(Line b, C2))/365</t>
  </si>
  <si>
    <t>2) Federal Source Statute:</t>
  </si>
  <si>
    <t>Internal Revenue Code Section 11(b)(1)(D)</t>
  </si>
  <si>
    <t>3) State Source Statues (Enter Reference to each State Marginal Tax Rate Statute below):</t>
  </si>
  <si>
    <t>a) California:</t>
  </si>
  <si>
    <t>b) New Mexico</t>
  </si>
  <si>
    <t>c) Arizona</t>
  </si>
  <si>
    <t>d) District of Columbia</t>
  </si>
  <si>
    <t>4) Capitalization Rate approved in:</t>
  </si>
  <si>
    <t>For the following Prior Years:</t>
  </si>
  <si>
    <t>for the applicable Prior Year</t>
  </si>
  <si>
    <t xml:space="preserve">SOUTHERN CALIFORNIA EDISON COMPANY </t>
  </si>
  <si>
    <t>SCE - Confidential</t>
  </si>
  <si>
    <t xml:space="preserve">Apportionment Summary </t>
  </si>
  <si>
    <t>For the Year Ended December 31, 2013</t>
  </si>
  <si>
    <t>C1</t>
  </si>
  <si>
    <t xml:space="preserve">(Excluding Mohave) </t>
  </si>
  <si>
    <t>T O T A L        E V E R Y W H E R E</t>
  </si>
  <si>
    <t>C A L I F O R N I A</t>
  </si>
  <si>
    <t>N E W    M E X I C O</t>
  </si>
  <si>
    <t>A R I Z O N A</t>
  </si>
  <si>
    <t>N E V A D A</t>
  </si>
  <si>
    <t>OTHER</t>
  </si>
  <si>
    <t>C2</t>
  </si>
  <si>
    <t xml:space="preserve">  Account  </t>
  </si>
  <si>
    <t>SAP Acct,</t>
  </si>
  <si>
    <t>Description</t>
  </si>
  <si>
    <t>2013</t>
  </si>
  <si>
    <t>2012</t>
  </si>
  <si>
    <t>Property Factor:</t>
  </si>
  <si>
    <t>101</t>
  </si>
  <si>
    <t xml:space="preserve"> Electric Plant In Service </t>
  </si>
  <si>
    <t>SCE</t>
  </si>
  <si>
    <t>103</t>
  </si>
  <si>
    <t>Electric Plant Unclassified - Experimental</t>
  </si>
  <si>
    <t>Electric Plant Held for Future Use</t>
  </si>
  <si>
    <t>106</t>
  </si>
  <si>
    <t>Completed Construction - Not Classified</t>
  </si>
  <si>
    <t>118</t>
  </si>
  <si>
    <t xml:space="preserve">Other Utility Plant </t>
  </si>
  <si>
    <t>121</t>
  </si>
  <si>
    <t xml:space="preserve">Non-Utility Property </t>
  </si>
  <si>
    <t>151-163</t>
  </si>
  <si>
    <r>
      <t xml:space="preserve">Materials And Supplies </t>
    </r>
    <r>
      <rPr>
        <b/>
        <sz val="10"/>
        <rFont val="Arial MT"/>
      </rPr>
      <t>(see note)</t>
    </r>
  </si>
  <si>
    <t>301-303</t>
  </si>
  <si>
    <r>
      <t xml:space="preserve">Intangible Plant - Electric </t>
    </r>
    <r>
      <rPr>
        <b/>
        <sz val="10"/>
        <rFont val="Arial MT"/>
      </rPr>
      <t>(see note)</t>
    </r>
  </si>
  <si>
    <t>303</t>
  </si>
  <si>
    <t>Intangible Plant - Other Utility</t>
  </si>
  <si>
    <t>120.101</t>
  </si>
  <si>
    <t>1216010</t>
  </si>
  <si>
    <t>Nuclear Fuel in Process - Uran - SONGS</t>
  </si>
  <si>
    <t>1216011</t>
  </si>
  <si>
    <t>Nuclear Fuel Inventory</t>
  </si>
  <si>
    <t>1216012</t>
  </si>
  <si>
    <t>NF Pre-Reactor Contr</t>
  </si>
  <si>
    <t>120.102</t>
  </si>
  <si>
    <t>1216015</t>
  </si>
  <si>
    <t>Nuclear Fuel in Process - Conv - SONGS</t>
  </si>
  <si>
    <t>1216019</t>
  </si>
  <si>
    <t>Nuclear Fuel</t>
  </si>
  <si>
    <t>120.103</t>
  </si>
  <si>
    <t>1216020</t>
  </si>
  <si>
    <t>Nuclear Fuel in Process - Enrich - SONGS</t>
  </si>
  <si>
    <t>120.110</t>
  </si>
  <si>
    <t>1216025</t>
  </si>
  <si>
    <t>Nuclear Fuel in Process - Refin/Conv - PV</t>
  </si>
  <si>
    <t>120.202</t>
  </si>
  <si>
    <t>Comp Nuc Fuel Assbly - SONGS 2</t>
  </si>
  <si>
    <t>120.203</t>
  </si>
  <si>
    <t>1217015</t>
  </si>
  <si>
    <t>Comp Nuc Fuel Assbly - SONGS 3</t>
  </si>
  <si>
    <t>120.210</t>
  </si>
  <si>
    <t>1217020</t>
  </si>
  <si>
    <t>Comp Nuc Fuel Assbly - PV 1</t>
  </si>
  <si>
    <t>120.220</t>
  </si>
  <si>
    <t>Comp Nuc Fuel Assbly - PV 2</t>
  </si>
  <si>
    <t>120.230</t>
  </si>
  <si>
    <t>1217030</t>
  </si>
  <si>
    <t>Comp Nuc Fuel Assbly - PV 3</t>
  </si>
  <si>
    <t>SHT 3-4b</t>
  </si>
  <si>
    <t>1216031</t>
  </si>
  <si>
    <t>Nuclear Fuel In Reactor</t>
  </si>
  <si>
    <t>C4</t>
  </si>
  <si>
    <t>EMS inventory</t>
  </si>
  <si>
    <t>EMS</t>
  </si>
  <si>
    <t>C3</t>
  </si>
  <si>
    <t xml:space="preserve">    426.400-Washington (DC)</t>
  </si>
  <si>
    <t>C6</t>
  </si>
  <si>
    <t>(X)</t>
  </si>
  <si>
    <t xml:space="preserve">    931.100-Washington (DC)</t>
  </si>
  <si>
    <t xml:space="preserve">   { Partic Sh-Palo Verde (AZ)</t>
  </si>
  <si>
    <t>B6</t>
  </si>
  <si>
    <t xml:space="preserve">   { Partic Sh-Four Crnrs (NM)</t>
  </si>
  <si>
    <t>B5</t>
  </si>
  <si>
    <t>Cap'd Rents-</t>
  </si>
  <si>
    <t xml:space="preserve">    Form 1120, line 16 (CA)</t>
  </si>
  <si>
    <t>C5</t>
  </si>
  <si>
    <t>open</t>
  </si>
  <si>
    <t>(123,406,177 x 8) =</t>
  </si>
  <si>
    <t>(601,383 x 8) =</t>
  </si>
  <si>
    <t xml:space="preserve"> </t>
  </si>
  <si>
    <t>(697,728 x 8) =</t>
  </si>
  <si>
    <t>Palo Verde</t>
  </si>
  <si>
    <t>(13,451+24,981) x 8=</t>
  </si>
  <si>
    <t>Washington DC</t>
  </si>
  <si>
    <t>TOTAL PROPERTY</t>
  </si>
  <si>
    <t>x 8</t>
  </si>
  <si>
    <t>Reconciliation:</t>
  </si>
  <si>
    <t>Sch. I Total</t>
  </si>
  <si>
    <t>Less: Mohave</t>
  </si>
  <si>
    <t>Less: Book Basis of Nuclear Fuel in Reactor</t>
  </si>
  <si>
    <t>Less: Book Basis of Nuclear Fuel Inventory Contra</t>
  </si>
  <si>
    <t>Add: Tax Basis of Nuclear Fuel in Reactor</t>
  </si>
  <si>
    <t>Add: EMS Inventory</t>
  </si>
  <si>
    <t>Rounding</t>
  </si>
  <si>
    <t>Total Property per Apportionment Sch</t>
  </si>
  <si>
    <t>Note1: Mountainview LLC was dissolved and merged into SCE in 7/1/2009.  2009 tax year is the last year for a Mountainview federal proforma tax return.</t>
  </si>
  <si>
    <t xml:space="preserve">Note 2:  New in 2010 - An EMS 1120 proforma was prepared due to more book/tax differences.   The amount of EMS sales less I/C sales to SCE is included in the sales apportionment wps.  In prior years, EMS sales rolled up into SCE's income in equity subs. </t>
  </si>
  <si>
    <t>WAGE FACTOR  (SCE ONLY)</t>
  </si>
  <si>
    <t>B1</t>
  </si>
  <si>
    <t>Gross Receipts Factor</t>
  </si>
  <si>
    <t>D.C. Wages</t>
  </si>
  <si>
    <t>-</t>
  </si>
  <si>
    <t>D</t>
  </si>
  <si>
    <t>Dividends</t>
  </si>
  <si>
    <t>Interest (for CA apportionment only, see Note below)</t>
  </si>
  <si>
    <t>Royalties</t>
  </si>
  <si>
    <t>Capital Gain - gross proceed</t>
  </si>
  <si>
    <t>F/A disposal - gross proceed</t>
  </si>
  <si>
    <t>Other Income</t>
  </si>
  <si>
    <t xml:space="preserve">TOTAL GROSS RECEIPTS </t>
  </si>
  <si>
    <t xml:space="preserve">Add:  Treasury Function </t>
  </si>
  <si>
    <t>D4</t>
  </si>
  <si>
    <t>Add:  Overcollected Balancing Accounts</t>
  </si>
  <si>
    <t xml:space="preserve">Everywhere Gross Receipts before Bal Acct adj = </t>
  </si>
  <si>
    <t>TOTAL GROSS RECEIPTS (for non-CA purposes)</t>
  </si>
  <si>
    <t xml:space="preserve">CA Gross Receipts before Bal Account adj = </t>
  </si>
  <si>
    <t>CA Factor using Compact Method for 2013 based on cost of performance (see note A):</t>
  </si>
  <si>
    <t>As filed</t>
  </si>
  <si>
    <t>DC Factor:</t>
  </si>
  <si>
    <t>2013 DC Property</t>
  </si>
  <si>
    <t>2011</t>
  </si>
  <si>
    <t>Difference</t>
  </si>
  <si>
    <t>2012 DC Property</t>
  </si>
  <si>
    <t>Factors:</t>
  </si>
  <si>
    <t>Average DC Property</t>
  </si>
  <si>
    <t>Property:</t>
  </si>
  <si>
    <t>Capitalized Rents</t>
  </si>
  <si>
    <t>Payroll:</t>
  </si>
  <si>
    <t>Sales:</t>
  </si>
  <si>
    <t>/3</t>
  </si>
  <si>
    <t>/4</t>
  </si>
  <si>
    <t>3 factor</t>
  </si>
  <si>
    <t>double weighted sales</t>
  </si>
  <si>
    <t>DC apportionment</t>
  </si>
  <si>
    <t>See Note B</t>
  </si>
  <si>
    <t>CA Factor using single sales factor based on market based sourcing (see Note A):</t>
  </si>
  <si>
    <r>
      <rPr>
        <b/>
        <i/>
        <sz val="10"/>
        <rFont val="Arial"/>
        <family val="2"/>
      </rPr>
      <t>Note A:</t>
    </r>
    <r>
      <rPr>
        <sz val="10"/>
        <rFont val="Arial"/>
        <family val="2"/>
      </rPr>
      <t xml:space="preserve"> CA Sales factor election - For tax years beginning on or after January 1, 2011,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However, for analysis purposes and due to the pending </t>
    </r>
    <r>
      <rPr>
        <i/>
        <sz val="10"/>
        <rFont val="Arial"/>
        <family val="2"/>
      </rPr>
      <t xml:space="preserve">Gillette </t>
    </r>
    <r>
      <rPr>
        <sz val="10"/>
        <rFont val="Arial"/>
        <family val="2"/>
      </rPr>
      <t>case, we will compute the apportionment percentage using the "Compact" method which is a three-factor method with a single-weighted sales factor. The sales factor uses a cost-of-performance sourcing for sales other than sales of tangible personal property.</t>
    </r>
  </si>
  <si>
    <r>
      <rPr>
        <b/>
        <i/>
        <sz val="10"/>
        <rFont val="Arial"/>
        <family val="2"/>
      </rPr>
      <t>Note B:</t>
    </r>
    <r>
      <rPr>
        <sz val="10"/>
        <rFont val="Arial"/>
        <family val="2"/>
      </rPr>
      <t xml:space="preserve"> Effective for tax years beginning after December 31, 2010, all business income shall be apportioned to D.C. using a double weighted sales factor.</t>
    </r>
  </si>
  <si>
    <t xml:space="preserve">[2] Adjustments have been made to reflect exclusion of balancing account adjustments and treasury interest from the CA </t>
  </si>
  <si>
    <r>
      <t>Adjustments</t>
    </r>
    <r>
      <rPr>
        <sz val="10"/>
        <color rgb="FFFF0000"/>
        <rFont val="Arial"/>
        <family val="2"/>
      </rPr>
      <t xml:space="preserve"> [3]</t>
    </r>
  </si>
  <si>
    <r>
      <t xml:space="preserve">and used 3-factor apportionment factor for 2012.  </t>
    </r>
    <r>
      <rPr>
        <b/>
        <i/>
        <sz val="10"/>
        <color rgb="FFFF0000"/>
        <rFont val="Arial"/>
        <family val="2"/>
      </rPr>
      <t>Commencing in 2013, use of the</t>
    </r>
  </si>
  <si>
    <t>Gross Receipts Factor (Market Sourcing)</t>
  </si>
  <si>
    <t xml:space="preserve">EV Gross Receipts before Bal Acct adj = </t>
  </si>
  <si>
    <t>CA Gross Receipts Factor (Cost of Performance Sourcing)</t>
  </si>
  <si>
    <t>Overcollected Balancing Accounts</t>
  </si>
  <si>
    <t>Total Electric Payroll Tax Expense (From 1-BaseTRR, Line 30)</t>
  </si>
  <si>
    <t xml:space="preserve">Other </t>
  </si>
  <si>
    <r>
      <t xml:space="preserve">Adjustments </t>
    </r>
    <r>
      <rPr>
        <sz val="10"/>
        <color rgb="FFFF0000"/>
        <rFont val="Arial"/>
        <family val="2"/>
      </rPr>
      <t>[3]</t>
    </r>
  </si>
  <si>
    <t>[1]</t>
  </si>
  <si>
    <t>For the Year Ended December 31, 2014</t>
  </si>
  <si>
    <t>PROPERTY FACTOR</t>
  </si>
  <si>
    <t>OTHER (WASHINGTON, DC)</t>
  </si>
  <si>
    <t>2014</t>
  </si>
  <si>
    <t>/C2</t>
  </si>
  <si>
    <t>/C4</t>
  </si>
  <si>
    <t>/C3</t>
  </si>
  <si>
    <t>Total Ending Property Owned</t>
  </si>
  <si>
    <t>Total Beginning Property Owned</t>
  </si>
  <si>
    <t>Sum of Ending and Beginning Property Owned</t>
  </si>
  <si>
    <t>Divided by</t>
  </si>
  <si>
    <t>Average Property Owned</t>
  </si>
  <si>
    <t>/1</t>
  </si>
  <si>
    <t>/2</t>
  </si>
  <si>
    <t>/5</t>
  </si>
  <si>
    <t>/6</t>
  </si>
  <si>
    <t>Total Property Factor</t>
  </si>
  <si>
    <t>RECONCILIATION OF ENDING OWNED PROPERTY</t>
  </si>
  <si>
    <t>Sch I Total</t>
  </si>
  <si>
    <t>Less: Book Basis of NF Inventory Contra</t>
  </si>
  <si>
    <t>Total Everywhere Owned Property</t>
  </si>
  <si>
    <t>Total from Above</t>
  </si>
  <si>
    <t>difference</t>
  </si>
  <si>
    <t>CAPITALIZED RENTS</t>
  </si>
  <si>
    <t>426.400-Washington (DC)</t>
  </si>
  <si>
    <t>/C6</t>
  </si>
  <si>
    <t>931.100-Washington (DC)</t>
  </si>
  <si>
    <t>Participation Share-Palo Verde (AZ)</t>
  </si>
  <si>
    <t>/B5</t>
  </si>
  <si>
    <t>Participation Share - Four Corners (NM) - Disposed 12/31/2013</t>
  </si>
  <si>
    <t>Form 1120, line 16 (CA)</t>
  </si>
  <si>
    <t>/C5</t>
  </si>
  <si>
    <t>Total Rent Expense</t>
  </si>
  <si>
    <t>Capitalization Factor</t>
  </si>
  <si>
    <t>1/</t>
  </si>
  <si>
    <t>2/</t>
  </si>
  <si>
    <t>3/</t>
  </si>
  <si>
    <t>4/</t>
  </si>
  <si>
    <t>5/</t>
  </si>
  <si>
    <t>6/</t>
  </si>
  <si>
    <t>PAYROLL FACTOR (SCE ONLY)</t>
  </si>
  <si>
    <t>/B1</t>
  </si>
  <si>
    <t>SALES FACTOR</t>
  </si>
  <si>
    <t>D1</t>
  </si>
  <si>
    <t>2014 DC Property</t>
  </si>
  <si>
    <t>D8</t>
  </si>
  <si>
    <t>Divided By</t>
  </si>
  <si>
    <t>CA Gross Receipts Factor (Cost of Performance Sourcing)  - NOT USED FOR 2014 APPORTIONMENT CALCULATION</t>
  </si>
  <si>
    <t>CA Factor using Compact Method for 2013 based on cost of performance (see note A): - NOT USED FOR 2014 APPORTIONMENT CALCULATION</t>
  </si>
  <si>
    <r>
      <rPr>
        <b/>
        <i/>
        <sz val="10"/>
        <rFont val="Arial"/>
        <family val="2"/>
      </rPr>
      <t>Note A:</t>
    </r>
    <r>
      <rPr>
        <sz val="10"/>
        <rFont val="Arial"/>
        <family val="2"/>
      </rPr>
      <t xml:space="preserve"> CA Sales factor election - For tax years beginning on or after January 1, 2011, and before 2013, any apportioning trade or business may make an annual irrevocable election to apportion its business income using a single sales factor.  If no election is made, the trade or business would continue to apportion business income under the standard four factor property, payroll, and sales (double-weighted) apportionment formula.  Taxpayers making the single sales factor election must use a "market-based" methodology, while taxpayers using the standard double-weighted sales formula must use the historical "cost of performance" method.  
Beginning in 2013, most taxpayers are required to use the single sales factor apportionment forumula.  Businesses involved in qualified activities (a.g. agricultural, extractive, savings &amp; loans, and banks and financial) are required to use an equally-weighted apportionemnt formula.  </t>
    </r>
  </si>
  <si>
    <r>
      <rPr>
        <b/>
        <i/>
        <sz val="10"/>
        <rFont val="Arial"/>
        <family val="2"/>
      </rPr>
      <t>Note B:</t>
    </r>
    <r>
      <rPr>
        <sz val="10"/>
        <rFont val="Arial"/>
        <family val="2"/>
      </rPr>
      <t xml:space="preserve"> Effective for tax years beginning after December 31, 2010 and before January 1, 2015, D.C. requires double-weighted sales factor apportionment.  For tax years beginning on or after January 1, 2015, D.C. requires use of single-sales-factor apportionment.</t>
    </r>
  </si>
  <si>
    <t>Source:  Esther Soo-Ho0 via email 9-14-15</t>
  </si>
  <si>
    <t>State Tax Apportionment based on 2014 Tax Return</t>
  </si>
  <si>
    <t>2014 TR</t>
  </si>
  <si>
    <r>
      <t xml:space="preserve">Adjustiment </t>
    </r>
    <r>
      <rPr>
        <sz val="10"/>
        <color rgb="FFFF0000"/>
        <rFont val="Arial"/>
        <family val="2"/>
      </rPr>
      <t>[2]</t>
    </r>
  </si>
  <si>
    <t xml:space="preserve">[3] For SCE 2014 CA tax return, SCE is using a single sales factor.  However, for purpose of computing the non-CA state </t>
  </si>
  <si>
    <t>Enhances</t>
  </si>
  <si>
    <t>Total Sales</t>
  </si>
  <si>
    <r>
      <rPr>
        <b/>
        <sz val="10"/>
        <rFont val="Arial"/>
        <family val="2"/>
      </rPr>
      <t>Apportionment percentage.</t>
    </r>
    <r>
      <rPr>
        <sz val="10"/>
        <rFont val="Arial"/>
        <family val="2"/>
      </rPr>
      <t xml:space="preserve">  Single Sales Factor</t>
    </r>
  </si>
  <si>
    <r>
      <t xml:space="preserve">Average apportionment ratio </t>
    </r>
    <r>
      <rPr>
        <sz val="8"/>
        <rFont val="Arial"/>
        <family val="2"/>
      </rPr>
      <t xml:space="preserve">- </t>
    </r>
  </si>
  <si>
    <t>apportionment factor under the "market sourcing" method, this adjustment is required to get to the right denominator amount.</t>
  </si>
  <si>
    <t>D.C. **</t>
  </si>
  <si>
    <t>based on 2014 State Apportionment (SCE standalone)</t>
  </si>
  <si>
    <t>DC Code Ann. §47-1810.02(d-2)</t>
  </si>
  <si>
    <t>New Mexico Statutes, ¶12,300 Rates in general</t>
  </si>
  <si>
    <t>California Form 100W, Line 17 - Net Income After State Apportionment</t>
  </si>
  <si>
    <t>(Enhances 5 percent for property and payroll and 90% for sales)</t>
  </si>
  <si>
    <r>
      <t>DC APPORTIONMENT FACTOR</t>
    </r>
    <r>
      <rPr>
        <sz val="10"/>
        <rFont val="Arial"/>
        <family val="2"/>
      </rPr>
      <t xml:space="preserve"> (Single sales factor starting 1/1/2015 under D.C. Code Ann §47-1810.02(d-2))</t>
    </r>
  </si>
  <si>
    <t>Tax Apportionment Detail Worksheet By State based on 2014 Tax Return (modify/exclude New Mexico for TO11/2015 FERC Formula Rate purposes)</t>
  </si>
  <si>
    <t>Arizona - Enhances 2015 TO11</t>
  </si>
  <si>
    <t xml:space="preserve">[1] Total property everywhere (i.e. denominator) does not tie to SCE standalone 2014 state apportionment because New Mexico </t>
  </si>
  <si>
    <t>is excluded here since Four Corner was sold in Dec 2013.  For 2015 FERC Formula Rate TO11 purposes, New Mexico is excluded $294,451,815.</t>
  </si>
  <si>
    <t>** For tax years beginning after December 31, 2014, only the sales factor is used in apportioning business income to DC.</t>
  </si>
  <si>
    <t>Total Composite Tax Rate - 2015</t>
  </si>
  <si>
    <t>CPUC D. 15-11-021</t>
  </si>
  <si>
    <t>2015-2017</t>
  </si>
  <si>
    <t>California Rev. &amp; Tax. Cd. Section 23151(e)</t>
  </si>
  <si>
    <t>Arizona Rev. Stat.Ann. Statute, Title 43, Part 43.1139(A)(5)</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</si>
</sst>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1" formatCode="_(* #,##0_);_(* \(#,##0\);_(* &quot;-&quot;_);_(@_)"/>
    <numFmt numFmtId="44" formatCode="_(&quot;$&quot;* #,##0.00_);_(&quot;$&quot;* \(#,##0.00\);_(&quot;$&quot;* &quot;-&quot;??_);_(@_)"/>
    <numFmt numFmtId="43" formatCode="_(* #,##0.00_);_(* \(#,##0.00\);_(* &quot;-&quot;??_);_(@_)"/>
    <numFmt numFmtId="164" formatCode="0.0000%"/>
    <numFmt numFmtId="165" formatCode="0_);\(0\)"/>
    <numFmt numFmtId="166" formatCode="_(* #,##0.000000_);_(* \(#,##0.000000\);_(* &quot;-&quot;??_);_(@_)"/>
    <numFmt numFmtId="167" formatCode="#,##0.0_);\(#,##0.0\)"/>
    <numFmt numFmtId="168" formatCode="0.000%"/>
    <numFmt numFmtId="169" formatCode="_(* #,##0_);_(* \(#,##0\);_(* &quot;-&quot;??_);_(@_)"/>
    <numFmt numFmtId="170" formatCode="_(* #,##0.000000000_);_(* \(#,##0.000000000\);_(* &quot;-&quot;?????????_);_(@_)"/>
    <numFmt numFmtId="171" formatCode="_(* #,##0.0000000_);_(* \(#,##0.0000000\);_(* &quot;-&quot;???????_);_(@_)"/>
    <numFmt numFmtId="172" formatCode="#,##0.000000_);\(#,##0.000000\)"/>
    <numFmt numFmtId="173" formatCode="_(* #,##0.00000_);_(* \(#,##0.00000\);_(* &quot;-&quot;?????_);_(@_)"/>
    <numFmt numFmtId="174" formatCode="#,##0.000000"/>
    <numFmt numFmtId="175" formatCode="&quot;$&quot;#,##0"/>
    <numFmt numFmtId="176" formatCode="0.0%"/>
    <numFmt numFmtId="177" formatCode="_-* #,##0.00\ _D_M_-;\-* #,##0.00\ _D_M_-;_-* &quot;-&quot;??\ _D_M_-;_-@_-"/>
    <numFmt numFmtId="178" formatCode="0.000000%"/>
  </numFmts>
  <fonts count="68">
    <font>
      <sz val="10"/>
      <name val="Arial"/>
    </font>
    <font>
      <sz val="10"/>
      <color theme="1"/>
      <name val="Arial"/>
      <family val="2"/>
    </font>
    <font>
      <sz val="10"/>
      <name val="Arial"/>
      <family val="2"/>
    </font>
    <font>
      <b/>
      <u/>
      <sz val="10"/>
      <name val="Arial"/>
      <family val="2"/>
    </font>
    <font>
      <sz val="10"/>
      <name val="Arial"/>
      <family val="2"/>
    </font>
    <font>
      <b/>
      <sz val="10"/>
      <name val="Arial"/>
      <family val="2"/>
    </font>
    <font>
      <sz val="9"/>
      <name val="Arial"/>
      <family val="2"/>
    </font>
    <font>
      <u/>
      <sz val="9"/>
      <name val="Arial"/>
      <family val="2"/>
    </font>
    <font>
      <b/>
      <sz val="9"/>
      <name val="Arial"/>
      <family val="2"/>
    </font>
    <font>
      <sz val="8"/>
      <name val="Arial"/>
      <family val="2"/>
    </font>
    <font>
      <b/>
      <sz val="8"/>
      <color rgb="FFFF0000"/>
      <name val="Arial"/>
      <family val="2"/>
    </font>
    <font>
      <b/>
      <sz val="8"/>
      <name val="Arial"/>
      <family val="2"/>
    </font>
    <font>
      <i/>
      <sz val="8"/>
      <name val="Arial"/>
      <family val="2"/>
    </font>
    <font>
      <i/>
      <sz val="10"/>
      <name val="Arial"/>
      <family val="2"/>
    </font>
    <font>
      <b/>
      <sz val="9"/>
      <color rgb="FFFF0000"/>
      <name val="Arial"/>
      <family val="2"/>
    </font>
    <font>
      <b/>
      <i/>
      <sz val="10"/>
      <name val="Arial"/>
      <family val="2"/>
    </font>
    <font>
      <b/>
      <u val="singleAccounting"/>
      <sz val="10"/>
      <name val="Arial"/>
      <family val="2"/>
    </font>
    <font>
      <sz val="10"/>
      <color rgb="FFFF0000"/>
      <name val="Arial"/>
      <family val="2"/>
    </font>
    <font>
      <u/>
      <sz val="10"/>
      <name val="Arial"/>
      <family val="2"/>
    </font>
    <font>
      <u/>
      <sz val="10"/>
      <color theme="1"/>
      <name val="Arial"/>
      <family val="2"/>
    </font>
    <font>
      <sz val="11"/>
      <color indexed="8"/>
      <name val="Calibri"/>
      <family val="2"/>
    </font>
    <font>
      <sz val="11"/>
      <color indexed="9"/>
      <name val="Calibri"/>
      <family val="2"/>
    </font>
    <font>
      <b/>
      <sz val="11"/>
      <color indexed="8"/>
      <name val="Calibri"/>
      <family val="2"/>
    </font>
    <font>
      <sz val="10"/>
      <name val="MS Sans Serif"/>
      <family val="2"/>
    </font>
    <font>
      <sz val="11"/>
      <color theme="1"/>
      <name val="Calibri"/>
      <family val="2"/>
      <scheme val="minor"/>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0"/>
      <name val="Arial MT"/>
    </font>
    <font>
      <b/>
      <sz val="11"/>
      <name val="Arial MT"/>
      <family val="2"/>
    </font>
    <font>
      <b/>
      <sz val="8"/>
      <name val="Arial MT"/>
    </font>
    <font>
      <b/>
      <sz val="10"/>
      <name val="Arial MT"/>
      <family val="2"/>
    </font>
    <font>
      <b/>
      <sz val="11"/>
      <name val="Arial MT"/>
    </font>
    <font>
      <b/>
      <sz val="10"/>
      <color rgb="FFFF0000"/>
      <name val="Arial MT"/>
    </font>
    <font>
      <sz val="10"/>
      <color rgb="FFFF0000"/>
      <name val="Arial MT"/>
    </font>
    <font>
      <b/>
      <sz val="10"/>
      <name val="Arial MT"/>
    </font>
    <font>
      <u/>
      <sz val="11"/>
      <name val="Arial MT"/>
      <family val="2"/>
    </font>
    <font>
      <sz val="6"/>
      <color indexed="8"/>
      <name val="Arial MT"/>
    </font>
    <font>
      <b/>
      <sz val="8"/>
      <color rgb="FFFF0000"/>
      <name val="Arial MT"/>
    </font>
    <font>
      <u/>
      <sz val="10"/>
      <name val="Arial MT"/>
    </font>
    <font>
      <sz val="10"/>
      <color rgb="FF0000FF"/>
      <name val="Arial MT"/>
    </font>
    <font>
      <sz val="10"/>
      <color rgb="FF0070C0"/>
      <name val="Arial MT"/>
    </font>
    <font>
      <b/>
      <sz val="8"/>
      <color rgb="FF0070C0"/>
      <name val="Arial MT"/>
    </font>
    <font>
      <sz val="9"/>
      <name val="Arial MT"/>
      <family val="2"/>
    </font>
    <font>
      <sz val="9"/>
      <name val="Arial MT"/>
    </font>
    <font>
      <sz val="10"/>
      <color theme="1"/>
      <name val="Arial MT"/>
    </font>
    <font>
      <sz val="12"/>
      <name val="Arial MT"/>
    </font>
    <font>
      <b/>
      <sz val="10"/>
      <color rgb="FFFF0000"/>
      <name val="Arial MT"/>
      <family val="2"/>
    </font>
    <font>
      <b/>
      <sz val="11"/>
      <color rgb="FF0000FF"/>
      <name val="Arial MT"/>
      <family val="2"/>
    </font>
    <font>
      <b/>
      <sz val="10"/>
      <color rgb="FF0000FF"/>
      <name val="Arial MT"/>
      <family val="2"/>
    </font>
    <font>
      <b/>
      <sz val="10"/>
      <color rgb="FF0070C0"/>
      <name val="Arial MT"/>
      <family val="2"/>
    </font>
    <font>
      <b/>
      <sz val="10"/>
      <color indexed="10"/>
      <name val="Arial MT"/>
    </font>
    <font>
      <b/>
      <sz val="10"/>
      <color rgb="FF0070C0"/>
      <name val="Arial MT"/>
    </font>
    <font>
      <b/>
      <sz val="8"/>
      <color indexed="10"/>
      <name val="Arial MT"/>
    </font>
    <font>
      <sz val="10"/>
      <color rgb="FFFF00FF"/>
      <name val="Arial MT"/>
    </font>
    <font>
      <b/>
      <sz val="12"/>
      <name val="Arial MT"/>
    </font>
    <font>
      <b/>
      <i/>
      <sz val="10"/>
      <color rgb="FFFF0000"/>
      <name val="Arial"/>
      <family val="2"/>
    </font>
    <font>
      <sz val="10"/>
      <name val="Arial"/>
      <family val="2"/>
    </font>
    <font>
      <b/>
      <u/>
      <sz val="10"/>
      <name val="Arial MT"/>
    </font>
    <font>
      <sz val="11"/>
      <name val="Arial MT"/>
    </font>
    <font>
      <b/>
      <sz val="11"/>
      <color rgb="FFFF0000"/>
      <name val="Arial MT"/>
    </font>
    <font>
      <sz val="9"/>
      <color indexed="81"/>
      <name val="Tahoma"/>
      <family val="2"/>
    </font>
    <font>
      <b/>
      <sz val="9"/>
      <color indexed="81"/>
      <name val="Tahoma"/>
      <family val="2"/>
    </font>
  </fonts>
  <fills count="3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6">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indexed="8"/>
      </bottom>
      <diagonal/>
    </border>
    <border>
      <left/>
      <right/>
      <top style="thin">
        <color indexed="8"/>
      </top>
      <bottom/>
      <diagonal/>
    </border>
    <border>
      <left/>
      <right/>
      <top/>
      <bottom style="double">
        <color indexed="8"/>
      </bottom>
      <diagonal/>
    </border>
    <border>
      <left/>
      <right/>
      <top style="thin">
        <color indexed="8"/>
      </top>
      <bottom style="double">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diagonal/>
    </border>
    <border>
      <left/>
      <right/>
      <top style="thin">
        <color indexed="8"/>
      </top>
      <bottom style="double">
        <color indexed="8"/>
      </bottom>
      <diagonal/>
    </border>
    <border>
      <left/>
      <right/>
      <top/>
      <bottom style="thin">
        <color theme="1"/>
      </bottom>
      <diagonal/>
    </border>
    <border>
      <left/>
      <right/>
      <top style="thin">
        <color theme="1"/>
      </top>
      <bottom style="double">
        <color theme="1"/>
      </bottom>
      <diagonal/>
    </border>
    <border>
      <left/>
      <right/>
      <top/>
      <bottom style="medium">
        <color theme="1"/>
      </bottom>
      <diagonal/>
    </border>
    <border>
      <left/>
      <right/>
      <top style="thin">
        <color indexed="8"/>
      </top>
      <bottom/>
      <diagonal/>
    </border>
    <border>
      <left/>
      <right/>
      <top style="thin">
        <color indexed="8"/>
      </top>
      <bottom style="double">
        <color indexed="8"/>
      </bottom>
      <diagonal/>
    </border>
    <border>
      <left style="medium">
        <color indexed="64"/>
      </left>
      <right/>
      <top/>
      <bottom/>
      <diagonal/>
    </border>
    <border>
      <left/>
      <right/>
      <top/>
      <bottom style="double">
        <color theme="1"/>
      </bottom>
      <diagonal/>
    </border>
    <border>
      <left/>
      <right/>
      <top style="thin">
        <color theme="1"/>
      </top>
      <bottom style="thin">
        <color theme="1"/>
      </bottom>
      <diagonal/>
    </border>
  </borders>
  <cellStyleXfs count="163">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0" fillId="6" borderId="0" applyNumberFormat="0" applyBorder="0" applyAlignment="0" applyProtection="0"/>
    <xf numFmtId="0" fontId="20" fillId="7" borderId="0" applyNumberFormat="0" applyBorder="0" applyAlignment="0" applyProtection="0"/>
    <xf numFmtId="0" fontId="21"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1" fillId="14"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1" fillId="14"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1" fillId="7" borderId="0" applyNumberFormat="0" applyBorder="0" applyAlignment="0" applyProtection="0"/>
    <xf numFmtId="0" fontId="20" fillId="15" borderId="0" applyNumberFormat="0" applyBorder="0" applyAlignment="0" applyProtection="0"/>
    <xf numFmtId="0" fontId="20" fillId="10" borderId="0" applyNumberFormat="0" applyBorder="0" applyAlignment="0" applyProtection="0"/>
    <xf numFmtId="0" fontId="21" fillId="16"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 fillId="0" borderId="0"/>
    <xf numFmtId="0" fontId="2" fillId="0" borderId="0"/>
    <xf numFmtId="0" fontId="23" fillId="0" borderId="0"/>
    <xf numFmtId="0" fontId="23"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4" fillId="0" borderId="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 fontId="25" fillId="20" borderId="7" applyNumberFormat="0" applyProtection="0">
      <alignment vertical="center"/>
    </xf>
    <xf numFmtId="4" fontId="26" fillId="20" borderId="7" applyNumberFormat="0" applyProtection="0">
      <alignment vertical="center"/>
    </xf>
    <xf numFmtId="4" fontId="25" fillId="20" borderId="7" applyNumberFormat="0" applyProtection="0">
      <alignment horizontal="left" vertical="center" indent="1"/>
    </xf>
    <xf numFmtId="0" fontId="25" fillId="20" borderId="7" applyNumberFormat="0" applyProtection="0">
      <alignment horizontal="left" vertical="top" indent="1"/>
    </xf>
    <xf numFmtId="4" fontId="25" fillId="21" borderId="0" applyNumberFormat="0" applyProtection="0">
      <alignment horizontal="left" vertical="center" indent="1"/>
    </xf>
    <xf numFmtId="4" fontId="27" fillId="22" borderId="7" applyNumberFormat="0" applyProtection="0">
      <alignment horizontal="right" vertical="center"/>
    </xf>
    <xf numFmtId="4" fontId="27" fillId="23" borderId="7" applyNumberFormat="0" applyProtection="0">
      <alignment horizontal="right" vertical="center"/>
    </xf>
    <xf numFmtId="4" fontId="27" fillId="24" borderId="7" applyNumberFormat="0" applyProtection="0">
      <alignment horizontal="right" vertical="center"/>
    </xf>
    <xf numFmtId="4" fontId="27" fillId="25" borderId="7" applyNumberFormat="0" applyProtection="0">
      <alignment horizontal="right" vertical="center"/>
    </xf>
    <xf numFmtId="4" fontId="27" fillId="26" borderId="7" applyNumberFormat="0" applyProtection="0">
      <alignment horizontal="right" vertical="center"/>
    </xf>
    <xf numFmtId="4" fontId="27" fillId="27" borderId="7" applyNumberFormat="0" applyProtection="0">
      <alignment horizontal="right" vertical="center"/>
    </xf>
    <xf numFmtId="4" fontId="27" fillId="28" borderId="7" applyNumberFormat="0" applyProtection="0">
      <alignment horizontal="right" vertical="center"/>
    </xf>
    <xf numFmtId="4" fontId="27" fillId="29" borderId="7" applyNumberFormat="0" applyProtection="0">
      <alignment horizontal="right" vertical="center"/>
    </xf>
    <xf numFmtId="4" fontId="27" fillId="30" borderId="7" applyNumberFormat="0" applyProtection="0">
      <alignment horizontal="right" vertical="center"/>
    </xf>
    <xf numFmtId="4" fontId="25" fillId="31" borderId="8" applyNumberFormat="0" applyProtection="0">
      <alignment horizontal="left" vertical="center" indent="1"/>
    </xf>
    <xf numFmtId="4" fontId="27" fillId="32" borderId="0" applyNumberFormat="0" applyProtection="0">
      <alignment horizontal="left" vertical="center" indent="1"/>
    </xf>
    <xf numFmtId="4" fontId="28" fillId="33" borderId="0" applyNumberFormat="0" applyProtection="0">
      <alignment horizontal="left" vertical="center" indent="1"/>
    </xf>
    <xf numFmtId="4" fontId="27" fillId="21" borderId="7" applyNumberFormat="0" applyProtection="0">
      <alignment horizontal="right" vertical="center"/>
    </xf>
    <xf numFmtId="4" fontId="27" fillId="32" borderId="0" applyNumberFormat="0" applyProtection="0">
      <alignment horizontal="left" vertical="center" indent="1"/>
    </xf>
    <xf numFmtId="4" fontId="27" fillId="21" borderId="0"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center" indent="1"/>
    </xf>
    <xf numFmtId="0" fontId="2" fillId="33" borderId="7" applyNumberFormat="0" applyProtection="0">
      <alignment horizontal="left" vertical="top" indent="1"/>
    </xf>
    <xf numFmtId="0" fontId="2" fillId="33" borderId="7" applyNumberFormat="0" applyProtection="0">
      <alignment horizontal="left" vertical="top" indent="1"/>
    </xf>
    <xf numFmtId="0" fontId="2" fillId="21" borderId="7" applyNumberFormat="0" applyProtection="0">
      <alignment horizontal="left" vertical="center" indent="1"/>
    </xf>
    <xf numFmtId="0" fontId="2" fillId="21" borderId="7" applyNumberFormat="0" applyProtection="0">
      <alignment horizontal="left" vertical="center" indent="1"/>
    </xf>
    <xf numFmtId="0" fontId="2" fillId="21" borderId="7" applyNumberFormat="0" applyProtection="0">
      <alignment horizontal="left" vertical="top" indent="1"/>
    </xf>
    <xf numFmtId="0" fontId="2" fillId="21" borderId="7" applyNumberFormat="0" applyProtection="0">
      <alignment horizontal="left" vertical="top" indent="1"/>
    </xf>
    <xf numFmtId="0" fontId="2" fillId="34" borderId="7" applyNumberFormat="0" applyProtection="0">
      <alignment horizontal="left" vertical="center" indent="1"/>
    </xf>
    <xf numFmtId="0" fontId="2" fillId="34" borderId="7" applyNumberFormat="0" applyProtection="0">
      <alignment horizontal="left" vertical="center" indent="1"/>
    </xf>
    <xf numFmtId="0" fontId="2" fillId="34" borderId="7" applyNumberFormat="0" applyProtection="0">
      <alignment horizontal="left" vertical="top" indent="1"/>
    </xf>
    <xf numFmtId="0" fontId="2" fillId="34" borderId="7" applyNumberFormat="0" applyProtection="0">
      <alignment horizontal="left" vertical="top" indent="1"/>
    </xf>
    <xf numFmtId="0" fontId="2" fillId="32" borderId="7" applyNumberFormat="0" applyProtection="0">
      <alignment horizontal="left" vertical="center" indent="1"/>
    </xf>
    <xf numFmtId="0" fontId="2" fillId="32" borderId="7" applyNumberFormat="0" applyProtection="0">
      <alignment horizontal="left" vertical="center" indent="1"/>
    </xf>
    <xf numFmtId="0" fontId="2" fillId="32" borderId="7" applyNumberFormat="0" applyProtection="0">
      <alignment horizontal="left" vertical="top" indent="1"/>
    </xf>
    <xf numFmtId="0" fontId="2" fillId="32" borderId="7" applyNumberFormat="0" applyProtection="0">
      <alignment horizontal="left" vertical="top" indent="1"/>
    </xf>
    <xf numFmtId="0" fontId="2" fillId="35" borderId="4" applyNumberFormat="0">
      <protection locked="0"/>
    </xf>
    <xf numFmtId="0" fontId="2" fillId="35" borderId="4" applyNumberFormat="0">
      <protection locked="0"/>
    </xf>
    <xf numFmtId="4" fontId="27" fillId="36" borderId="7" applyNumberFormat="0" applyProtection="0">
      <alignment vertical="center"/>
    </xf>
    <xf numFmtId="4" fontId="29" fillId="36" borderId="7" applyNumberFormat="0" applyProtection="0">
      <alignment vertical="center"/>
    </xf>
    <xf numFmtId="4" fontId="27" fillId="36" borderId="7" applyNumberFormat="0" applyProtection="0">
      <alignment horizontal="left" vertical="center" indent="1"/>
    </xf>
    <xf numFmtId="0" fontId="27" fillId="36" borderId="7" applyNumberFormat="0" applyProtection="0">
      <alignment horizontal="left" vertical="top" indent="1"/>
    </xf>
    <xf numFmtId="4" fontId="27" fillId="32" borderId="7" applyNumberFormat="0" applyProtection="0">
      <alignment horizontal="right" vertical="center"/>
    </xf>
    <xf numFmtId="4" fontId="29" fillId="32" borderId="7" applyNumberFormat="0" applyProtection="0">
      <alignment horizontal="right" vertical="center"/>
    </xf>
    <xf numFmtId="4" fontId="27" fillId="21" borderId="7" applyNumberFormat="0" applyProtection="0">
      <alignment horizontal="left" vertical="center" indent="1"/>
    </xf>
    <xf numFmtId="0" fontId="27" fillId="21" borderId="7" applyNumberFormat="0" applyProtection="0">
      <alignment horizontal="left" vertical="top" indent="1"/>
    </xf>
    <xf numFmtId="4" fontId="30" fillId="37" borderId="0" applyNumberFormat="0" applyProtection="0">
      <alignment horizontal="left" vertical="center" indent="1"/>
    </xf>
    <xf numFmtId="4" fontId="31" fillId="32" borderId="7" applyNumberFormat="0" applyProtection="0">
      <alignment horizontal="right" vertical="center"/>
    </xf>
    <xf numFmtId="0" fontId="32" fillId="0" borderId="0" applyNumberFormat="0" applyFill="0" applyBorder="0" applyAlignment="0" applyProtection="0"/>
    <xf numFmtId="37" fontId="33" fillId="0" borderId="0"/>
    <xf numFmtId="0" fontId="42" fillId="0" borderId="0"/>
    <xf numFmtId="44" fontId="42" fillId="0" borderId="0" applyFont="0" applyFill="0" applyBorder="0" applyAlignment="0" applyProtection="0"/>
    <xf numFmtId="43" fontId="42" fillId="0" borderId="0" applyFont="0" applyFill="0" applyBorder="0" applyAlignment="0" applyProtection="0"/>
    <xf numFmtId="43" fontId="62" fillId="0" borderId="0" applyFont="0" applyFill="0" applyBorder="0" applyAlignment="0" applyProtection="0"/>
    <xf numFmtId="9" fontId="62" fillId="0" borderId="0" applyFont="0" applyFill="0" applyBorder="0" applyAlignment="0" applyProtection="0"/>
  </cellStyleXfs>
  <cellXfs count="358">
    <xf numFmtId="0" fontId="0" fillId="0" borderId="0" xfId="0"/>
    <xf numFmtId="41" fontId="4" fillId="0" borderId="0" xfId="0" applyNumberFormat="1" applyFont="1"/>
    <xf numFmtId="0" fontId="4" fillId="0" borderId="0" xfId="0" applyFont="1"/>
    <xf numFmtId="41" fontId="4" fillId="0" borderId="0" xfId="0" applyNumberFormat="1" applyFont="1" applyAlignment="1">
      <alignment horizontal="center"/>
    </xf>
    <xf numFmtId="41" fontId="4" fillId="0" borderId="1" xfId="0" applyNumberFormat="1" applyFont="1" applyBorder="1" applyAlignment="1">
      <alignment horizontal="center"/>
    </xf>
    <xf numFmtId="164" fontId="4" fillId="0" borderId="0" xfId="0" applyNumberFormat="1" applyFont="1"/>
    <xf numFmtId="41" fontId="4" fillId="0" borderId="2" xfId="0" applyNumberFormat="1" applyFont="1" applyBorder="1"/>
    <xf numFmtId="164" fontId="4" fillId="0" borderId="2" xfId="0" applyNumberFormat="1" applyFont="1" applyBorder="1"/>
    <xf numFmtId="0" fontId="5" fillId="0" borderId="0" xfId="0" applyFont="1"/>
    <xf numFmtId="0" fontId="6" fillId="0" borderId="0" xfId="0" applyFont="1"/>
    <xf numFmtId="0" fontId="7" fillId="0" borderId="0" xfId="0" applyFont="1"/>
    <xf numFmtId="165" fontId="6" fillId="0" borderId="0" xfId="0" applyNumberFormat="1" applyFont="1" applyAlignment="1">
      <alignment horizontal="center"/>
    </xf>
    <xf numFmtId="0" fontId="6" fillId="0" borderId="0" xfId="0" applyFont="1" applyAlignment="1">
      <alignment horizontal="center"/>
    </xf>
    <xf numFmtId="0" fontId="6" fillId="0" borderId="1" xfId="0" applyFont="1" applyBorder="1" applyAlignment="1">
      <alignment horizontal="center"/>
    </xf>
    <xf numFmtId="0" fontId="6" fillId="0" borderId="0" xfId="0" applyFont="1" applyFill="1"/>
    <xf numFmtId="164" fontId="6" fillId="0" borderId="0" xfId="2" applyNumberFormat="1" applyFont="1" applyFill="1" applyProtection="1">
      <protection locked="0"/>
    </xf>
    <xf numFmtId="166" fontId="6" fillId="0" borderId="0" xfId="1" applyNumberFormat="1" applyFont="1" applyFill="1" applyBorder="1" applyProtection="1">
      <protection locked="0"/>
    </xf>
    <xf numFmtId="164" fontId="6" fillId="0" borderId="0" xfId="0" applyNumberFormat="1" applyFont="1"/>
    <xf numFmtId="164" fontId="6" fillId="0" borderId="0" xfId="2" applyNumberFormat="1" applyFont="1"/>
    <xf numFmtId="164" fontId="6" fillId="0" borderId="1" xfId="2" applyNumberFormat="1" applyFont="1" applyFill="1" applyBorder="1" applyProtection="1">
      <protection locked="0"/>
    </xf>
    <xf numFmtId="166" fontId="6" fillId="0" borderId="1" xfId="1" applyNumberFormat="1" applyFont="1" applyFill="1" applyBorder="1" applyProtection="1">
      <protection locked="0"/>
    </xf>
    <xf numFmtId="164" fontId="6" fillId="0" borderId="1" xfId="0" applyNumberFormat="1" applyFont="1" applyBorder="1"/>
    <xf numFmtId="164" fontId="6" fillId="0" borderId="1" xfId="2" applyNumberFormat="1" applyFont="1" applyBorder="1"/>
    <xf numFmtId="167" fontId="6" fillId="0" borderId="0" xfId="0" applyNumberFormat="1" applyFont="1"/>
    <xf numFmtId="164" fontId="6" fillId="0" borderId="0" xfId="0" applyNumberFormat="1" applyFont="1" applyFill="1"/>
    <xf numFmtId="164" fontId="6" fillId="0" borderId="0" xfId="0" applyNumberFormat="1" applyFont="1" applyBorder="1"/>
    <xf numFmtId="164" fontId="8" fillId="0" borderId="3" xfId="0" applyNumberFormat="1" applyFont="1" applyBorder="1"/>
    <xf numFmtId="169" fontId="6" fillId="0" borderId="0" xfId="1" applyNumberFormat="1" applyFont="1" applyFill="1" applyBorder="1"/>
    <xf numFmtId="169" fontId="6" fillId="0" borderId="0" xfId="1" applyNumberFormat="1" applyFont="1"/>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horizontal="centerContinuous"/>
    </xf>
    <xf numFmtId="0" fontId="4" fillId="0" borderId="1" xfId="0" quotePrefix="1" applyNumberFormat="1" applyFont="1" applyBorder="1" applyAlignment="1">
      <alignment horizontal="center"/>
    </xf>
    <xf numFmtId="10" fontId="6" fillId="0" borderId="0" xfId="0" applyNumberFormat="1" applyFont="1" applyFill="1" applyBorder="1" applyAlignment="1">
      <alignment horizontal="center"/>
    </xf>
    <xf numFmtId="10" fontId="6" fillId="0" borderId="0" xfId="0" applyNumberFormat="1" applyFont="1" applyFill="1" applyBorder="1" applyAlignment="1" applyProtection="1">
      <alignment horizontal="center"/>
      <protection locked="0"/>
    </xf>
    <xf numFmtId="165" fontId="8" fillId="2" borderId="0" xfId="0" applyNumberFormat="1" applyFont="1" applyFill="1" applyAlignment="1">
      <alignment horizontal="center"/>
    </xf>
    <xf numFmtId="0" fontId="5" fillId="0" borderId="0" xfId="0" applyFont="1" applyAlignment="1">
      <alignment horizontal="center"/>
    </xf>
    <xf numFmtId="41" fontId="5" fillId="0" borderId="0" xfId="0" applyNumberFormat="1" applyFont="1" applyAlignment="1">
      <alignment horizontal="center"/>
    </xf>
    <xf numFmtId="41" fontId="5" fillId="0" borderId="0" xfId="0" quotePrefix="1" applyNumberFormat="1" applyFont="1" applyAlignment="1">
      <alignment horizontal="center"/>
    </xf>
    <xf numFmtId="41" fontId="5" fillId="0" borderId="0" xfId="0" applyNumberFormat="1" applyFont="1" applyAlignment="1">
      <alignment horizontal="left"/>
    </xf>
    <xf numFmtId="41" fontId="4" fillId="0" borderId="0" xfId="0" applyNumberFormat="1" applyFont="1" applyAlignment="1">
      <alignment horizontal="left"/>
    </xf>
    <xf numFmtId="0" fontId="3" fillId="0" borderId="0" xfId="0" applyFont="1" applyAlignment="1">
      <alignment horizontal="center"/>
    </xf>
    <xf numFmtId="0" fontId="5" fillId="0" borderId="1" xfId="0" applyFont="1" applyBorder="1" applyAlignment="1">
      <alignment horizontal="center"/>
    </xf>
    <xf numFmtId="169" fontId="0" fillId="0" borderId="0" xfId="1" applyNumberFormat="1" applyFont="1"/>
    <xf numFmtId="169" fontId="3" fillId="0" borderId="0" xfId="1" applyNumberFormat="1" applyFont="1" applyAlignment="1">
      <alignment horizontal="center"/>
    </xf>
    <xf numFmtId="169" fontId="5" fillId="0" borderId="0" xfId="1" applyNumberFormat="1" applyFont="1" applyAlignment="1">
      <alignment horizontal="center"/>
    </xf>
    <xf numFmtId="169" fontId="5" fillId="0" borderId="1" xfId="1" applyNumberFormat="1" applyFont="1" applyBorder="1" applyAlignment="1">
      <alignment horizontal="center"/>
    </xf>
    <xf numFmtId="169" fontId="0" fillId="0" borderId="1" xfId="1" applyNumberFormat="1" applyFont="1" applyBorder="1"/>
    <xf numFmtId="0" fontId="0" fillId="3" borderId="0" xfId="0" applyFill="1"/>
    <xf numFmtId="0" fontId="0" fillId="3" borderId="0" xfId="0" applyFill="1" applyBorder="1"/>
    <xf numFmtId="0" fontId="0" fillId="3" borderId="1" xfId="0" applyFill="1" applyBorder="1"/>
    <xf numFmtId="41" fontId="5" fillId="0" borderId="0" xfId="0" quotePrefix="1" applyNumberFormat="1" applyFont="1" applyAlignment="1">
      <alignment horizontal="left"/>
    </xf>
    <xf numFmtId="169" fontId="5" fillId="0" borderId="0" xfId="1" applyNumberFormat="1" applyFont="1"/>
    <xf numFmtId="169" fontId="0" fillId="3" borderId="0" xfId="1" applyNumberFormat="1" applyFont="1" applyFill="1"/>
    <xf numFmtId="169" fontId="4" fillId="0" borderId="0" xfId="1" applyNumberFormat="1" applyFont="1"/>
    <xf numFmtId="169" fontId="4" fillId="0" borderId="0" xfId="1" applyNumberFormat="1" applyFont="1" applyAlignment="1">
      <alignment horizontal="center"/>
    </xf>
    <xf numFmtId="169" fontId="0" fillId="3" borderId="1" xfId="1" applyNumberFormat="1" applyFont="1" applyFill="1" applyBorder="1"/>
    <xf numFmtId="169" fontId="0" fillId="0" borderId="0" xfId="1" applyNumberFormat="1" applyFont="1" applyBorder="1"/>
    <xf numFmtId="0" fontId="0" fillId="0" borderId="0" xfId="0" applyFill="1"/>
    <xf numFmtId="166" fontId="5" fillId="0" borderId="0" xfId="0" applyNumberFormat="1" applyFont="1" applyBorder="1"/>
    <xf numFmtId="0" fontId="10" fillId="0" borderId="0" xfId="0" applyFont="1" applyAlignment="1">
      <alignment horizontal="center"/>
    </xf>
    <xf numFmtId="41" fontId="5" fillId="0" borderId="0" xfId="0" applyNumberFormat="1" applyFont="1" applyAlignment="1">
      <alignment horizontal="center"/>
    </xf>
    <xf numFmtId="169" fontId="6" fillId="0" borderId="5" xfId="1" applyNumberFormat="1" applyFont="1" applyFill="1" applyBorder="1"/>
    <xf numFmtId="0" fontId="5" fillId="0" borderId="0" xfId="0" applyFont="1" applyAlignment="1"/>
    <xf numFmtId="41" fontId="5" fillId="0" borderId="0" xfId="0" applyNumberFormat="1" applyFont="1" applyAlignment="1">
      <alignment horizontal="center"/>
    </xf>
    <xf numFmtId="0" fontId="9" fillId="0" borderId="0" xfId="0" applyFont="1"/>
    <xf numFmtId="0" fontId="11" fillId="0" borderId="0" xfId="0" applyFont="1"/>
    <xf numFmtId="0" fontId="8" fillId="0" borderId="0" xfId="0" applyFont="1"/>
    <xf numFmtId="0" fontId="2" fillId="0" borderId="0" xfId="0" applyFont="1"/>
    <xf numFmtId="41" fontId="9" fillId="0" borderId="0" xfId="0" applyNumberFormat="1" applyFont="1" applyAlignment="1">
      <alignment horizontal="left"/>
    </xf>
    <xf numFmtId="170" fontId="5" fillId="0" borderId="0" xfId="0" applyNumberFormat="1" applyFont="1" applyAlignment="1">
      <alignment horizontal="center"/>
    </xf>
    <xf numFmtId="41" fontId="5" fillId="0" borderId="0" xfId="0" applyNumberFormat="1" applyFont="1"/>
    <xf numFmtId="171" fontId="5" fillId="0" borderId="0" xfId="0" applyNumberFormat="1" applyFont="1" applyAlignment="1">
      <alignment horizontal="center"/>
    </xf>
    <xf numFmtId="172" fontId="5" fillId="0" borderId="0" xfId="0" applyNumberFormat="1" applyFont="1"/>
    <xf numFmtId="41" fontId="2" fillId="0" borderId="1" xfId="0" applyNumberFormat="1" applyFont="1" applyBorder="1" applyAlignment="1">
      <alignment horizontal="center"/>
    </xf>
    <xf numFmtId="172" fontId="5" fillId="0" borderId="0" xfId="1" applyNumberFormat="1" applyFont="1"/>
    <xf numFmtId="173" fontId="0" fillId="0" borderId="0" xfId="1" applyNumberFormat="1" applyFont="1"/>
    <xf numFmtId="0" fontId="4" fillId="4" borderId="0" xfId="0" applyFont="1" applyFill="1"/>
    <xf numFmtId="0" fontId="0" fillId="0" borderId="0" xfId="1" applyNumberFormat="1" applyFont="1"/>
    <xf numFmtId="41" fontId="4" fillId="4" borderId="2" xfId="0" applyNumberFormat="1" applyFont="1" applyFill="1" applyBorder="1"/>
    <xf numFmtId="44" fontId="4" fillId="0" borderId="0" xfId="0" applyNumberFormat="1" applyFont="1"/>
    <xf numFmtId="41" fontId="4" fillId="4" borderId="0" xfId="0" applyNumberFormat="1" applyFont="1" applyFill="1"/>
    <xf numFmtId="0" fontId="13" fillId="0" borderId="0" xfId="0" applyFont="1"/>
    <xf numFmtId="41" fontId="13" fillId="0" borderId="0" xfId="0" applyNumberFormat="1" applyFont="1"/>
    <xf numFmtId="169" fontId="6" fillId="4" borderId="5" xfId="1" applyNumberFormat="1" applyFont="1" applyFill="1" applyBorder="1"/>
    <xf numFmtId="0" fontId="15" fillId="0" borderId="0" xfId="0" applyFont="1"/>
    <xf numFmtId="41" fontId="15" fillId="0" borderId="0" xfId="0" applyNumberFormat="1" applyFont="1"/>
    <xf numFmtId="164" fontId="5" fillId="0" borderId="0" xfId="0" applyNumberFormat="1" applyFont="1"/>
    <xf numFmtId="168" fontId="14" fillId="2" borderId="3" xfId="2" applyNumberFormat="1" applyFont="1" applyFill="1" applyBorder="1"/>
    <xf numFmtId="164" fontId="6" fillId="2" borderId="0" xfId="0" applyNumberFormat="1" applyFont="1" applyFill="1"/>
    <xf numFmtId="169" fontId="6" fillId="4" borderId="0" xfId="1" applyNumberFormat="1" applyFont="1" applyFill="1" applyBorder="1"/>
    <xf numFmtId="169" fontId="5" fillId="0" borderId="6" xfId="1" applyNumberFormat="1" applyFont="1" applyBorder="1"/>
    <xf numFmtId="172" fontId="5" fillId="0" borderId="1" xfId="0" applyNumberFormat="1" applyFont="1" applyBorder="1"/>
    <xf numFmtId="174" fontId="5" fillId="0" borderId="0" xfId="1" applyNumberFormat="1" applyFont="1"/>
    <xf numFmtId="174" fontId="0" fillId="0" borderId="0" xfId="0" applyNumberFormat="1"/>
    <xf numFmtId="174" fontId="5" fillId="0" borderId="0" xfId="0" applyNumberFormat="1" applyFont="1" applyBorder="1"/>
    <xf numFmtId="174" fontId="5" fillId="0" borderId="1" xfId="0" applyNumberFormat="1" applyFont="1" applyBorder="1"/>
    <xf numFmtId="174" fontId="5" fillId="0" borderId="0" xfId="0" applyNumberFormat="1" applyFont="1"/>
    <xf numFmtId="174" fontId="5" fillId="2" borderId="4" xfId="0" applyNumberFormat="1" applyFont="1" applyFill="1" applyBorder="1"/>
    <xf numFmtId="172" fontId="0" fillId="0" borderId="0" xfId="0" applyNumberFormat="1"/>
    <xf numFmtId="172" fontId="5" fillId="0" borderId="0" xfId="0" applyNumberFormat="1" applyFont="1" applyBorder="1"/>
    <xf numFmtId="172" fontId="5" fillId="2" borderId="4" xfId="0" applyNumberFormat="1" applyFont="1" applyFill="1" applyBorder="1"/>
    <xf numFmtId="172" fontId="4" fillId="0" borderId="1" xfId="0" applyNumberFormat="1" applyFont="1" applyBorder="1"/>
    <xf numFmtId="172" fontId="0" fillId="3" borderId="0" xfId="0" applyNumberFormat="1" applyFill="1"/>
    <xf numFmtId="172" fontId="0" fillId="3" borderId="1" xfId="0" applyNumberFormat="1" applyFill="1" applyBorder="1"/>
    <xf numFmtId="41" fontId="2" fillId="0" borderId="0" xfId="0" applyNumberFormat="1" applyFont="1"/>
    <xf numFmtId="41" fontId="2" fillId="0" borderId="0" xfId="0" applyNumberFormat="1" applyFont="1" applyAlignment="1">
      <alignment horizontal="center"/>
    </xf>
    <xf numFmtId="0" fontId="2" fillId="0" borderId="0" xfId="0" applyFont="1" applyAlignment="1">
      <alignment horizontal="center"/>
    </xf>
    <xf numFmtId="41" fontId="2" fillId="0" borderId="1" xfId="0" applyNumberFormat="1" applyFont="1" applyFill="1" applyBorder="1" applyAlignment="1">
      <alignment horizontal="center"/>
    </xf>
    <xf numFmtId="41" fontId="2" fillId="0" borderId="0" xfId="0" applyNumberFormat="1" applyFont="1" applyBorder="1" applyAlignment="1">
      <alignment horizontal="center"/>
    </xf>
    <xf numFmtId="41" fontId="4" fillId="0" borderId="0" xfId="0" applyNumberFormat="1" applyFont="1" applyBorder="1" applyAlignment="1">
      <alignment horizontal="center"/>
    </xf>
    <xf numFmtId="164" fontId="4" fillId="0" borderId="0" xfId="0" applyNumberFormat="1" applyFont="1" applyBorder="1"/>
    <xf numFmtId="41" fontId="4" fillId="0" borderId="0" xfId="0" applyNumberFormat="1" applyFont="1" applyBorder="1"/>
    <xf numFmtId="41" fontId="16" fillId="0" borderId="0" xfId="0" applyNumberFormat="1" applyFont="1"/>
    <xf numFmtId="0" fontId="5" fillId="0" borderId="0" xfId="0" applyFont="1" applyAlignment="1">
      <alignment horizontal="center"/>
    </xf>
    <xf numFmtId="0" fontId="0" fillId="2" borderId="0" xfId="0" applyFill="1"/>
    <xf numFmtId="0" fontId="0" fillId="2" borderId="0" xfId="0" quotePrefix="1" applyFill="1" applyAlignment="1">
      <alignment horizontal="center"/>
    </xf>
    <xf numFmtId="10" fontId="0" fillId="0" borderId="0" xfId="0" applyNumberFormat="1" applyFill="1" applyAlignment="1">
      <alignment horizontal="center"/>
    </xf>
    <xf numFmtId="0" fontId="2" fillId="0" borderId="0" xfId="3" applyFont="1" applyFill="1" applyAlignment="1">
      <alignment horizontal="left" indent="1"/>
    </xf>
    <xf numFmtId="0" fontId="2" fillId="0" borderId="0" xfId="0" applyFont="1" applyFill="1" applyAlignment="1">
      <alignment horizontal="left" indent="1"/>
    </xf>
    <xf numFmtId="164" fontId="0" fillId="0" borderId="0" xfId="0" applyNumberFormat="1" applyFill="1"/>
    <xf numFmtId="0" fontId="2" fillId="0" borderId="0" xfId="0" applyFont="1" applyAlignment="1">
      <alignment horizontal="left" indent="1"/>
    </xf>
    <xf numFmtId="0" fontId="0" fillId="0" borderId="0" xfId="0" quotePrefix="1" applyAlignment="1">
      <alignment horizontal="center"/>
    </xf>
    <xf numFmtId="0" fontId="0" fillId="0" borderId="0" xfId="0" applyAlignment="1">
      <alignment horizontal="left" indent="1"/>
    </xf>
    <xf numFmtId="0" fontId="0" fillId="0" borderId="0" xfId="0" applyAlignment="1">
      <alignment horizontal="center"/>
    </xf>
    <xf numFmtId="164" fontId="0" fillId="5" borderId="0" xfId="0" applyNumberFormat="1" applyFill="1"/>
    <xf numFmtId="168" fontId="0" fillId="0" borderId="0" xfId="0" applyNumberFormat="1" applyAlignment="1">
      <alignment horizontal="left" indent="1"/>
    </xf>
    <xf numFmtId="168" fontId="2" fillId="0" borderId="0" xfId="0" applyNumberFormat="1" applyFont="1" applyAlignment="1">
      <alignment horizontal="left" indent="1"/>
    </xf>
    <xf numFmtId="168" fontId="0" fillId="0" borderId="0" xfId="0" applyNumberFormat="1"/>
    <xf numFmtId="168" fontId="18" fillId="0" borderId="0" xfId="0" applyNumberFormat="1" applyFont="1"/>
    <xf numFmtId="168" fontId="2" fillId="0" borderId="0" xfId="0" applyNumberFormat="1" applyFont="1" applyFill="1" applyAlignment="1">
      <alignment horizontal="left" indent="1"/>
    </xf>
    <xf numFmtId="164" fontId="2" fillId="5" borderId="0" xfId="0" applyNumberFormat="1" applyFont="1" applyFill="1"/>
    <xf numFmtId="168" fontId="5" fillId="0" borderId="0" xfId="0" applyNumberFormat="1" applyFont="1" applyFill="1" applyAlignment="1">
      <alignment horizontal="center"/>
    </xf>
    <xf numFmtId="164" fontId="2" fillId="0" borderId="0" xfId="0" applyNumberFormat="1" applyFont="1" applyFill="1"/>
    <xf numFmtId="0" fontId="5" fillId="0" borderId="0" xfId="0" applyFont="1" applyAlignment="1">
      <alignment horizontal="right"/>
    </xf>
    <xf numFmtId="0" fontId="2" fillId="0" borderId="0" xfId="0" quotePrefix="1" applyFont="1" applyAlignment="1">
      <alignment horizontal="left" indent="1"/>
    </xf>
    <xf numFmtId="0" fontId="5" fillId="0" borderId="0" xfId="0" applyFont="1" applyFill="1" applyAlignment="1">
      <alignment horizontal="center"/>
    </xf>
    <xf numFmtId="175" fontId="0" fillId="0" borderId="0" xfId="0" applyNumberFormat="1"/>
    <xf numFmtId="0" fontId="2" fillId="0" borderId="0" xfId="0" applyFont="1" applyFill="1"/>
    <xf numFmtId="176" fontId="0" fillId="2" borderId="0" xfId="0" applyNumberFormat="1" applyFill="1"/>
    <xf numFmtId="175" fontId="19" fillId="0" borderId="0" xfId="0" applyNumberFormat="1" applyFont="1" applyFill="1"/>
    <xf numFmtId="0" fontId="3" fillId="0" borderId="0" xfId="0" applyFont="1"/>
    <xf numFmtId="0" fontId="2" fillId="0" borderId="0" xfId="0" applyNumberFormat="1" applyFont="1" applyFill="1"/>
    <xf numFmtId="0" fontId="2" fillId="0" borderId="0" xfId="0" applyNumberFormat="1" applyFont="1" applyFill="1" applyAlignment="1">
      <alignment horizontal="left"/>
    </xf>
    <xf numFmtId="0" fontId="5" fillId="0" borderId="0" xfId="0" quotePrefix="1" applyFont="1" applyFill="1" applyAlignment="1">
      <alignment horizontal="center"/>
    </xf>
    <xf numFmtId="0" fontId="3" fillId="0" borderId="0" xfId="0" applyFont="1" applyFill="1" applyAlignment="1">
      <alignment horizontal="center"/>
    </xf>
    <xf numFmtId="0" fontId="18" fillId="0" borderId="0" xfId="0" applyFont="1" applyFill="1" applyAlignment="1">
      <alignment horizontal="center"/>
    </xf>
    <xf numFmtId="0" fontId="18" fillId="0" borderId="0" xfId="0" applyFont="1" applyFill="1"/>
    <xf numFmtId="0" fontId="5" fillId="0" borderId="0" xfId="0" applyNumberFormat="1" applyFont="1" applyFill="1" applyAlignment="1">
      <alignment horizontal="center"/>
    </xf>
    <xf numFmtId="10" fontId="2" fillId="2" borderId="0" xfId="0" applyNumberFormat="1" applyFont="1" applyFill="1"/>
    <xf numFmtId="0" fontId="2" fillId="2" borderId="0" xfId="0" applyFont="1" applyFill="1"/>
    <xf numFmtId="0" fontId="2" fillId="0" borderId="0" xfId="0" applyFont="1" applyFill="1" applyAlignment="1">
      <alignment horizontal="right"/>
    </xf>
    <xf numFmtId="10" fontId="0" fillId="0" borderId="0" xfId="0" applyNumberFormat="1" applyFill="1"/>
    <xf numFmtId="0" fontId="2" fillId="0" borderId="0" xfId="0" quotePrefix="1" applyFont="1" applyFill="1"/>
    <xf numFmtId="0" fontId="2" fillId="0" borderId="0" xfId="0" applyNumberFormat="1" applyFont="1" applyFill="1" applyAlignment="1">
      <alignment horizontal="left" indent="1"/>
    </xf>
    <xf numFmtId="0" fontId="2" fillId="2" borderId="0" xfId="0" quotePrefix="1" applyFont="1" applyFill="1"/>
    <xf numFmtId="37" fontId="34" fillId="0" borderId="0" xfId="157" applyFont="1" applyProtection="1"/>
    <xf numFmtId="37" fontId="33" fillId="0" borderId="0" xfId="157" applyProtection="1"/>
    <xf numFmtId="37" fontId="33" fillId="0" borderId="0" xfId="157" applyFill="1" applyProtection="1"/>
    <xf numFmtId="37" fontId="35" fillId="0" borderId="0" xfId="157" applyFont="1" applyFill="1" applyProtection="1"/>
    <xf numFmtId="37" fontId="35" fillId="0" borderId="0" xfId="157" applyFont="1" applyProtection="1"/>
    <xf numFmtId="37" fontId="33" fillId="0" borderId="0" xfId="157"/>
    <xf numFmtId="37" fontId="34" fillId="0" borderId="0" xfId="157" applyFont="1" applyAlignment="1" applyProtection="1">
      <alignment horizontal="right"/>
    </xf>
    <xf numFmtId="37" fontId="36" fillId="0" borderId="0" xfId="157" applyFont="1" applyProtection="1"/>
    <xf numFmtId="37" fontId="37" fillId="0" borderId="0" xfId="157" applyFont="1" applyProtection="1"/>
    <xf numFmtId="37" fontId="35" fillId="0" borderId="0" xfId="157" applyFont="1"/>
    <xf numFmtId="37" fontId="38" fillId="0" borderId="0" xfId="157" applyFont="1" applyAlignment="1">
      <alignment horizontal="left"/>
    </xf>
    <xf numFmtId="37" fontId="38" fillId="0" borderId="0" xfId="157" applyFont="1" applyAlignment="1"/>
    <xf numFmtId="37" fontId="39" fillId="0" borderId="0" xfId="157" applyFont="1" applyAlignment="1"/>
    <xf numFmtId="37" fontId="41" fillId="0" borderId="0" xfId="157" applyFont="1" applyProtection="1"/>
    <xf numFmtId="37" fontId="33" fillId="0" borderId="9" xfId="157" applyBorder="1" applyAlignment="1" applyProtection="1">
      <alignment horizontal="centerContinuous"/>
    </xf>
    <xf numFmtId="5" fontId="43" fillId="0" borderId="0" xfId="158" applyNumberFormat="1" applyFont="1"/>
    <xf numFmtId="37" fontId="44" fillId="0" borderId="0" xfId="157" applyFont="1" applyAlignment="1" applyProtection="1">
      <alignment horizontal="center"/>
    </xf>
    <xf numFmtId="37" fontId="33" fillId="0" borderId="9" xfId="157" applyBorder="1" applyProtection="1"/>
    <xf numFmtId="49" fontId="33" fillId="0" borderId="9" xfId="157" applyNumberFormat="1" applyBorder="1" applyAlignment="1" applyProtection="1">
      <alignment horizontal="center"/>
    </xf>
    <xf numFmtId="37" fontId="33" fillId="0" borderId="9" xfId="157" quotePrefix="1" applyBorder="1" applyAlignment="1" applyProtection="1">
      <alignment horizontal="center"/>
    </xf>
    <xf numFmtId="37" fontId="44" fillId="0" borderId="0" xfId="157" applyFont="1" applyProtection="1"/>
    <xf numFmtId="37" fontId="45" fillId="0" borderId="0" xfId="157" applyFont="1"/>
    <xf numFmtId="37" fontId="33" fillId="0" borderId="0" xfId="157" applyAlignment="1">
      <alignment horizontal="center"/>
    </xf>
    <xf numFmtId="5" fontId="45" fillId="0" borderId="0" xfId="159" applyNumberFormat="1" applyFont="1" applyFill="1"/>
    <xf numFmtId="37" fontId="33" fillId="0" borderId="0" xfId="157" applyFill="1"/>
    <xf numFmtId="37" fontId="35" fillId="0" borderId="0" xfId="157" applyFont="1" applyFill="1"/>
    <xf numFmtId="5" fontId="45" fillId="0" borderId="0" xfId="159" applyNumberFormat="1" applyFont="1"/>
    <xf numFmtId="5" fontId="45" fillId="0" borderId="0" xfId="159" applyNumberFormat="1" applyFont="1" applyFill="1" applyAlignment="1">
      <alignment horizontal="right"/>
    </xf>
    <xf numFmtId="0" fontId="45" fillId="0" borderId="0" xfId="158" applyFont="1" applyFill="1"/>
    <xf numFmtId="37" fontId="45" fillId="0" borderId="0" xfId="157" applyFont="1" applyFill="1"/>
    <xf numFmtId="37" fontId="45" fillId="0" borderId="0" xfId="160" applyNumberFormat="1" applyFont="1" applyFill="1"/>
    <xf numFmtId="37" fontId="45" fillId="0" borderId="0" xfId="160" applyNumberFormat="1" applyFont="1"/>
    <xf numFmtId="37" fontId="45" fillId="0" borderId="0" xfId="158" applyNumberFormat="1" applyFont="1"/>
    <xf numFmtId="37" fontId="45" fillId="0" borderId="0" xfId="160" applyNumberFormat="1" applyFont="1" applyBorder="1"/>
    <xf numFmtId="37" fontId="45" fillId="0" borderId="0" xfId="160" applyNumberFormat="1" applyFont="1" applyFill="1" applyBorder="1"/>
    <xf numFmtId="37" fontId="33" fillId="0" borderId="0" xfId="157" applyFont="1" applyFill="1"/>
    <xf numFmtId="49" fontId="33" fillId="0" borderId="0" xfId="157" applyNumberFormat="1" applyAlignment="1">
      <alignment horizontal="center"/>
    </xf>
    <xf numFmtId="37" fontId="46" fillId="0" borderId="0" xfId="157" applyFont="1" applyFill="1"/>
    <xf numFmtId="37" fontId="33" fillId="0" borderId="0" xfId="157" applyBorder="1" applyProtection="1"/>
    <xf numFmtId="37" fontId="33" fillId="0" borderId="9" xfId="157" applyFill="1" applyBorder="1" applyProtection="1"/>
    <xf numFmtId="37" fontId="38" fillId="0" borderId="0" xfId="157" applyFont="1" applyAlignment="1" applyProtection="1">
      <alignment horizontal="center"/>
    </xf>
    <xf numFmtId="37" fontId="38" fillId="0" borderId="0" xfId="157" applyFont="1"/>
    <xf numFmtId="37" fontId="33" fillId="0" borderId="2" xfId="157" applyBorder="1"/>
    <xf numFmtId="37" fontId="43" fillId="0" borderId="0" xfId="157" applyFont="1"/>
    <xf numFmtId="37" fontId="45" fillId="0" borderId="0" xfId="157" applyFont="1" applyFill="1" applyProtection="1"/>
    <xf numFmtId="37" fontId="33" fillId="0" borderId="10" xfId="157" applyBorder="1" applyProtection="1"/>
    <xf numFmtId="37" fontId="33" fillId="0" borderId="10" xfId="157" applyFill="1" applyBorder="1" applyProtection="1"/>
    <xf numFmtId="37" fontId="33" fillId="0" borderId="0" xfId="157" applyFont="1" applyProtection="1"/>
    <xf numFmtId="37" fontId="45" fillId="0" borderId="9" xfId="157" applyFont="1" applyFill="1" applyBorder="1" applyProtection="1"/>
    <xf numFmtId="43" fontId="47" fillId="0" borderId="0" xfId="1" applyFont="1" applyFill="1" applyAlignment="1" applyProtection="1">
      <alignment horizontal="right"/>
    </xf>
    <xf numFmtId="37" fontId="47" fillId="0" borderId="0" xfId="157" applyFont="1" applyFill="1" applyAlignment="1" applyProtection="1">
      <alignment horizontal="right"/>
    </xf>
    <xf numFmtId="37" fontId="48" fillId="0" borderId="0" xfId="157" applyFont="1" applyFill="1" applyProtection="1"/>
    <xf numFmtId="37" fontId="48" fillId="0" borderId="0" xfId="157" applyFont="1" applyProtection="1"/>
    <xf numFmtId="37" fontId="49" fillId="0" borderId="0" xfId="157" applyFont="1" applyProtection="1"/>
    <xf numFmtId="37" fontId="36" fillId="0" borderId="11" xfId="157" applyFont="1" applyBorder="1" applyProtection="1"/>
    <xf numFmtId="37" fontId="34" fillId="0" borderId="12" xfId="157" applyFont="1" applyBorder="1" applyProtection="1"/>
    <xf numFmtId="37" fontId="39" fillId="0" borderId="0" xfId="157" applyFont="1" applyAlignment="1">
      <alignment horizontal="center"/>
    </xf>
    <xf numFmtId="39" fontId="33" fillId="0" borderId="0" xfId="157" applyNumberFormat="1"/>
    <xf numFmtId="37" fontId="33" fillId="0" borderId="0" xfId="157" applyAlignment="1">
      <alignment horizontal="right"/>
    </xf>
    <xf numFmtId="5" fontId="38" fillId="0" borderId="0" xfId="158" applyNumberFormat="1" applyFont="1" applyAlignment="1">
      <alignment horizontal="center"/>
    </xf>
    <xf numFmtId="37" fontId="33" fillId="0" borderId="0" xfId="157" applyBorder="1"/>
    <xf numFmtId="5" fontId="43" fillId="0" borderId="0" xfId="158" applyNumberFormat="1" applyFont="1" applyAlignment="1">
      <alignment horizontal="center"/>
    </xf>
    <xf numFmtId="37" fontId="33" fillId="0" borderId="0" xfId="157" applyAlignment="1"/>
    <xf numFmtId="37" fontId="50" fillId="0" borderId="2" xfId="157" applyFont="1" applyBorder="1"/>
    <xf numFmtId="37" fontId="51" fillId="0" borderId="0" xfId="157" applyFont="1"/>
    <xf numFmtId="37" fontId="33" fillId="0" borderId="1" xfId="157" applyBorder="1" applyAlignment="1">
      <alignment horizontal="center"/>
    </xf>
    <xf numFmtId="37" fontId="33" fillId="0" borderId="4" xfId="157" applyBorder="1"/>
    <xf numFmtId="37" fontId="33" fillId="0" borderId="0" xfId="157" applyBorder="1" applyAlignment="1">
      <alignment horizontal="center"/>
    </xf>
    <xf numFmtId="37" fontId="33" fillId="0" borderId="13" xfId="157" applyBorder="1" applyProtection="1"/>
    <xf numFmtId="37" fontId="33" fillId="0" borderId="14" xfId="157" applyBorder="1" applyProtection="1"/>
    <xf numFmtId="37" fontId="34" fillId="0" borderId="14" xfId="157" applyFont="1" applyBorder="1" applyProtection="1"/>
    <xf numFmtId="37" fontId="33" fillId="0" borderId="14" xfId="157" applyBorder="1"/>
    <xf numFmtId="37" fontId="36" fillId="0" borderId="14" xfId="157" applyFont="1" applyBorder="1" applyProtection="1"/>
    <xf numFmtId="37" fontId="52" fillId="0" borderId="14" xfId="157" applyFont="1" applyBorder="1" applyAlignment="1" applyProtection="1">
      <alignment horizontal="center"/>
    </xf>
    <xf numFmtId="37" fontId="53" fillId="0" borderId="14" xfId="157" applyFont="1" applyBorder="1" applyProtection="1"/>
    <xf numFmtId="37" fontId="54" fillId="0" borderId="14" xfId="157" applyFont="1" applyBorder="1" applyProtection="1"/>
    <xf numFmtId="37" fontId="36" fillId="0" borderId="15" xfId="157" applyFont="1" applyBorder="1" applyProtection="1"/>
    <xf numFmtId="37" fontId="33" fillId="0" borderId="0" xfId="157" applyAlignment="1" applyProtection="1">
      <alignment horizontal="center"/>
    </xf>
    <xf numFmtId="37" fontId="55" fillId="0" borderId="0" xfId="157" quotePrefix="1" applyFont="1" applyAlignment="1" applyProtection="1">
      <alignment horizontal="right"/>
    </xf>
    <xf numFmtId="37" fontId="56" fillId="0" borderId="0" xfId="157" applyFont="1"/>
    <xf numFmtId="37" fontId="57" fillId="0" borderId="0" xfId="157" applyFont="1"/>
    <xf numFmtId="37" fontId="58" fillId="0" borderId="0" xfId="157" applyFont="1"/>
    <xf numFmtId="37" fontId="38" fillId="0" borderId="0" xfId="157" applyFont="1" applyAlignment="1">
      <alignment horizontal="center"/>
    </xf>
    <xf numFmtId="37" fontId="59" fillId="0" borderId="0" xfId="157" applyFont="1"/>
    <xf numFmtId="37" fontId="45" fillId="0" borderId="0" xfId="157" applyFont="1" applyFill="1" applyBorder="1"/>
    <xf numFmtId="37" fontId="33" fillId="0" borderId="1" xfId="157" applyBorder="1"/>
    <xf numFmtId="37" fontId="45" fillId="0" borderId="1" xfId="157" applyFont="1" applyFill="1" applyBorder="1"/>
    <xf numFmtId="37" fontId="40" fillId="0" borderId="0" xfId="157" applyFont="1"/>
    <xf numFmtId="37" fontId="33" fillId="0" borderId="0" xfId="157" applyFont="1" applyAlignment="1">
      <alignment horizontal="right"/>
    </xf>
    <xf numFmtId="37" fontId="37" fillId="0" borderId="2" xfId="157" applyFont="1" applyBorder="1"/>
    <xf numFmtId="37" fontId="40" fillId="0" borderId="0" xfId="157" applyFont="1" applyProtection="1"/>
    <xf numFmtId="37" fontId="60" fillId="0" borderId="0" xfId="157" applyFont="1" applyAlignment="1" applyProtection="1">
      <alignment horizontal="right"/>
    </xf>
    <xf numFmtId="37" fontId="40" fillId="0" borderId="0" xfId="157" applyFont="1" applyAlignment="1">
      <alignment horizontal="center"/>
    </xf>
    <xf numFmtId="37" fontId="40" fillId="0" borderId="0" xfId="157" applyFont="1" applyBorder="1"/>
    <xf numFmtId="37" fontId="60" fillId="0" borderId="0" xfId="157" applyFont="1" applyBorder="1"/>
    <xf numFmtId="37" fontId="57" fillId="0" borderId="0" xfId="157" quotePrefix="1" applyFont="1" applyAlignment="1">
      <alignment horizontal="center"/>
    </xf>
    <xf numFmtId="37" fontId="40" fillId="0" borderId="0" xfId="157" quotePrefix="1" applyFont="1" applyBorder="1" applyAlignment="1">
      <alignment horizontal="center"/>
    </xf>
    <xf numFmtId="37" fontId="33" fillId="0" borderId="0" xfId="157" applyAlignment="1" applyProtection="1">
      <alignment horizontal="right"/>
    </xf>
    <xf numFmtId="164" fontId="33" fillId="0" borderId="0" xfId="157" applyNumberFormat="1" applyBorder="1" applyProtection="1"/>
    <xf numFmtId="37" fontId="33" fillId="0" borderId="5" xfId="157" applyBorder="1"/>
    <xf numFmtId="164" fontId="33" fillId="0" borderId="0" xfId="157" applyNumberFormat="1" applyProtection="1"/>
    <xf numFmtId="164" fontId="33" fillId="0" borderId="0" xfId="157" applyNumberFormat="1" applyBorder="1" applyAlignment="1" applyProtection="1">
      <alignment horizontal="right"/>
    </xf>
    <xf numFmtId="164" fontId="33" fillId="0" borderId="1" xfId="157" applyNumberFormat="1" applyBorder="1" applyProtection="1"/>
    <xf numFmtId="164" fontId="33" fillId="0" borderId="9" xfId="157" applyNumberFormat="1" applyBorder="1" applyProtection="1"/>
    <xf numFmtId="178" fontId="33" fillId="0" borderId="0" xfId="2" applyNumberFormat="1" applyFont="1"/>
    <xf numFmtId="178" fontId="0" fillId="0" borderId="0" xfId="2" applyNumberFormat="1" applyFont="1"/>
    <xf numFmtId="172" fontId="33" fillId="0" borderId="0" xfId="157" applyNumberFormat="1" applyBorder="1"/>
    <xf numFmtId="164" fontId="33" fillId="0" borderId="0" xfId="157" applyNumberFormat="1" applyAlignment="1" applyProtection="1">
      <alignment horizontal="right"/>
    </xf>
    <xf numFmtId="164" fontId="33" fillId="0" borderId="12" xfId="157" applyNumberFormat="1" applyBorder="1" applyProtection="1"/>
    <xf numFmtId="164" fontId="33" fillId="0" borderId="2" xfId="157" applyNumberFormat="1" applyBorder="1" applyProtection="1"/>
    <xf numFmtId="178" fontId="40" fillId="0" borderId="2" xfId="2" applyNumberFormat="1" applyFont="1" applyBorder="1"/>
    <xf numFmtId="172" fontId="33" fillId="0" borderId="0" xfId="157" applyNumberFormat="1"/>
    <xf numFmtId="37" fontId="39" fillId="0" borderId="0" xfId="157" applyFont="1"/>
    <xf numFmtId="37" fontId="33" fillId="0" borderId="0" xfId="157" applyFill="1" applyBorder="1" applyProtection="1"/>
    <xf numFmtId="37" fontId="33" fillId="0" borderId="0" xfId="157" applyFill="1" applyBorder="1"/>
    <xf numFmtId="37" fontId="35" fillId="0" borderId="0" xfId="157" applyFont="1" applyFill="1" applyBorder="1"/>
    <xf numFmtId="37" fontId="33" fillId="0" borderId="0" xfId="157" applyBorder="1" applyAlignment="1" applyProtection="1">
      <alignment horizontal="right"/>
    </xf>
    <xf numFmtId="37" fontId="33" fillId="0" borderId="0" xfId="157" quotePrefix="1" applyBorder="1" applyAlignment="1">
      <alignment horizontal="center"/>
    </xf>
    <xf numFmtId="37" fontId="33" fillId="0" borderId="0" xfId="157" applyFont="1"/>
    <xf numFmtId="37" fontId="35" fillId="0" borderId="0" xfId="157" applyFont="1" applyBorder="1"/>
    <xf numFmtId="37" fontId="40" fillId="0" borderId="0" xfId="157" quotePrefix="1" applyFont="1" applyFill="1" applyBorder="1" applyAlignment="1">
      <alignment horizontal="center"/>
    </xf>
    <xf numFmtId="37" fontId="33" fillId="0" borderId="0" xfId="157" applyFill="1" applyBorder="1" applyAlignment="1">
      <alignment horizontal="center"/>
    </xf>
    <xf numFmtId="41" fontId="2" fillId="0" borderId="1" xfId="0" applyNumberFormat="1" applyFont="1" applyBorder="1" applyAlignment="1">
      <alignment horizontal="center"/>
    </xf>
    <xf numFmtId="37" fontId="40" fillId="0" borderId="0" xfId="157" applyFont="1" applyAlignment="1">
      <alignment horizontal="center"/>
    </xf>
    <xf numFmtId="37" fontId="40" fillId="0" borderId="0" xfId="157" applyFont="1" applyAlignment="1">
      <alignment horizontal="center"/>
    </xf>
    <xf numFmtId="37" fontId="33" fillId="0" borderId="16" xfId="157" applyBorder="1" applyProtection="1"/>
    <xf numFmtId="37" fontId="33" fillId="0" borderId="16" xfId="157" applyFill="1" applyBorder="1" applyProtection="1"/>
    <xf numFmtId="43" fontId="47" fillId="0" borderId="0" xfId="161" applyFont="1" applyFill="1" applyAlignment="1" applyProtection="1">
      <alignment horizontal="right"/>
    </xf>
    <xf numFmtId="37" fontId="34" fillId="0" borderId="17" xfId="157" applyFont="1" applyBorder="1" applyProtection="1"/>
    <xf numFmtId="37" fontId="37" fillId="0" borderId="0" xfId="157" applyFont="1" applyBorder="1"/>
    <xf numFmtId="37" fontId="60" fillId="0" borderId="0" xfId="157" applyFont="1" applyAlignment="1" applyProtection="1">
      <alignment horizontal="left"/>
    </xf>
    <xf numFmtId="37" fontId="57" fillId="0" borderId="18" xfId="157" quotePrefix="1" applyFont="1" applyBorder="1" applyAlignment="1">
      <alignment horizontal="center"/>
    </xf>
    <xf numFmtId="178" fontId="33" fillId="0" borderId="0" xfId="162" applyNumberFormat="1" applyFont="1"/>
    <xf numFmtId="178" fontId="0" fillId="0" borderId="0" xfId="162" applyNumberFormat="1" applyFont="1"/>
    <xf numFmtId="178" fontId="40" fillId="0" borderId="2" xfId="162" applyNumberFormat="1" applyFont="1" applyBorder="1"/>
    <xf numFmtId="37" fontId="46" fillId="0" borderId="0" xfId="157" applyFont="1"/>
    <xf numFmtId="37" fontId="40" fillId="0" borderId="19" xfId="157" applyFont="1" applyBorder="1"/>
    <xf numFmtId="37" fontId="33" fillId="0" borderId="0" xfId="157" applyFont="1" applyAlignment="1">
      <alignment horizontal="center"/>
    </xf>
    <xf numFmtId="164" fontId="33" fillId="0" borderId="18" xfId="157" applyNumberFormat="1" applyBorder="1" applyProtection="1"/>
    <xf numFmtId="164" fontId="33" fillId="0" borderId="17" xfId="157" applyNumberFormat="1" applyBorder="1" applyProtection="1"/>
    <xf numFmtId="169" fontId="5" fillId="0" borderId="0" xfId="1" applyNumberFormat="1" applyFont="1" applyBorder="1"/>
    <xf numFmtId="41" fontId="17" fillId="0" borderId="0" xfId="0" applyNumberFormat="1" applyFont="1" applyAlignment="1">
      <alignment horizontal="center"/>
    </xf>
    <xf numFmtId="169" fontId="4" fillId="4" borderId="0" xfId="0" applyNumberFormat="1" applyFont="1" applyFill="1"/>
    <xf numFmtId="37" fontId="33" fillId="0" borderId="0" xfId="157" applyBorder="1" applyAlignment="1" applyProtection="1">
      <alignment horizontal="center"/>
    </xf>
    <xf numFmtId="37" fontId="33" fillId="0" borderId="9" xfId="157" applyBorder="1" applyAlignment="1" applyProtection="1">
      <alignment horizontal="center"/>
    </xf>
    <xf numFmtId="37" fontId="33" fillId="0" borderId="0" xfId="157" quotePrefix="1" applyBorder="1" applyAlignment="1" applyProtection="1">
      <alignment horizontal="center"/>
    </xf>
    <xf numFmtId="37" fontId="33" fillId="0" borderId="9" xfId="157" applyFont="1" applyBorder="1" applyProtection="1"/>
    <xf numFmtId="37" fontId="33" fillId="0" borderId="21" xfId="157" applyBorder="1" applyProtection="1"/>
    <xf numFmtId="37" fontId="33" fillId="0" borderId="21" xfId="157" applyFill="1" applyBorder="1" applyProtection="1"/>
    <xf numFmtId="37" fontId="38" fillId="0" borderId="0" xfId="157" applyFont="1" applyBorder="1" applyAlignment="1">
      <alignment horizontal="right"/>
    </xf>
    <xf numFmtId="37" fontId="34" fillId="0" borderId="22" xfId="157" applyFont="1" applyBorder="1" applyProtection="1"/>
    <xf numFmtId="37" fontId="63" fillId="0" borderId="0" xfId="157" applyFont="1" applyBorder="1" applyAlignment="1">
      <alignment horizontal="left"/>
    </xf>
    <xf numFmtId="37" fontId="33" fillId="0" borderId="0" xfId="157" applyAlignment="1">
      <alignment horizontal="left"/>
    </xf>
    <xf numFmtId="37" fontId="50" fillId="0" borderId="5" xfId="157" applyFont="1" applyBorder="1"/>
    <xf numFmtId="37" fontId="63" fillId="0" borderId="0" xfId="157" applyFont="1"/>
    <xf numFmtId="37" fontId="33" fillId="0" borderId="1" xfId="157" applyFill="1" applyBorder="1"/>
    <xf numFmtId="37" fontId="38" fillId="0" borderId="0" xfId="157" applyFont="1" applyBorder="1"/>
    <xf numFmtId="37" fontId="50" fillId="0" borderId="0" xfId="157" applyFont="1" applyBorder="1"/>
    <xf numFmtId="37" fontId="64" fillId="0" borderId="0" xfId="157" applyFont="1"/>
    <xf numFmtId="37" fontId="33" fillId="0" borderId="23" xfId="157" applyBorder="1" applyProtection="1"/>
    <xf numFmtId="37" fontId="34" fillId="0" borderId="0" xfId="157" applyFont="1" applyBorder="1" applyProtection="1"/>
    <xf numFmtId="37" fontId="36" fillId="0" borderId="0" xfId="157" applyFont="1" applyBorder="1" applyProtection="1"/>
    <xf numFmtId="37" fontId="52" fillId="0" borderId="0" xfId="157" applyFont="1" applyBorder="1" applyAlignment="1" applyProtection="1">
      <alignment horizontal="center"/>
    </xf>
    <xf numFmtId="37" fontId="34" fillId="0" borderId="24" xfId="157" applyFont="1" applyBorder="1" applyProtection="1"/>
    <xf numFmtId="37" fontId="53" fillId="0" borderId="24" xfId="157" applyFont="1" applyBorder="1" applyProtection="1"/>
    <xf numFmtId="37" fontId="53" fillId="0" borderId="0" xfId="157" applyFont="1" applyBorder="1" applyProtection="1"/>
    <xf numFmtId="37" fontId="33" fillId="0" borderId="25" xfId="157" applyBorder="1"/>
    <xf numFmtId="37" fontId="33" fillId="0" borderId="19" xfId="157" applyBorder="1"/>
    <xf numFmtId="178" fontId="33" fillId="0" borderId="18" xfId="162" applyNumberFormat="1" applyFont="1" applyBorder="1"/>
    <xf numFmtId="178" fontId="40" fillId="0" borderId="19" xfId="162" applyNumberFormat="1" applyFont="1" applyBorder="1"/>
    <xf numFmtId="37" fontId="63" fillId="0" borderId="0" xfId="157" applyFont="1" applyProtection="1"/>
    <xf numFmtId="37" fontId="40" fillId="0" borderId="0" xfId="157" applyFont="1" applyFill="1"/>
    <xf numFmtId="164" fontId="33" fillId="0" borderId="22" xfId="157" applyNumberFormat="1" applyBorder="1" applyProtection="1"/>
    <xf numFmtId="37" fontId="65" fillId="0" borderId="0" xfId="157" applyFont="1" applyProtection="1"/>
    <xf numFmtId="169" fontId="5" fillId="0" borderId="0" xfId="1" applyNumberFormat="1" applyFont="1" applyFill="1" applyBorder="1"/>
    <xf numFmtId="169" fontId="4" fillId="0" borderId="0" xfId="0" applyNumberFormat="1" applyFont="1"/>
    <xf numFmtId="0" fontId="0" fillId="0" borderId="1" xfId="0" applyBorder="1"/>
    <xf numFmtId="176" fontId="5" fillId="0" borderId="0" xfId="2" applyNumberFormat="1" applyFont="1"/>
    <xf numFmtId="10" fontId="4" fillId="0" borderId="0" xfId="2" applyNumberFormat="1" applyFont="1"/>
    <xf numFmtId="0" fontId="6" fillId="0" borderId="0" xfId="0" applyFont="1" applyAlignment="1">
      <alignment horizontal="center" vertical="center"/>
    </xf>
    <xf numFmtId="0" fontId="5" fillId="0" borderId="0" xfId="0" applyFont="1" applyAlignment="1">
      <alignment horizontal="center"/>
    </xf>
    <xf numFmtId="0" fontId="6" fillId="0" borderId="0" xfId="0" quotePrefix="1" applyFont="1" applyAlignment="1">
      <alignment horizontal="center" vertical="center"/>
    </xf>
    <xf numFmtId="0" fontId="0" fillId="0" borderId="0" xfId="0" applyAlignment="1">
      <alignment horizontal="center" vertical="center"/>
    </xf>
    <xf numFmtId="164" fontId="6" fillId="0" borderId="0" xfId="2" applyNumberFormat="1" applyFont="1" applyAlignment="1">
      <alignment vertical="center"/>
    </xf>
    <xf numFmtId="0" fontId="0" fillId="0" borderId="0" xfId="0" applyAlignment="1">
      <alignment vertical="center"/>
    </xf>
    <xf numFmtId="0" fontId="8" fillId="0" borderId="0" xfId="0" applyFont="1" applyAlignment="1">
      <alignment horizontal="center"/>
    </xf>
    <xf numFmtId="0" fontId="5" fillId="0" borderId="0" xfId="0" applyFont="1" applyAlignment="1"/>
    <xf numFmtId="41" fontId="2" fillId="0" borderId="1" xfId="0" applyNumberFormat="1" applyFont="1" applyBorder="1" applyAlignment="1">
      <alignment horizontal="center"/>
    </xf>
    <xf numFmtId="0" fontId="5" fillId="0" borderId="1" xfId="0" applyFont="1" applyBorder="1" applyAlignment="1">
      <alignment horizontal="center"/>
    </xf>
    <xf numFmtId="41" fontId="11" fillId="0" borderId="0" xfId="0" quotePrefix="1" applyNumberFormat="1" applyFont="1" applyAlignment="1">
      <alignment horizontal="left"/>
    </xf>
    <xf numFmtId="41" fontId="11" fillId="0" borderId="0" xfId="0" applyNumberFormat="1" applyFont="1" applyAlignment="1">
      <alignment horizontal="left"/>
    </xf>
    <xf numFmtId="37" fontId="37" fillId="0" borderId="20" xfId="157" applyFont="1" applyBorder="1" applyAlignment="1">
      <alignment horizontal="center"/>
    </xf>
    <xf numFmtId="0" fontId="2" fillId="0" borderId="0" xfId="157" applyNumberFormat="1" applyFont="1" applyFill="1" applyAlignment="1">
      <alignment horizontal="left" vertical="top" wrapText="1"/>
    </xf>
    <xf numFmtId="37" fontId="37" fillId="0" borderId="20" xfId="157" applyFont="1" applyBorder="1" applyAlignment="1" applyProtection="1">
      <alignment horizontal="center"/>
    </xf>
    <xf numFmtId="37" fontId="40" fillId="0" borderId="0" xfId="157" applyFont="1" applyAlignment="1">
      <alignment horizontal="center"/>
    </xf>
    <xf numFmtId="37" fontId="33" fillId="0" borderId="1" xfId="157" applyBorder="1" applyAlignment="1" applyProtection="1">
      <alignment horizontal="center"/>
    </xf>
    <xf numFmtId="37" fontId="33" fillId="0" borderId="9" xfId="157" applyBorder="1" applyAlignment="1" applyProtection="1">
      <alignment horizontal="center"/>
    </xf>
    <xf numFmtId="0" fontId="2" fillId="0" borderId="0" xfId="157" applyNumberFormat="1" applyFont="1" applyFill="1" applyAlignment="1">
      <alignment vertical="top" wrapText="1"/>
    </xf>
    <xf numFmtId="37" fontId="2" fillId="0" borderId="0" xfId="157" applyFont="1" applyAlignment="1">
      <alignment vertical="top" wrapText="1"/>
    </xf>
    <xf numFmtId="37" fontId="33" fillId="0" borderId="0" xfId="157" applyFont="1" applyAlignment="1">
      <alignment wrapText="1"/>
    </xf>
    <xf numFmtId="41" fontId="5" fillId="0" borderId="0" xfId="0" applyNumberFormat="1" applyFont="1" applyFill="1" applyAlignment="1">
      <alignment horizontal="center"/>
    </xf>
    <xf numFmtId="169" fontId="5" fillId="0" borderId="0" xfId="1" applyNumberFormat="1" applyFont="1" applyFill="1"/>
  </cellXfs>
  <cellStyles count="163">
    <cellStyle name="Accent1 - 20%" xfId="4"/>
    <cellStyle name="Accent1 - 40%" xfId="5"/>
    <cellStyle name="Accent1 - 60%" xfId="6"/>
    <cellStyle name="Accent2 - 20%" xfId="7"/>
    <cellStyle name="Accent2 - 40%" xfId="8"/>
    <cellStyle name="Accent2 - 60%" xfId="9"/>
    <cellStyle name="Accent3 - 20%" xfId="10"/>
    <cellStyle name="Accent3 - 40%" xfId="11"/>
    <cellStyle name="Accent3 - 60%" xfId="12"/>
    <cellStyle name="Accent4 - 20%" xfId="13"/>
    <cellStyle name="Accent4 - 40%" xfId="14"/>
    <cellStyle name="Accent4 - 60%" xfId="15"/>
    <cellStyle name="Accent5 - 20%" xfId="16"/>
    <cellStyle name="Accent5 - 40%" xfId="17"/>
    <cellStyle name="Accent5 - 60%" xfId="18"/>
    <cellStyle name="Accent6 - 20%" xfId="19"/>
    <cellStyle name="Accent6 - 40%" xfId="20"/>
    <cellStyle name="Accent6 - 60%" xfId="21"/>
    <cellStyle name="Comma" xfId="1" builtinId="3"/>
    <cellStyle name="Comma 2" xfId="22"/>
    <cellStyle name="Comma 2 2" xfId="23"/>
    <cellStyle name="Comma 2 2 2" xfId="24"/>
    <cellStyle name="Comma 2 3" xfId="25"/>
    <cellStyle name="Comma 2 4" xfId="26"/>
    <cellStyle name="Comma 2 5" xfId="160"/>
    <cellStyle name="Comma 3" xfId="27"/>
    <cellStyle name="Comma 3 2" xfId="28"/>
    <cellStyle name="Comma 4" xfId="29"/>
    <cellStyle name="Comma 5" xfId="30"/>
    <cellStyle name="Comma 6" xfId="161"/>
    <cellStyle name="Comma 8" xfId="31"/>
    <cellStyle name="Currency 2" xfId="32"/>
    <cellStyle name="Currency 2 2" xfId="159"/>
    <cellStyle name="Currency 3" xfId="33"/>
    <cellStyle name="Emphasis 1" xfId="34"/>
    <cellStyle name="Emphasis 2" xfId="35"/>
    <cellStyle name="Emphasis 3" xfId="36"/>
    <cellStyle name="Normal" xfId="0" builtinId="0"/>
    <cellStyle name="Normal 10" xfId="37"/>
    <cellStyle name="Normal 10 6" xfId="38"/>
    <cellStyle name="Normal 11" xfId="157"/>
    <cellStyle name="Normal 12" xfId="39"/>
    <cellStyle name="Normal 13" xfId="40"/>
    <cellStyle name="Normal 14" xfId="41"/>
    <cellStyle name="Normal 15" xfId="42"/>
    <cellStyle name="Normal 16" xfId="43"/>
    <cellStyle name="Normal 2" xfId="3"/>
    <cellStyle name="Normal 2 2" xfId="44"/>
    <cellStyle name="Normal 2 2 2" xfId="45"/>
    <cellStyle name="Normal 2 3" xfId="46"/>
    <cellStyle name="Normal 2 3 2" xfId="47"/>
    <cellStyle name="Normal 2 4" xfId="48"/>
    <cellStyle name="Normal 2 4 2" xfId="49"/>
    <cellStyle name="Normal 2 5" xfId="50"/>
    <cellStyle name="Normal 2 6" xfId="51"/>
    <cellStyle name="Normal 2 6 2" xfId="52"/>
    <cellStyle name="Normal 2 6 2 2" xfId="53"/>
    <cellStyle name="Normal 2 6 2 2 2" xfId="54"/>
    <cellStyle name="Normal 2 6 2 3" xfId="55"/>
    <cellStyle name="Normal 2 6 2 3 2" xfId="56"/>
    <cellStyle name="Normal 2 6 2 4" xfId="57"/>
    <cellStyle name="Normal 2 6 2 4 2" xfId="58"/>
    <cellStyle name="Normal 2 6 2 5" xfId="59"/>
    <cellStyle name="Normal 2 6 2 6" xfId="60"/>
    <cellStyle name="Normal 2 6 3" xfId="61"/>
    <cellStyle name="Normal 2 6 3 2" xfId="62"/>
    <cellStyle name="Normal 2 6 4" xfId="63"/>
    <cellStyle name="Normal 2 6 4 2" xfId="64"/>
    <cellStyle name="Normal 2 6 5" xfId="65"/>
    <cellStyle name="Normal 2 6 5 2" xfId="66"/>
    <cellStyle name="Normal 2 6 6" xfId="67"/>
    <cellStyle name="Normal 2 6 6 2" xfId="68"/>
    <cellStyle name="Normal 2 6 7" xfId="69"/>
    <cellStyle name="Normal 2 6 8" xfId="70"/>
    <cellStyle name="Normal 2 7" xfId="71"/>
    <cellStyle name="Normal 3" xfId="72"/>
    <cellStyle name="Normal 3 2" xfId="73"/>
    <cellStyle name="Normal 3 2 2" xfId="74"/>
    <cellStyle name="Normal 3 3" xfId="158"/>
    <cellStyle name="Normal 4" xfId="75"/>
    <cellStyle name="Normal 4 2" xfId="76"/>
    <cellStyle name="Normal 5" xfId="77"/>
    <cellStyle name="Normal 5 2" xfId="78"/>
    <cellStyle name="Normal 6" xfId="79"/>
    <cellStyle name="Normal 6 2" xfId="80"/>
    <cellStyle name="Normal 6 2 2" xfId="81"/>
    <cellStyle name="Normal 6 2 2 2" xfId="82"/>
    <cellStyle name="Normal 6 2 3" xfId="83"/>
    <cellStyle name="Normal 6 2 3 2" xfId="84"/>
    <cellStyle name="Normal 6 2 4" xfId="85"/>
    <cellStyle name="Normal 6 2 4 2" xfId="86"/>
    <cellStyle name="Normal 6 2 5" xfId="87"/>
    <cellStyle name="Normal 6 2 6" xfId="88"/>
    <cellStyle name="Normal 6 3" xfId="89"/>
    <cellStyle name="Normal 6 3 2" xfId="90"/>
    <cellStyle name="Normal 6 4" xfId="91"/>
    <cellStyle name="Normal 6 4 2" xfId="92"/>
    <cellStyle name="Normal 6 5" xfId="93"/>
    <cellStyle name="Normal 6 5 2" xfId="94"/>
    <cellStyle name="Normal 6 6" xfId="95"/>
    <cellStyle name="Normal 6 6 2" xfId="96"/>
    <cellStyle name="Normal 6 7" xfId="97"/>
    <cellStyle name="Normal 6 8" xfId="98"/>
    <cellStyle name="Normal 7" xfId="99"/>
    <cellStyle name="Normal 8" xfId="100"/>
    <cellStyle name="Normal 9" xfId="101"/>
    <cellStyle name="Percent" xfId="2" builtinId="5"/>
    <cellStyle name="Percent 2" xfId="102"/>
    <cellStyle name="Percent 3" xfId="103"/>
    <cellStyle name="Percent 3 2" xfId="104"/>
    <cellStyle name="Percent 3 3" xfId="105"/>
    <cellStyle name="Percent 4" xfId="106"/>
    <cellStyle name="Percent 5" xfId="107"/>
    <cellStyle name="Percent 6" xfId="162"/>
    <cellStyle name="SAPBEXaggData" xfId="108"/>
    <cellStyle name="SAPBEXaggDataEmph" xfId="109"/>
    <cellStyle name="SAPBEXaggItem" xfId="110"/>
    <cellStyle name="SAPBEXaggItemX" xfId="111"/>
    <cellStyle name="SAPBEXchaText" xfId="112"/>
    <cellStyle name="SAPBEXexcBad7" xfId="113"/>
    <cellStyle name="SAPBEXexcBad8" xfId="114"/>
    <cellStyle name="SAPBEXexcBad9" xfId="115"/>
    <cellStyle name="SAPBEXexcCritical4" xfId="116"/>
    <cellStyle name="SAPBEXexcCritical5" xfId="117"/>
    <cellStyle name="SAPBEXexcCritical6" xfId="118"/>
    <cellStyle name="SAPBEXexcGood1" xfId="119"/>
    <cellStyle name="SAPBEXexcGood2" xfId="120"/>
    <cellStyle name="SAPBEXexcGood3" xfId="121"/>
    <cellStyle name="SAPBEXfilterDrill" xfId="122"/>
    <cellStyle name="SAPBEXfilterItem" xfId="123"/>
    <cellStyle name="SAPBEXfilterText" xfId="124"/>
    <cellStyle name="SAPBEXformats" xfId="125"/>
    <cellStyle name="SAPBEXheaderItem" xfId="126"/>
    <cellStyle name="SAPBEXheaderText" xfId="127"/>
    <cellStyle name="SAPBEXHLevel0" xfId="128"/>
    <cellStyle name="SAPBEXHLevel0 2" xfId="129"/>
    <cellStyle name="SAPBEXHLevel0X" xfId="130"/>
    <cellStyle name="SAPBEXHLevel0X 2" xfId="131"/>
    <cellStyle name="SAPBEXHLevel1" xfId="132"/>
    <cellStyle name="SAPBEXHLevel1 2" xfId="133"/>
    <cellStyle name="SAPBEXHLevel1X" xfId="134"/>
    <cellStyle name="SAPBEXHLevel1X 2" xfId="135"/>
    <cellStyle name="SAPBEXHLevel2" xfId="136"/>
    <cellStyle name="SAPBEXHLevel2 2" xfId="137"/>
    <cellStyle name="SAPBEXHLevel2X" xfId="138"/>
    <cellStyle name="SAPBEXHLevel2X 2" xfId="139"/>
    <cellStyle name="SAPBEXHLevel3" xfId="140"/>
    <cellStyle name="SAPBEXHLevel3 2" xfId="141"/>
    <cellStyle name="SAPBEXHLevel3X" xfId="142"/>
    <cellStyle name="SAPBEXHLevel3X 2" xfId="143"/>
    <cellStyle name="SAPBEXinputData" xfId="144"/>
    <cellStyle name="SAPBEXinputData 2" xfId="145"/>
    <cellStyle name="SAPBEXresData" xfId="146"/>
    <cellStyle name="SAPBEXresDataEmph" xfId="147"/>
    <cellStyle name="SAPBEXresItem" xfId="148"/>
    <cellStyle name="SAPBEXresItemX" xfId="149"/>
    <cellStyle name="SAPBEXstdData" xfId="150"/>
    <cellStyle name="SAPBEXstdDataEmph" xfId="151"/>
    <cellStyle name="SAPBEXstdItem" xfId="152"/>
    <cellStyle name="SAPBEXstdItemX" xfId="153"/>
    <cellStyle name="SAPBEXtitle" xfId="154"/>
    <cellStyle name="SAPBEXundefined" xfId="155"/>
    <cellStyle name="Sheet Title" xfId="1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141939</xdr:colOff>
      <xdr:row>83</xdr:row>
      <xdr:rowOff>20955</xdr:rowOff>
    </xdr:from>
    <xdr:to>
      <xdr:col>5</xdr:col>
      <xdr:colOff>152400</xdr:colOff>
      <xdr:row>89</xdr:row>
      <xdr:rowOff>18544</xdr:rowOff>
    </xdr:to>
    <xdr:cxnSp macro="">
      <xdr:nvCxnSpPr>
        <xdr:cNvPr id="2" name="Straight Arrow Connector 1"/>
        <xdr:cNvCxnSpPr/>
      </xdr:nvCxnSpPr>
      <xdr:spPr>
        <a:xfrm>
          <a:off x="4742514" y="13784580"/>
          <a:ext cx="10461" cy="969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124946</xdr:colOff>
      <xdr:row>83</xdr:row>
      <xdr:rowOff>53789</xdr:rowOff>
    </xdr:from>
    <xdr:to>
      <xdr:col>9</xdr:col>
      <xdr:colOff>133911</xdr:colOff>
      <xdr:row>88</xdr:row>
      <xdr:rowOff>125068</xdr:rowOff>
    </xdr:to>
    <xdr:cxnSp macro="">
      <xdr:nvCxnSpPr>
        <xdr:cNvPr id="3" name="Straight Arrow Connector 2"/>
        <xdr:cNvCxnSpPr/>
      </xdr:nvCxnSpPr>
      <xdr:spPr>
        <a:xfrm flipH="1">
          <a:off x="7497296" y="13817414"/>
          <a:ext cx="8965" cy="88090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112059</xdr:colOff>
      <xdr:row>106</xdr:row>
      <xdr:rowOff>38884</xdr:rowOff>
    </xdr:from>
    <xdr:to>
      <xdr:col>5</xdr:col>
      <xdr:colOff>141939</xdr:colOff>
      <xdr:row>113</xdr:row>
      <xdr:rowOff>147414</xdr:rowOff>
    </xdr:to>
    <xdr:cxnSp macro="">
      <xdr:nvCxnSpPr>
        <xdr:cNvPr id="4" name="Straight Arrow Connector 3"/>
        <xdr:cNvCxnSpPr/>
      </xdr:nvCxnSpPr>
      <xdr:spPr>
        <a:xfrm flipH="1">
          <a:off x="4712634" y="17516475"/>
          <a:ext cx="29880"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128981</xdr:colOff>
      <xdr:row>104</xdr:row>
      <xdr:rowOff>0</xdr:rowOff>
    </xdr:from>
    <xdr:to>
      <xdr:col>9</xdr:col>
      <xdr:colOff>134583</xdr:colOff>
      <xdr:row>104</xdr:row>
      <xdr:rowOff>0</xdr:rowOff>
    </xdr:to>
    <xdr:cxnSp macro="">
      <xdr:nvCxnSpPr>
        <xdr:cNvPr id="5" name="Straight Arrow Connector 4"/>
        <xdr:cNvCxnSpPr/>
      </xdr:nvCxnSpPr>
      <xdr:spPr>
        <a:xfrm flipH="1">
          <a:off x="7501331" y="17516475"/>
          <a:ext cx="5602" cy="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46505</xdr:colOff>
      <xdr:row>12</xdr:row>
      <xdr:rowOff>30032</xdr:rowOff>
    </xdr:from>
    <xdr:to>
      <xdr:col>6</xdr:col>
      <xdr:colOff>46505</xdr:colOff>
      <xdr:row>33</xdr:row>
      <xdr:rowOff>9</xdr:rowOff>
    </xdr:to>
    <xdr:cxnSp macro="">
      <xdr:nvCxnSpPr>
        <xdr:cNvPr id="6" name="Straight Arrow Connector 5"/>
        <xdr:cNvCxnSpPr/>
      </xdr:nvCxnSpPr>
      <xdr:spPr>
        <a:xfrm>
          <a:off x="4951880" y="2068382"/>
          <a:ext cx="0" cy="3370402"/>
        </a:xfrm>
        <a:prstGeom prst="straightConnector1">
          <a:avLst/>
        </a:prstGeom>
        <a:ln w="952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33618</xdr:colOff>
      <xdr:row>12</xdr:row>
      <xdr:rowOff>30032</xdr:rowOff>
    </xdr:from>
    <xdr:to>
      <xdr:col>10</xdr:col>
      <xdr:colOff>33618</xdr:colOff>
      <xdr:row>32</xdr:row>
      <xdr:rowOff>110159</xdr:rowOff>
    </xdr:to>
    <xdr:cxnSp macro="">
      <xdr:nvCxnSpPr>
        <xdr:cNvPr id="7" name="Straight Arrow Connector 6"/>
        <xdr:cNvCxnSpPr/>
      </xdr:nvCxnSpPr>
      <xdr:spPr>
        <a:xfrm>
          <a:off x="7710768" y="2068382"/>
          <a:ext cx="0" cy="331862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33617</xdr:colOff>
      <xdr:row>12</xdr:row>
      <xdr:rowOff>30031</xdr:rowOff>
    </xdr:from>
    <xdr:to>
      <xdr:col>14</xdr:col>
      <xdr:colOff>33618</xdr:colOff>
      <xdr:row>33</xdr:row>
      <xdr:rowOff>20757</xdr:rowOff>
    </xdr:to>
    <xdr:cxnSp macro="">
      <xdr:nvCxnSpPr>
        <xdr:cNvPr id="8" name="Straight Arrow Connector 7"/>
        <xdr:cNvCxnSpPr/>
      </xdr:nvCxnSpPr>
      <xdr:spPr>
        <a:xfrm>
          <a:off x="10330142" y="2068381"/>
          <a:ext cx="1" cy="33911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12886</xdr:colOff>
      <xdr:row>12</xdr:row>
      <xdr:rowOff>11206</xdr:rowOff>
    </xdr:from>
    <xdr:to>
      <xdr:col>18</xdr:col>
      <xdr:colOff>12886</xdr:colOff>
      <xdr:row>33</xdr:row>
      <xdr:rowOff>20755</xdr:rowOff>
    </xdr:to>
    <xdr:cxnSp macro="">
      <xdr:nvCxnSpPr>
        <xdr:cNvPr id="9" name="Straight Arrow Connector 8"/>
        <xdr:cNvCxnSpPr/>
      </xdr:nvCxnSpPr>
      <xdr:spPr>
        <a:xfrm>
          <a:off x="12738286" y="2049556"/>
          <a:ext cx="0" cy="34099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30032</xdr:colOff>
      <xdr:row>11</xdr:row>
      <xdr:rowOff>12887</xdr:rowOff>
    </xdr:from>
    <xdr:to>
      <xdr:col>22</xdr:col>
      <xdr:colOff>30032</xdr:colOff>
      <xdr:row>32</xdr:row>
      <xdr:rowOff>145700</xdr:rowOff>
    </xdr:to>
    <xdr:cxnSp macro="">
      <xdr:nvCxnSpPr>
        <xdr:cNvPr id="10" name="Straight Arrow Connector 9"/>
        <xdr:cNvCxnSpPr/>
      </xdr:nvCxnSpPr>
      <xdr:spPr>
        <a:xfrm>
          <a:off x="15012857" y="2013137"/>
          <a:ext cx="0" cy="34094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30032</xdr:colOff>
      <xdr:row>12</xdr:row>
      <xdr:rowOff>0</xdr:rowOff>
    </xdr:from>
    <xdr:to>
      <xdr:col>26</xdr:col>
      <xdr:colOff>37502</xdr:colOff>
      <xdr:row>33</xdr:row>
      <xdr:rowOff>0</xdr:rowOff>
    </xdr:to>
    <xdr:cxnSp macro="">
      <xdr:nvCxnSpPr>
        <xdr:cNvPr id="11" name="Straight Arrow Connector 10"/>
        <xdr:cNvCxnSpPr/>
      </xdr:nvCxnSpPr>
      <xdr:spPr>
        <a:xfrm>
          <a:off x="17203607" y="2038350"/>
          <a:ext cx="7470" cy="3400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5602</xdr:colOff>
      <xdr:row>92</xdr:row>
      <xdr:rowOff>0</xdr:rowOff>
    </xdr:from>
    <xdr:to>
      <xdr:col>11</xdr:col>
      <xdr:colOff>17930</xdr:colOff>
      <xdr:row>94</xdr:row>
      <xdr:rowOff>44823</xdr:rowOff>
    </xdr:to>
    <xdr:cxnSp macro="">
      <xdr:nvCxnSpPr>
        <xdr:cNvPr id="12" name="Straight Arrow Connector 11"/>
        <xdr:cNvCxnSpPr/>
      </xdr:nvCxnSpPr>
      <xdr:spPr>
        <a:xfrm>
          <a:off x="8768602" y="15259050"/>
          <a:ext cx="12328" cy="406773"/>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112059</xdr:colOff>
      <xdr:row>59</xdr:row>
      <xdr:rowOff>46504</xdr:rowOff>
    </xdr:from>
    <xdr:to>
      <xdr:col>6</xdr:col>
      <xdr:colOff>141939</xdr:colOff>
      <xdr:row>66</xdr:row>
      <xdr:rowOff>164491</xdr:rowOff>
    </xdr:to>
    <xdr:cxnSp macro="">
      <xdr:nvCxnSpPr>
        <xdr:cNvPr id="2" name="Straight Arrow Connector 1"/>
        <xdr:cNvCxnSpPr/>
      </xdr:nvCxnSpPr>
      <xdr:spPr>
        <a:xfrm flipH="1">
          <a:off x="5141259" y="9819154"/>
          <a:ext cx="29880" cy="1251462"/>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138506</xdr:colOff>
      <xdr:row>59</xdr:row>
      <xdr:rowOff>44823</xdr:rowOff>
    </xdr:from>
    <xdr:to>
      <xdr:col>10</xdr:col>
      <xdr:colOff>144108</xdr:colOff>
      <xdr:row>67</xdr:row>
      <xdr:rowOff>0</xdr:rowOff>
    </xdr:to>
    <xdr:cxnSp macro="">
      <xdr:nvCxnSpPr>
        <xdr:cNvPr id="3" name="Straight Arrow Connector 2"/>
        <xdr:cNvCxnSpPr/>
      </xdr:nvCxnSpPr>
      <xdr:spPr>
        <a:xfrm flipH="1">
          <a:off x="7987106" y="9817473"/>
          <a:ext cx="5602" cy="1250577"/>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377189</xdr:colOff>
      <xdr:row>3</xdr:row>
      <xdr:rowOff>115869</xdr:rowOff>
    </xdr:from>
    <xdr:to>
      <xdr:col>29</xdr:col>
      <xdr:colOff>691183</xdr:colOff>
      <xdr:row>3</xdr:row>
      <xdr:rowOff>127075</xdr:rowOff>
    </xdr:to>
    <xdr:cxnSp macro="">
      <xdr:nvCxnSpPr>
        <xdr:cNvPr id="4" name="Straight Arrow Connector 3"/>
        <xdr:cNvCxnSpPr/>
      </xdr:nvCxnSpPr>
      <xdr:spPr>
        <a:xfrm flipV="1">
          <a:off x="5644514" y="687369"/>
          <a:ext cx="13372769" cy="1120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44824</xdr:colOff>
      <xdr:row>4</xdr:row>
      <xdr:rowOff>44824</xdr:rowOff>
    </xdr:from>
    <xdr:to>
      <xdr:col>7</xdr:col>
      <xdr:colOff>44826</xdr:colOff>
      <xdr:row>39</xdr:row>
      <xdr:rowOff>183360</xdr:rowOff>
    </xdr:to>
    <xdr:cxnSp macro="">
      <xdr:nvCxnSpPr>
        <xdr:cNvPr id="5" name="Straight Arrow Connector 4"/>
        <xdr:cNvCxnSpPr/>
      </xdr:nvCxnSpPr>
      <xdr:spPr>
        <a:xfrm>
          <a:off x="5312149" y="806824"/>
          <a:ext cx="2" cy="573923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22188</xdr:colOff>
      <xdr:row>7</xdr:row>
      <xdr:rowOff>117774</xdr:rowOff>
    </xdr:from>
    <xdr:to>
      <xdr:col>23</xdr:col>
      <xdr:colOff>52070</xdr:colOff>
      <xdr:row>34</xdr:row>
      <xdr:rowOff>130910</xdr:rowOff>
    </xdr:to>
    <xdr:cxnSp macro="">
      <xdr:nvCxnSpPr>
        <xdr:cNvPr id="6" name="Straight Arrow Connector 5"/>
        <xdr:cNvCxnSpPr/>
      </xdr:nvCxnSpPr>
      <xdr:spPr>
        <a:xfrm flipH="1">
          <a:off x="14766888" y="1517949"/>
          <a:ext cx="29882" cy="414698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112059</xdr:colOff>
      <xdr:row>83</xdr:row>
      <xdr:rowOff>38884</xdr:rowOff>
    </xdr:from>
    <xdr:to>
      <xdr:col>6</xdr:col>
      <xdr:colOff>141939</xdr:colOff>
      <xdr:row>90</xdr:row>
      <xdr:rowOff>147414</xdr:rowOff>
    </xdr:to>
    <xdr:cxnSp macro="">
      <xdr:nvCxnSpPr>
        <xdr:cNvPr id="7" name="Straight Arrow Connector 6"/>
        <xdr:cNvCxnSpPr/>
      </xdr:nvCxnSpPr>
      <xdr:spPr>
        <a:xfrm flipH="1">
          <a:off x="5141259" y="14059684"/>
          <a:ext cx="29880" cy="124200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138506</xdr:colOff>
      <xdr:row>83</xdr:row>
      <xdr:rowOff>37203</xdr:rowOff>
    </xdr:from>
    <xdr:to>
      <xdr:col>10</xdr:col>
      <xdr:colOff>144108</xdr:colOff>
      <xdr:row>91</xdr:row>
      <xdr:rowOff>49</xdr:rowOff>
    </xdr:to>
    <xdr:cxnSp macro="">
      <xdr:nvCxnSpPr>
        <xdr:cNvPr id="8" name="Straight Arrow Connector 7"/>
        <xdr:cNvCxnSpPr/>
      </xdr:nvCxnSpPr>
      <xdr:spPr>
        <a:xfrm flipH="1">
          <a:off x="7987106" y="14058003"/>
          <a:ext cx="5602" cy="1267771"/>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112059</xdr:colOff>
      <xdr:row>62</xdr:row>
      <xdr:rowOff>46504</xdr:rowOff>
    </xdr:from>
    <xdr:to>
      <xdr:col>6</xdr:col>
      <xdr:colOff>126999</xdr:colOff>
      <xdr:row>69</xdr:row>
      <xdr:rowOff>156873</xdr:rowOff>
    </xdr:to>
    <xdr:cxnSp macro="">
      <xdr:nvCxnSpPr>
        <xdr:cNvPr id="2" name="Straight Arrow Connector 1"/>
        <xdr:cNvCxnSpPr/>
      </xdr:nvCxnSpPr>
      <xdr:spPr>
        <a:xfrm flipH="1">
          <a:off x="5141259" y="10352554"/>
          <a:ext cx="14940" cy="1243844"/>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130886</xdr:colOff>
      <xdr:row>62</xdr:row>
      <xdr:rowOff>44823</xdr:rowOff>
    </xdr:from>
    <xdr:to>
      <xdr:col>10</xdr:col>
      <xdr:colOff>142090</xdr:colOff>
      <xdr:row>70</xdr:row>
      <xdr:rowOff>0</xdr:rowOff>
    </xdr:to>
    <xdr:cxnSp macro="">
      <xdr:nvCxnSpPr>
        <xdr:cNvPr id="3" name="Straight Arrow Connector 2"/>
        <xdr:cNvCxnSpPr/>
      </xdr:nvCxnSpPr>
      <xdr:spPr>
        <a:xfrm flipH="1">
          <a:off x="7979486" y="10350873"/>
          <a:ext cx="11204" cy="1250577"/>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379094</xdr:colOff>
      <xdr:row>3</xdr:row>
      <xdr:rowOff>113964</xdr:rowOff>
    </xdr:from>
    <xdr:to>
      <xdr:col>29</xdr:col>
      <xdr:colOff>687370</xdr:colOff>
      <xdr:row>3</xdr:row>
      <xdr:rowOff>125170</xdr:rowOff>
    </xdr:to>
    <xdr:cxnSp macro="">
      <xdr:nvCxnSpPr>
        <xdr:cNvPr id="4" name="Straight Arrow Connector 3"/>
        <xdr:cNvCxnSpPr/>
      </xdr:nvCxnSpPr>
      <xdr:spPr>
        <a:xfrm flipV="1">
          <a:off x="5646419" y="685464"/>
          <a:ext cx="13367051" cy="11206"/>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44824</xdr:colOff>
      <xdr:row>4</xdr:row>
      <xdr:rowOff>44824</xdr:rowOff>
    </xdr:from>
    <xdr:to>
      <xdr:col>7</xdr:col>
      <xdr:colOff>44826</xdr:colOff>
      <xdr:row>39</xdr:row>
      <xdr:rowOff>179544</xdr:rowOff>
    </xdr:to>
    <xdr:cxnSp macro="">
      <xdr:nvCxnSpPr>
        <xdr:cNvPr id="5" name="Straight Arrow Connector 4"/>
        <xdr:cNvCxnSpPr/>
      </xdr:nvCxnSpPr>
      <xdr:spPr>
        <a:xfrm>
          <a:off x="5312149" y="806824"/>
          <a:ext cx="2" cy="573542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24093</xdr:colOff>
      <xdr:row>7</xdr:row>
      <xdr:rowOff>110154</xdr:rowOff>
    </xdr:from>
    <xdr:to>
      <xdr:col>23</xdr:col>
      <xdr:colOff>46505</xdr:colOff>
      <xdr:row>34</xdr:row>
      <xdr:rowOff>130912</xdr:rowOff>
    </xdr:to>
    <xdr:cxnSp macro="">
      <xdr:nvCxnSpPr>
        <xdr:cNvPr id="6" name="Straight Arrow Connector 5"/>
        <xdr:cNvCxnSpPr/>
      </xdr:nvCxnSpPr>
      <xdr:spPr>
        <a:xfrm flipH="1">
          <a:off x="14768793" y="1510329"/>
          <a:ext cx="22412" cy="4154608"/>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9"/>
  <sheetViews>
    <sheetView tabSelected="1" zoomScaleNormal="100" workbookViewId="0"/>
  </sheetViews>
  <sheetFormatPr defaultRowHeight="12.75"/>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c r="A1" s="8" t="s">
        <v>156</v>
      </c>
    </row>
    <row r="3" spans="1:5">
      <c r="B3" s="8" t="s">
        <v>157</v>
      </c>
      <c r="E3" s="115" t="s">
        <v>158</v>
      </c>
    </row>
    <row r="4" spans="1:5">
      <c r="D4" s="114" t="s">
        <v>159</v>
      </c>
    </row>
    <row r="5" spans="1:5">
      <c r="C5" s="114" t="s">
        <v>160</v>
      </c>
      <c r="D5" s="114" t="s">
        <v>161</v>
      </c>
    </row>
    <row r="6" spans="1:5">
      <c r="A6" s="41" t="s">
        <v>162</v>
      </c>
      <c r="C6" s="41" t="s">
        <v>163</v>
      </c>
      <c r="D6" s="41" t="s">
        <v>164</v>
      </c>
      <c r="E6" s="41" t="s">
        <v>165</v>
      </c>
    </row>
    <row r="7" spans="1:5">
      <c r="A7" s="114">
        <v>1</v>
      </c>
      <c r="C7" s="116">
        <v>2015</v>
      </c>
      <c r="D7" s="117">
        <f>D71</f>
        <v>0.35</v>
      </c>
      <c r="E7" s="118" t="s">
        <v>166</v>
      </c>
    </row>
    <row r="8" spans="1:5">
      <c r="A8" s="114">
        <f>A7+1</f>
        <v>2</v>
      </c>
      <c r="E8" s="119"/>
    </row>
    <row r="9" spans="1:5">
      <c r="A9" s="114">
        <f t="shared" ref="A9:A58" si="0">A8+1</f>
        <v>3</v>
      </c>
      <c r="B9" s="8" t="s">
        <v>167</v>
      </c>
    </row>
    <row r="10" spans="1:5">
      <c r="A10" s="114">
        <f t="shared" si="0"/>
        <v>4</v>
      </c>
      <c r="B10" s="8"/>
      <c r="D10" s="114"/>
    </row>
    <row r="11" spans="1:5">
      <c r="A11" s="114">
        <f t="shared" si="0"/>
        <v>5</v>
      </c>
      <c r="D11" s="114" t="s">
        <v>168</v>
      </c>
    </row>
    <row r="12" spans="1:5">
      <c r="A12" s="114">
        <f t="shared" si="0"/>
        <v>6</v>
      </c>
      <c r="C12" s="114" t="s">
        <v>160</v>
      </c>
      <c r="D12" s="114" t="s">
        <v>161</v>
      </c>
    </row>
    <row r="13" spans="1:5">
      <c r="A13" s="114">
        <f t="shared" si="0"/>
        <v>7</v>
      </c>
      <c r="C13" s="41" t="s">
        <v>163</v>
      </c>
      <c r="D13" s="41" t="s">
        <v>169</v>
      </c>
      <c r="E13" s="41" t="s">
        <v>165</v>
      </c>
    </row>
    <row r="14" spans="1:5">
      <c r="A14" s="114">
        <f t="shared" si="0"/>
        <v>8</v>
      </c>
      <c r="C14" s="116">
        <v>2015</v>
      </c>
      <c r="D14" s="120">
        <f>D51</f>
        <v>8.8534232596638118E-2</v>
      </c>
      <c r="E14" s="121" t="str">
        <f>"1) See calculation below on Line "&amp;A51&amp;" based on inputs"</f>
        <v>1) See calculation below on Line 45 based on inputs</v>
      </c>
    </row>
    <row r="15" spans="1:5">
      <c r="A15" s="114">
        <f t="shared" si="0"/>
        <v>9</v>
      </c>
      <c r="C15" s="122"/>
      <c r="D15" s="58"/>
      <c r="E15" s="121" t="s">
        <v>170</v>
      </c>
    </row>
    <row r="16" spans="1:5">
      <c r="A16" s="114">
        <f t="shared" si="0"/>
        <v>10</v>
      </c>
      <c r="C16" s="122"/>
      <c r="D16" s="58"/>
      <c r="E16" s="121" t="s">
        <v>214</v>
      </c>
    </row>
    <row r="17" spans="1:5">
      <c r="A17" s="114">
        <f t="shared" si="0"/>
        <v>11</v>
      </c>
      <c r="C17" s="124"/>
      <c r="E17" s="123"/>
    </row>
    <row r="18" spans="1:5">
      <c r="A18" s="114">
        <f t="shared" si="0"/>
        <v>12</v>
      </c>
      <c r="C18" s="8" t="s">
        <v>171</v>
      </c>
      <c r="E18" s="123"/>
    </row>
    <row r="19" spans="1:5">
      <c r="A19" s="114">
        <f t="shared" si="0"/>
        <v>13</v>
      </c>
      <c r="E19" s="123"/>
    </row>
    <row r="20" spans="1:5">
      <c r="A20" s="114">
        <f t="shared" si="0"/>
        <v>14</v>
      </c>
      <c r="C20" s="114"/>
      <c r="D20" s="114" t="s">
        <v>0</v>
      </c>
    </row>
    <row r="21" spans="1:5">
      <c r="A21" s="114">
        <f t="shared" si="0"/>
        <v>15</v>
      </c>
      <c r="C21" s="41" t="s">
        <v>24</v>
      </c>
      <c r="D21" s="41" t="s">
        <v>172</v>
      </c>
      <c r="E21" s="41" t="s">
        <v>165</v>
      </c>
    </row>
    <row r="22" spans="1:5">
      <c r="A22" s="114">
        <f t="shared" si="0"/>
        <v>16</v>
      </c>
      <c r="C22" t="s">
        <v>7</v>
      </c>
      <c r="D22" s="125">
        <f>'I - Composite Tax Rate'!C12</f>
        <v>1</v>
      </c>
      <c r="E22" s="126" t="s">
        <v>173</v>
      </c>
    </row>
    <row r="23" spans="1:5">
      <c r="A23" s="114">
        <f t="shared" si="0"/>
        <v>17</v>
      </c>
      <c r="C23" t="s">
        <v>8</v>
      </c>
      <c r="D23" s="125">
        <f>'I - Composite Tax Rate'!C15</f>
        <v>0</v>
      </c>
      <c r="E23" s="127"/>
    </row>
    <row r="24" spans="1:5">
      <c r="A24" s="114">
        <f t="shared" si="0"/>
        <v>18</v>
      </c>
      <c r="C24" t="s">
        <v>9</v>
      </c>
      <c r="D24" s="125">
        <f>'I - Composite Tax Rate'!C14</f>
        <v>2.5213317374570502E-3</v>
      </c>
      <c r="E24" s="128"/>
    </row>
    <row r="25" spans="1:5">
      <c r="A25" s="114">
        <f t="shared" si="0"/>
        <v>19</v>
      </c>
      <c r="C25" t="s">
        <v>10</v>
      </c>
      <c r="D25" s="125">
        <f>'I - Composite Tax Rate'!C13</f>
        <v>0</v>
      </c>
      <c r="E25" s="129"/>
    </row>
    <row r="26" spans="1:5">
      <c r="A26" s="114">
        <f t="shared" si="0"/>
        <v>20</v>
      </c>
      <c r="D26" s="120"/>
      <c r="E26" s="129"/>
    </row>
    <row r="27" spans="1:5">
      <c r="A27" s="114">
        <f t="shared" si="0"/>
        <v>21</v>
      </c>
      <c r="D27" s="114" t="s">
        <v>20</v>
      </c>
    </row>
    <row r="28" spans="1:5">
      <c r="A28" s="114">
        <f t="shared" si="0"/>
        <v>22</v>
      </c>
      <c r="C28" s="41" t="s">
        <v>24</v>
      </c>
      <c r="D28" s="41" t="s">
        <v>174</v>
      </c>
    </row>
    <row r="29" spans="1:5">
      <c r="A29" s="114">
        <f t="shared" si="0"/>
        <v>23</v>
      </c>
      <c r="C29" t="s">
        <v>7</v>
      </c>
      <c r="D29" s="125">
        <f>'I - Composite Tax Rate'!B12</f>
        <v>8.8400000000000006E-2</v>
      </c>
      <c r="E29" s="127" t="s">
        <v>175</v>
      </c>
    </row>
    <row r="30" spans="1:5">
      <c r="A30" s="114">
        <f t="shared" si="0"/>
        <v>24</v>
      </c>
      <c r="C30" t="s">
        <v>8</v>
      </c>
      <c r="D30" s="125">
        <f>'I - Composite Tax Rate'!B15</f>
        <v>6.9000000000000006E-2</v>
      </c>
      <c r="E30" s="130" t="s">
        <v>176</v>
      </c>
    </row>
    <row r="31" spans="1:5">
      <c r="A31" s="114">
        <f t="shared" si="0"/>
        <v>25</v>
      </c>
      <c r="C31" t="s">
        <v>9</v>
      </c>
      <c r="D31" s="125">
        <f>'I - Composite Tax Rate'!B14</f>
        <v>0.06</v>
      </c>
    </row>
    <row r="32" spans="1:5">
      <c r="A32" s="114">
        <f t="shared" si="0"/>
        <v>26</v>
      </c>
      <c r="C32" t="s">
        <v>10</v>
      </c>
      <c r="D32" s="131">
        <f>'I - Composite Tax Rate'!B13</f>
        <v>9.4E-2</v>
      </c>
    </row>
    <row r="33" spans="1:5">
      <c r="A33" s="114">
        <f t="shared" si="0"/>
        <v>27</v>
      </c>
    </row>
    <row r="34" spans="1:5">
      <c r="A34" s="114">
        <f t="shared" si="0"/>
        <v>28</v>
      </c>
      <c r="D34" s="114" t="s">
        <v>177</v>
      </c>
    </row>
    <row r="35" spans="1:5">
      <c r="A35" s="114">
        <f t="shared" si="0"/>
        <v>29</v>
      </c>
      <c r="D35" s="114" t="s">
        <v>178</v>
      </c>
    </row>
    <row r="36" spans="1:5">
      <c r="A36" s="114">
        <f t="shared" si="0"/>
        <v>30</v>
      </c>
      <c r="D36" s="132" t="s">
        <v>179</v>
      </c>
    </row>
    <row r="37" spans="1:5">
      <c r="A37" s="114">
        <f t="shared" si="0"/>
        <v>31</v>
      </c>
      <c r="D37" s="114" t="s">
        <v>7</v>
      </c>
    </row>
    <row r="38" spans="1:5">
      <c r="A38" s="114">
        <f t="shared" si="0"/>
        <v>32</v>
      </c>
      <c r="C38" s="41" t="s">
        <v>24</v>
      </c>
      <c r="D38" s="41" t="s">
        <v>180</v>
      </c>
    </row>
    <row r="39" spans="1:5">
      <c r="A39" s="114">
        <f t="shared" si="0"/>
        <v>33</v>
      </c>
      <c r="C39" t="s">
        <v>7</v>
      </c>
      <c r="D39" s="125">
        <f>'I - Composite Tax Rate'!E12</f>
        <v>1</v>
      </c>
      <c r="E39" s="130" t="s">
        <v>181</v>
      </c>
    </row>
    <row r="40" spans="1:5">
      <c r="A40" s="114">
        <f t="shared" si="0"/>
        <v>34</v>
      </c>
      <c r="C40" t="s">
        <v>8</v>
      </c>
      <c r="D40" s="125">
        <f>'I - Composite Tax Rate'!E15</f>
        <v>0</v>
      </c>
      <c r="E40" s="58" t="s">
        <v>182</v>
      </c>
    </row>
    <row r="41" spans="1:5">
      <c r="A41" s="114">
        <f t="shared" si="0"/>
        <v>35</v>
      </c>
      <c r="C41" t="s">
        <v>9</v>
      </c>
      <c r="D41" s="125">
        <f>'I - Composite Tax Rate'!E14</f>
        <v>0.88731280804199986</v>
      </c>
    </row>
    <row r="42" spans="1:5">
      <c r="A42" s="114">
        <f t="shared" si="0"/>
        <v>36</v>
      </c>
      <c r="C42" t="s">
        <v>10</v>
      </c>
      <c r="D42" s="131">
        <f>'I - Composite Tax Rate'!E13</f>
        <v>0.45995551034182031</v>
      </c>
    </row>
    <row r="43" spans="1:5">
      <c r="A43" s="114">
        <f t="shared" si="0"/>
        <v>37</v>
      </c>
      <c r="D43" s="133"/>
    </row>
    <row r="44" spans="1:5">
      <c r="A44" s="114">
        <f t="shared" si="0"/>
        <v>38</v>
      </c>
      <c r="D44" s="114" t="s">
        <v>22</v>
      </c>
    </row>
    <row r="45" spans="1:5">
      <c r="A45" s="114">
        <f t="shared" si="0"/>
        <v>39</v>
      </c>
      <c r="C45" s="41" t="s">
        <v>24</v>
      </c>
      <c r="D45" s="41" t="s">
        <v>25</v>
      </c>
    </row>
    <row r="46" spans="1:5">
      <c r="A46" s="114">
        <f t="shared" si="0"/>
        <v>40</v>
      </c>
      <c r="C46" t="s">
        <v>7</v>
      </c>
      <c r="D46" s="120">
        <f>D22*D29*D39</f>
        <v>8.8400000000000006E-2</v>
      </c>
      <c r="E46" s="121" t="str">
        <f>"Line "&amp;A22&amp;" * Line "&amp;A29&amp;" * Line "&amp;A39&amp;""</f>
        <v>Line 16 * Line 23 * Line 33</v>
      </c>
    </row>
    <row r="47" spans="1:5">
      <c r="A47" s="114">
        <f t="shared" si="0"/>
        <v>41</v>
      </c>
      <c r="C47" t="s">
        <v>8</v>
      </c>
      <c r="D47" s="120">
        <f>D23*D30*D40</f>
        <v>0</v>
      </c>
      <c r="E47" s="121" t="str">
        <f>"Line "&amp;A23&amp;" * Line "&amp;A30&amp;" * Line "&amp;A40&amp;""</f>
        <v>Line 17 * Line 24 * Line 34</v>
      </c>
    </row>
    <row r="48" spans="1:5">
      <c r="A48" s="114">
        <f t="shared" si="0"/>
        <v>42</v>
      </c>
      <c r="C48" t="s">
        <v>9</v>
      </c>
      <c r="D48" s="120">
        <f>D24*D31*D41</f>
        <v>1.3423259663810578E-4</v>
      </c>
      <c r="E48" s="121" t="str">
        <f>"Line "&amp;A24&amp;" * Line "&amp;A31&amp;" * Line "&amp;A41&amp;""</f>
        <v>Line 18 * Line 25 * Line 35</v>
      </c>
    </row>
    <row r="49" spans="1:9">
      <c r="A49" s="114">
        <f t="shared" si="0"/>
        <v>43</v>
      </c>
      <c r="C49" t="s">
        <v>10</v>
      </c>
      <c r="D49" s="120">
        <f>D25*D32*D42</f>
        <v>0</v>
      </c>
      <c r="E49" s="121" t="str">
        <f>"Line "&amp;A25&amp;" * Line "&amp;A32&amp;" * Line "&amp;A42&amp;""</f>
        <v>Line 19 * Line 26 * Line 36</v>
      </c>
    </row>
    <row r="50" spans="1:9">
      <c r="A50" s="114">
        <f t="shared" si="0"/>
        <v>44</v>
      </c>
      <c r="C50" s="134" t="s">
        <v>168</v>
      </c>
    </row>
    <row r="51" spans="1:9">
      <c r="A51" s="114">
        <f t="shared" si="0"/>
        <v>45</v>
      </c>
      <c r="C51" s="134" t="s">
        <v>183</v>
      </c>
      <c r="D51" s="133">
        <f>SUM(D46:D49)</f>
        <v>8.8534232596638118E-2</v>
      </c>
      <c r="E51" s="121" t="str">
        <f>"Sum of Lines "&amp;A46&amp;" to "&amp;A49&amp;""</f>
        <v>Sum of Lines 40 to 43</v>
      </c>
    </row>
    <row r="52" spans="1:9">
      <c r="A52" s="114">
        <f t="shared" si="0"/>
        <v>46</v>
      </c>
      <c r="E52" s="121"/>
    </row>
    <row r="53" spans="1:9" ht="12.75" customHeight="1">
      <c r="A53" s="114">
        <f t="shared" si="0"/>
        <v>47</v>
      </c>
      <c r="B53" s="8" t="s">
        <v>184</v>
      </c>
      <c r="E53" s="123"/>
    </row>
    <row r="54" spans="1:9" ht="12.75" customHeight="1">
      <c r="A54" s="114">
        <f t="shared" si="0"/>
        <v>48</v>
      </c>
      <c r="E54" s="135"/>
      <c r="F54" s="41" t="s">
        <v>185</v>
      </c>
    </row>
    <row r="55" spans="1:9" ht="12.75" customHeight="1">
      <c r="A55" s="136">
        <f t="shared" si="0"/>
        <v>49</v>
      </c>
      <c r="B55" s="58"/>
      <c r="C55" s="58" t="s">
        <v>370</v>
      </c>
      <c r="D55" s="58"/>
      <c r="E55" s="58"/>
      <c r="F55" s="137">
        <v>111755857</v>
      </c>
      <c r="G55" s="68"/>
    </row>
    <row r="56" spans="1:9" ht="12.75" customHeight="1">
      <c r="A56" s="136">
        <f t="shared" si="0"/>
        <v>50</v>
      </c>
      <c r="B56" s="58"/>
      <c r="C56" s="138" t="s">
        <v>186</v>
      </c>
      <c r="D56" s="58"/>
      <c r="E56" s="58"/>
      <c r="F56" s="139">
        <v>0.39800000000000002</v>
      </c>
      <c r="G56" s="68"/>
    </row>
    <row r="57" spans="1:9" ht="12.75" customHeight="1">
      <c r="A57" s="136">
        <f t="shared" si="0"/>
        <v>51</v>
      </c>
      <c r="B57" s="58"/>
      <c r="C57" s="138" t="str">
        <f>"Capitalized Overhead portion of Electric Payroll Tax Expense (Line "&amp;A55&amp;" * Line "&amp;A56&amp;")"</f>
        <v>Capitalized Overhead portion of Electric Payroll Tax Expense (Line 49 * Line 50)</v>
      </c>
      <c r="D57" s="58"/>
      <c r="E57" s="58"/>
      <c r="F57" s="140">
        <f>F55*F56</f>
        <v>44478831.086000003</v>
      </c>
      <c r="G57" s="138"/>
      <c r="H57" s="58"/>
      <c r="I57" s="138"/>
    </row>
    <row r="58" spans="1:9">
      <c r="A58" s="136">
        <f t="shared" si="0"/>
        <v>52</v>
      </c>
      <c r="B58" s="58"/>
      <c r="C58" s="138" t="str">
        <f>"Non-Capitalized Overhead portion of Electric Payroll Tax Expense (Line "&amp;A55&amp;" - Line "&amp;A57&amp;")"</f>
        <v>Non-Capitalized Overhead portion of Electric Payroll Tax Expense (Line 49 - Line 51)</v>
      </c>
      <c r="D58" s="58"/>
      <c r="E58" s="58"/>
      <c r="F58" s="137">
        <f>F55-F57</f>
        <v>67277025.914000005</v>
      </c>
      <c r="G58" s="68"/>
      <c r="H58" s="58"/>
    </row>
    <row r="60" spans="1:9">
      <c r="B60" s="141" t="s">
        <v>187</v>
      </c>
    </row>
    <row r="61" spans="1:9">
      <c r="B61" s="142" t="s">
        <v>188</v>
      </c>
    </row>
    <row r="62" spans="1:9">
      <c r="B62" s="142" t="s">
        <v>189</v>
      </c>
    </row>
    <row r="63" spans="1:9">
      <c r="B63" s="68" t="s">
        <v>190</v>
      </c>
    </row>
    <row r="64" spans="1:9">
      <c r="B64" s="143" t="s">
        <v>191</v>
      </c>
    </row>
    <row r="65" spans="2:6">
      <c r="B65" s="143"/>
      <c r="C65" s="138" t="s">
        <v>192</v>
      </c>
      <c r="D65" s="58"/>
    </row>
    <row r="66" spans="2:6">
      <c r="B66" s="143"/>
      <c r="C66" s="138"/>
      <c r="D66" s="58"/>
    </row>
    <row r="67" spans="2:6">
      <c r="B67" s="143"/>
      <c r="C67" s="144" t="s">
        <v>193</v>
      </c>
      <c r="D67" s="144" t="s">
        <v>194</v>
      </c>
    </row>
    <row r="68" spans="2:6">
      <c r="B68" s="145"/>
      <c r="C68" s="146" t="s">
        <v>195</v>
      </c>
      <c r="D68" s="146" t="s">
        <v>196</v>
      </c>
      <c r="E68" s="147" t="s">
        <v>197</v>
      </c>
      <c r="F68" s="58"/>
    </row>
    <row r="69" spans="2:6">
      <c r="B69" s="148" t="s">
        <v>198</v>
      </c>
      <c r="C69" s="149">
        <v>0.35</v>
      </c>
      <c r="D69" s="115">
        <v>365</v>
      </c>
      <c r="E69" s="138" t="s">
        <v>199</v>
      </c>
      <c r="F69" s="58"/>
    </row>
    <row r="70" spans="2:6">
      <c r="B70" s="148" t="s">
        <v>200</v>
      </c>
      <c r="C70" s="150"/>
      <c r="D70" s="115"/>
      <c r="E70" s="138" t="s">
        <v>201</v>
      </c>
      <c r="F70" s="58"/>
    </row>
    <row r="71" spans="2:6">
      <c r="B71" s="148" t="s">
        <v>202</v>
      </c>
      <c r="C71" s="151" t="s">
        <v>203</v>
      </c>
      <c r="D71" s="152">
        <f>((C69*D69)+(C70*D70))/365</f>
        <v>0.35</v>
      </c>
      <c r="E71" s="153" t="s">
        <v>204</v>
      </c>
      <c r="F71" s="58"/>
    </row>
    <row r="72" spans="2:6">
      <c r="B72" s="143" t="s">
        <v>205</v>
      </c>
      <c r="C72" s="58"/>
      <c r="D72" s="115" t="s">
        <v>206</v>
      </c>
      <c r="E72" s="115"/>
      <c r="F72" s="115"/>
    </row>
    <row r="73" spans="2:6">
      <c r="B73" s="143" t="s">
        <v>207</v>
      </c>
      <c r="C73" s="58"/>
      <c r="D73" s="58"/>
      <c r="E73" s="58"/>
      <c r="F73" s="58"/>
    </row>
    <row r="74" spans="2:6">
      <c r="B74" s="154" t="s">
        <v>208</v>
      </c>
      <c r="C74" s="58"/>
      <c r="D74" s="115" t="s">
        <v>450</v>
      </c>
      <c r="E74" s="115"/>
      <c r="F74" s="115"/>
    </row>
    <row r="75" spans="2:6">
      <c r="B75" s="154" t="s">
        <v>209</v>
      </c>
      <c r="C75" s="58"/>
      <c r="D75" s="150" t="s">
        <v>438</v>
      </c>
      <c r="E75" s="115"/>
      <c r="F75" s="115"/>
    </row>
    <row r="76" spans="2:6">
      <c r="B76" s="154" t="s">
        <v>210</v>
      </c>
      <c r="C76" s="58"/>
      <c r="D76" s="150" t="s">
        <v>451</v>
      </c>
      <c r="E76" s="115"/>
      <c r="F76" s="115"/>
    </row>
    <row r="77" spans="2:6">
      <c r="B77" s="154" t="s">
        <v>211</v>
      </c>
      <c r="C77" s="58"/>
      <c r="D77" s="150" t="s">
        <v>437</v>
      </c>
      <c r="E77" s="115"/>
      <c r="F77" s="115"/>
    </row>
    <row r="78" spans="2:6">
      <c r="B78" s="138" t="s">
        <v>212</v>
      </c>
      <c r="C78" s="58"/>
      <c r="D78" s="58"/>
      <c r="E78" s="150" t="s">
        <v>448</v>
      </c>
    </row>
    <row r="79" spans="2:6">
      <c r="B79" s="119" t="s">
        <v>213</v>
      </c>
      <c r="C79" s="58"/>
      <c r="D79" s="58"/>
      <c r="E79" s="155" t="s">
        <v>449</v>
      </c>
    </row>
  </sheetData>
  <pageMargins left="0.75" right="0.75" top="1" bottom="1" header="0.5" footer="0.5"/>
  <pageSetup scale="75" orientation="portrait" cellComments="asDisplayed" r:id="rId1"/>
  <headerFooter alignWithMargins="0">
    <oddHeader>&amp;CSchedule 26
Tax Rates
&amp;RTO11 Draft Annual Update
Attachment 4
WP-Schedule 26
Page &amp;P of &amp;N</oddHeader>
    <oddFooter>&amp;C&amp;A</oddFooter>
  </headerFooter>
  <rowBreaks count="1" manualBreakCount="1">
    <brk id="59"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Normal="100" zoomScaleSheetLayoutView="100" workbookViewId="0">
      <selection sqref="A1:G1"/>
    </sheetView>
  </sheetViews>
  <sheetFormatPr defaultColWidth="8.85546875" defaultRowHeight="12"/>
  <cols>
    <col min="1" max="1" width="31.7109375" style="9" customWidth="1"/>
    <col min="2" max="2" width="14.140625" style="9" bestFit="1" customWidth="1"/>
    <col min="3" max="3" width="12.7109375" style="9" customWidth="1"/>
    <col min="4" max="5" width="13.28515625" style="9" customWidth="1"/>
    <col min="6" max="7" width="12.7109375" style="9" customWidth="1"/>
    <col min="8" max="8" width="4.7109375" style="9" customWidth="1"/>
    <col min="9" max="16384" width="8.85546875" style="9"/>
  </cols>
  <sheetData>
    <row r="1" spans="1:10" ht="12.75">
      <c r="A1" s="336" t="s">
        <v>17</v>
      </c>
      <c r="B1" s="336"/>
      <c r="C1" s="336"/>
      <c r="D1" s="336"/>
      <c r="E1" s="336"/>
      <c r="F1" s="336"/>
      <c r="G1" s="336"/>
    </row>
    <row r="2" spans="1:10" ht="12.75">
      <c r="A2" s="336" t="s">
        <v>18</v>
      </c>
      <c r="B2" s="336"/>
      <c r="C2" s="336"/>
      <c r="D2" s="336"/>
      <c r="E2" s="336"/>
      <c r="F2" s="336"/>
      <c r="G2" s="336"/>
    </row>
    <row r="3" spans="1:10" ht="12.75">
      <c r="A3" s="341" t="s">
        <v>436</v>
      </c>
      <c r="B3" s="342"/>
      <c r="C3" s="342"/>
      <c r="D3" s="342"/>
      <c r="E3" s="342"/>
      <c r="F3" s="342"/>
      <c r="G3" s="342"/>
      <c r="H3" s="342"/>
    </row>
    <row r="4" spans="1:10" ht="12.75">
      <c r="A4" s="8"/>
    </row>
    <row r="5" spans="1:10" ht="12.75">
      <c r="A5" s="8"/>
    </row>
    <row r="6" spans="1:10">
      <c r="A6" s="10" t="s">
        <v>19</v>
      </c>
    </row>
    <row r="7" spans="1:10">
      <c r="B7" s="60" t="s">
        <v>107</v>
      </c>
      <c r="C7" s="60" t="s">
        <v>108</v>
      </c>
      <c r="E7" s="60" t="s">
        <v>109</v>
      </c>
      <c r="F7" s="60" t="s">
        <v>110</v>
      </c>
      <c r="G7" s="60" t="s">
        <v>111</v>
      </c>
    </row>
    <row r="8" spans="1:10">
      <c r="B8" s="11"/>
      <c r="C8" s="11"/>
      <c r="E8" s="12"/>
      <c r="F8" s="12"/>
      <c r="G8" s="35">
        <v>2015</v>
      </c>
    </row>
    <row r="9" spans="1:10">
      <c r="B9" s="12" t="s">
        <v>20</v>
      </c>
      <c r="C9" s="12" t="s">
        <v>0</v>
      </c>
      <c r="E9" s="12" t="s">
        <v>21</v>
      </c>
      <c r="F9" s="12" t="s">
        <v>22</v>
      </c>
      <c r="G9" s="12" t="s">
        <v>23</v>
      </c>
    </row>
    <row r="10" spans="1:10">
      <c r="A10" s="13" t="s">
        <v>24</v>
      </c>
      <c r="B10" s="13" t="s">
        <v>25</v>
      </c>
      <c r="C10" s="13" t="s">
        <v>6</v>
      </c>
      <c r="E10" s="13" t="s">
        <v>26</v>
      </c>
      <c r="F10" s="13" t="s">
        <v>25</v>
      </c>
      <c r="G10" s="13" t="s">
        <v>27</v>
      </c>
    </row>
    <row r="11" spans="1:10">
      <c r="B11" s="14"/>
      <c r="C11" s="14"/>
    </row>
    <row r="12" spans="1:10">
      <c r="A12" s="9" t="s">
        <v>7</v>
      </c>
      <c r="B12" s="15">
        <v>8.8400000000000006E-2</v>
      </c>
      <c r="C12" s="16">
        <f>+Apportionment!C57</f>
        <v>1</v>
      </c>
      <c r="D12" s="9" t="s">
        <v>114</v>
      </c>
      <c r="E12" s="17">
        <f>D26</f>
        <v>1</v>
      </c>
      <c r="F12" s="18">
        <f>ROUND(B12*C12*E12,6)</f>
        <v>8.8400000000000006E-2</v>
      </c>
      <c r="G12" s="17">
        <f>F12</f>
        <v>8.8400000000000006E-2</v>
      </c>
    </row>
    <row r="13" spans="1:10">
      <c r="A13" s="9" t="s">
        <v>37</v>
      </c>
      <c r="B13" s="15">
        <v>9.4E-2</v>
      </c>
      <c r="C13" s="16">
        <f>+Apportionment!G60</f>
        <v>0</v>
      </c>
      <c r="D13" s="9" t="s">
        <v>115</v>
      </c>
      <c r="E13" s="17">
        <f>D38</f>
        <v>0.45995551034182031</v>
      </c>
      <c r="F13" s="18">
        <f>ROUND(B13*C13*E13,6)</f>
        <v>0</v>
      </c>
      <c r="G13" s="17">
        <f>F13</f>
        <v>0</v>
      </c>
    </row>
    <row r="14" spans="1:10">
      <c r="A14" s="9" t="s">
        <v>9</v>
      </c>
      <c r="B14" s="15">
        <v>0.06</v>
      </c>
      <c r="C14" s="16">
        <f>+Apportionment!G59</f>
        <v>2.5213317374570502E-3</v>
      </c>
      <c r="D14" s="9" t="s">
        <v>116</v>
      </c>
      <c r="E14" s="17">
        <f>D30</f>
        <v>0.88731280804199986</v>
      </c>
      <c r="F14" s="18">
        <f>ROUND(B14*C14*E14,6)</f>
        <v>1.34E-4</v>
      </c>
      <c r="G14" s="17">
        <f>F14</f>
        <v>1.34E-4</v>
      </c>
    </row>
    <row r="15" spans="1:10">
      <c r="A15" s="9" t="s">
        <v>8</v>
      </c>
      <c r="B15" s="19">
        <v>6.9000000000000006E-2</v>
      </c>
      <c r="C15" s="20">
        <f>+Apportionment!G58</f>
        <v>0</v>
      </c>
      <c r="D15" s="9" t="s">
        <v>117</v>
      </c>
      <c r="E15" s="21">
        <f>D34*0</f>
        <v>0</v>
      </c>
      <c r="F15" s="22">
        <f>ROUND(B15*C15*E15,6)</f>
        <v>0</v>
      </c>
      <c r="G15" s="21">
        <f>F15</f>
        <v>0</v>
      </c>
      <c r="J15" s="23"/>
    </row>
    <row r="16" spans="1:10">
      <c r="A16" s="9" t="s">
        <v>28</v>
      </c>
      <c r="B16" s="24"/>
      <c r="C16" s="14"/>
      <c r="F16" s="17">
        <f>SUM(F12:F15)</f>
        <v>8.8534000000000002E-2</v>
      </c>
      <c r="G16" s="89">
        <f>F16</f>
        <v>8.8534000000000002E-2</v>
      </c>
    </row>
    <row r="17" spans="1:7">
      <c r="A17" s="9" t="s">
        <v>29</v>
      </c>
      <c r="B17" s="15"/>
      <c r="C17" s="14"/>
      <c r="F17" s="25"/>
      <c r="G17" s="21">
        <v>0.35</v>
      </c>
    </row>
    <row r="18" spans="1:7">
      <c r="A18" s="9" t="s">
        <v>141</v>
      </c>
      <c r="G18" s="21">
        <f>-ROUND(G16*G17,6)</f>
        <v>-3.0987000000000001E-2</v>
      </c>
    </row>
    <row r="20" spans="1:7" ht="12.75" thickBot="1">
      <c r="A20" s="9" t="s">
        <v>447</v>
      </c>
      <c r="G20" s="26">
        <f>G16+G17+G18</f>
        <v>0.40754699999999999</v>
      </c>
    </row>
    <row r="21" spans="1:7" ht="12.75" thickTop="1">
      <c r="G21" s="9" t="s">
        <v>30</v>
      </c>
    </row>
    <row r="22" spans="1:7" ht="12.75" thickBot="1">
      <c r="G22" s="88">
        <f>ROUND(G20,5)</f>
        <v>0.40755000000000002</v>
      </c>
    </row>
    <row r="23" spans="1:7" ht="12.75" thickTop="1"/>
    <row r="25" spans="1:7">
      <c r="B25" s="14"/>
    </row>
    <row r="26" spans="1:7">
      <c r="A26" s="9" t="s">
        <v>155</v>
      </c>
      <c r="B26" s="27">
        <f>+'II - IV  Apportionment Detail'!E43</f>
        <v>1178996696</v>
      </c>
      <c r="C26" s="337" t="s">
        <v>32</v>
      </c>
      <c r="D26" s="339">
        <f>B26/B27</f>
        <v>1</v>
      </c>
      <c r="E26" s="335" t="s">
        <v>118</v>
      </c>
    </row>
    <row r="27" spans="1:7">
      <c r="A27" s="9" t="s">
        <v>155</v>
      </c>
      <c r="B27" s="62">
        <f>+'II - IV  Apportionment Detail'!$E$43</f>
        <v>1178996696</v>
      </c>
      <c r="C27" s="338"/>
      <c r="D27" s="340"/>
      <c r="E27" s="335"/>
    </row>
    <row r="28" spans="1:7">
      <c r="B28" s="27"/>
    </row>
    <row r="29" spans="1:7">
      <c r="B29" s="27"/>
    </row>
    <row r="30" spans="1:7">
      <c r="A30" s="9" t="s">
        <v>33</v>
      </c>
      <c r="B30" s="90">
        <f>+'II - IV  Apportionment Detail'!E6</f>
        <v>1046138869</v>
      </c>
      <c r="C30" s="337" t="s">
        <v>32</v>
      </c>
      <c r="D30" s="339">
        <f>B30/B31</f>
        <v>0.88731280804199986</v>
      </c>
      <c r="E30" s="335" t="s">
        <v>119</v>
      </c>
    </row>
    <row r="31" spans="1:7" ht="11.45" customHeight="1">
      <c r="A31" s="9" t="s">
        <v>31</v>
      </c>
      <c r="B31" s="84">
        <f>+'II - IV  Apportionment Detail'!$E$43</f>
        <v>1178996696</v>
      </c>
      <c r="C31" s="338"/>
      <c r="D31" s="340"/>
      <c r="E31" s="335"/>
    </row>
    <row r="32" spans="1:7">
      <c r="B32" s="27"/>
    </row>
    <row r="33" spans="1:7">
      <c r="B33" s="27"/>
    </row>
    <row r="34" spans="1:7">
      <c r="A34" s="9" t="s">
        <v>34</v>
      </c>
      <c r="B34" s="90">
        <f>+'II - IV  Apportionment Detail'!E78</f>
        <v>0</v>
      </c>
      <c r="C34" s="337" t="s">
        <v>32</v>
      </c>
      <c r="D34" s="339">
        <f>B34/B35</f>
        <v>0</v>
      </c>
      <c r="E34" s="335" t="s">
        <v>120</v>
      </c>
    </row>
    <row r="35" spans="1:7" ht="11.45" customHeight="1">
      <c r="A35" s="9" t="s">
        <v>31</v>
      </c>
      <c r="B35" s="84">
        <f>+'II - IV  Apportionment Detail'!$E$43</f>
        <v>1178996696</v>
      </c>
      <c r="C35" s="338"/>
      <c r="D35" s="340"/>
      <c r="E35" s="335"/>
    </row>
    <row r="36" spans="1:7">
      <c r="B36" s="28"/>
    </row>
    <row r="37" spans="1:7">
      <c r="B37" s="28"/>
    </row>
    <row r="38" spans="1:7">
      <c r="A38" s="9" t="s">
        <v>38</v>
      </c>
      <c r="B38" s="90">
        <f>+'II - IV  Apportionment Detail'!E101</f>
        <v>542286027</v>
      </c>
      <c r="C38" s="337" t="s">
        <v>32</v>
      </c>
      <c r="D38" s="339">
        <f>B38/B39</f>
        <v>0.45995551034182031</v>
      </c>
      <c r="E38" s="335" t="s">
        <v>121</v>
      </c>
    </row>
    <row r="39" spans="1:7">
      <c r="A39" s="9" t="s">
        <v>31</v>
      </c>
      <c r="B39" s="84">
        <f>+'II - IV  Apportionment Detail'!$E$43</f>
        <v>1178996696</v>
      </c>
      <c r="C39" s="338"/>
      <c r="D39" s="340"/>
      <c r="E39" s="335"/>
    </row>
    <row r="40" spans="1:7">
      <c r="B40" s="28"/>
    </row>
    <row r="41" spans="1:7">
      <c r="B41" s="28"/>
    </row>
    <row r="43" spans="1:7">
      <c r="A43" s="10" t="s">
        <v>35</v>
      </c>
    </row>
    <row r="45" spans="1:7" ht="12.75">
      <c r="B45" s="29"/>
      <c r="C45" s="30"/>
      <c r="D45" s="29"/>
      <c r="E45" s="29"/>
      <c r="F45" s="31"/>
      <c r="G45" s="31"/>
    </row>
    <row r="46" spans="1:7" ht="12.75">
      <c r="B46" s="32">
        <v>2009</v>
      </c>
      <c r="C46" s="32">
        <f>B46+1</f>
        <v>2010</v>
      </c>
      <c r="D46" s="32">
        <f>C46+1</f>
        <v>2011</v>
      </c>
      <c r="E46" s="32">
        <f>D46+1</f>
        <v>2012</v>
      </c>
      <c r="F46" s="32">
        <f>E46+1</f>
        <v>2013</v>
      </c>
      <c r="G46" s="32">
        <f>F46+1</f>
        <v>2014</v>
      </c>
    </row>
    <row r="47" spans="1:7">
      <c r="A47" s="9" t="s">
        <v>36</v>
      </c>
      <c r="B47" s="33">
        <v>0.2</v>
      </c>
      <c r="C47" s="33">
        <v>0.2</v>
      </c>
      <c r="D47" s="33">
        <v>0.2</v>
      </c>
      <c r="E47" s="34">
        <v>0.2</v>
      </c>
      <c r="F47" s="34">
        <v>0.2</v>
      </c>
      <c r="G47" s="34">
        <v>0.2</v>
      </c>
    </row>
  </sheetData>
  <mergeCells count="15">
    <mergeCell ref="E38:E39"/>
    <mergeCell ref="E34:E35"/>
    <mergeCell ref="E30:E31"/>
    <mergeCell ref="E26:E27"/>
    <mergeCell ref="A1:G1"/>
    <mergeCell ref="A2:G2"/>
    <mergeCell ref="C34:C35"/>
    <mergeCell ref="D34:D35"/>
    <mergeCell ref="C38:C39"/>
    <mergeCell ref="D38:D39"/>
    <mergeCell ref="C26:C27"/>
    <mergeCell ref="D26:D27"/>
    <mergeCell ref="C30:C31"/>
    <mergeCell ref="D30:D31"/>
    <mergeCell ref="A3:H3"/>
  </mergeCells>
  <phoneticPr fontId="9" type="noConversion"/>
  <pageMargins left="0.5" right="0.5" top="0.5" bottom="0.5" header="0.5" footer="0.25"/>
  <pageSetup scale="84" orientation="portrait" r:id="rId1"/>
  <headerFooter alignWithMargins="0">
    <oddHeader>&amp;RTO11 Draft Annual Update
Attachment 4
WP-Schedule 26
Page &amp;P of &amp;N</oddHeader>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Normal="100" workbookViewId="0">
      <selection activeCell="G58" sqref="G58"/>
    </sheetView>
  </sheetViews>
  <sheetFormatPr defaultRowHeight="12.75"/>
  <cols>
    <col min="1" max="1" width="24.5703125" style="2" customWidth="1"/>
    <col min="2" max="3" width="14.85546875" style="1" customWidth="1"/>
    <col min="4" max="4" width="1.7109375" style="1" customWidth="1"/>
    <col min="5" max="5" width="17.7109375" style="1" bestFit="1" customWidth="1"/>
    <col min="6" max="7" width="14.85546875" style="1" customWidth="1"/>
    <col min="8" max="8" width="14.85546875" style="2" customWidth="1"/>
    <col min="9" max="9" width="9.140625" style="2"/>
    <col min="10" max="10" width="10" style="2" bestFit="1" customWidth="1"/>
    <col min="11" max="11" width="19.28515625" style="2" bestFit="1" customWidth="1"/>
    <col min="12" max="16384" width="9.140625" style="2"/>
  </cols>
  <sheetData>
    <row r="1" spans="1:9">
      <c r="A1" s="336" t="s">
        <v>17</v>
      </c>
      <c r="B1" s="336"/>
      <c r="C1" s="336"/>
      <c r="D1" s="336"/>
      <c r="E1" s="336"/>
      <c r="F1" s="336"/>
      <c r="G1" s="336"/>
      <c r="H1" s="63"/>
      <c r="I1" s="63"/>
    </row>
    <row r="2" spans="1:9">
      <c r="A2" s="336" t="s">
        <v>426</v>
      </c>
      <c r="B2" s="336"/>
      <c r="C2" s="336"/>
      <c r="D2" s="336"/>
      <c r="E2" s="336"/>
      <c r="F2" s="336"/>
      <c r="G2" s="336"/>
      <c r="H2" s="63"/>
      <c r="I2" s="63"/>
    </row>
    <row r="6" spans="1:9">
      <c r="A6" s="344" t="s">
        <v>68</v>
      </c>
      <c r="B6" s="344"/>
      <c r="C6" s="344"/>
      <c r="D6" s="344"/>
      <c r="E6" s="344"/>
      <c r="F6" s="344"/>
      <c r="G6" s="344"/>
    </row>
    <row r="7" spans="1:9">
      <c r="B7" s="343" t="s">
        <v>7</v>
      </c>
      <c r="C7" s="343"/>
      <c r="D7" s="109"/>
      <c r="E7" s="343" t="s">
        <v>143</v>
      </c>
      <c r="F7" s="343"/>
      <c r="G7" s="343"/>
    </row>
    <row r="8" spans="1:9">
      <c r="C8" s="3" t="s">
        <v>1</v>
      </c>
      <c r="D8" s="110"/>
      <c r="F8" s="105"/>
      <c r="G8" s="107" t="s">
        <v>1</v>
      </c>
    </row>
    <row r="9" spans="1:9">
      <c r="B9" s="3" t="s">
        <v>2</v>
      </c>
      <c r="C9" s="3" t="s">
        <v>4</v>
      </c>
      <c r="D9" s="110"/>
      <c r="E9" s="3"/>
      <c r="F9" s="3" t="s">
        <v>2</v>
      </c>
      <c r="G9" s="106" t="s">
        <v>4</v>
      </c>
    </row>
    <row r="10" spans="1:9">
      <c r="B10" s="74" t="s">
        <v>427</v>
      </c>
      <c r="C10" s="4" t="s">
        <v>6</v>
      </c>
      <c r="D10" s="110"/>
      <c r="E10" s="278" t="s">
        <v>428</v>
      </c>
      <c r="F10" s="74" t="s">
        <v>427</v>
      </c>
      <c r="G10" s="108" t="s">
        <v>6</v>
      </c>
    </row>
    <row r="11" spans="1:9">
      <c r="C11" s="5"/>
      <c r="D11" s="111"/>
    </row>
    <row r="12" spans="1:9">
      <c r="A12" s="2" t="s">
        <v>7</v>
      </c>
      <c r="B12" s="1">
        <f>+'II - IV  Apportionment Detail'!E69</f>
        <v>5073039339</v>
      </c>
      <c r="C12" s="5">
        <f>B12/B$19</f>
        <v>1</v>
      </c>
      <c r="D12" s="111"/>
      <c r="E12" s="1">
        <f>SUM('A1 Summary 2014 Appt (9-14-15)'!G92:G93)</f>
        <v>7786592788</v>
      </c>
      <c r="F12" s="1">
        <f>+B12+E12</f>
        <v>12859632127</v>
      </c>
      <c r="G12" s="5">
        <f>ROUND(F12/$F$19,6)</f>
        <v>1</v>
      </c>
    </row>
    <row r="13" spans="1:9">
      <c r="A13" s="2" t="s">
        <v>8</v>
      </c>
      <c r="B13" s="1">
        <f>+'II - IV  Apportionment Detail'!E94</f>
        <v>0</v>
      </c>
      <c r="C13" s="5">
        <f t="shared" ref="C13:C17" si="0">B13/B$19</f>
        <v>0</v>
      </c>
      <c r="D13" s="111"/>
      <c r="E13" s="1">
        <f>-B13</f>
        <v>0</v>
      </c>
      <c r="F13" s="1">
        <f t="shared" ref="F13:F17" si="1">+B13+E13</f>
        <v>0</v>
      </c>
      <c r="G13" s="5">
        <f t="shared" ref="G13:G17" si="2">ROUND(F13/$F$19,6)</f>
        <v>0</v>
      </c>
    </row>
    <row r="14" spans="1:9">
      <c r="A14" s="2" t="s">
        <v>9</v>
      </c>
      <c r="B14" s="1">
        <f>+'II - IV  Apportionment Detail'!E32</f>
        <v>0</v>
      </c>
      <c r="C14" s="5">
        <f t="shared" si="0"/>
        <v>0</v>
      </c>
      <c r="D14" s="111"/>
      <c r="E14" s="1">
        <f>-B14</f>
        <v>0</v>
      </c>
      <c r="F14" s="1">
        <f t="shared" si="1"/>
        <v>0</v>
      </c>
      <c r="G14" s="5">
        <f t="shared" si="2"/>
        <v>0</v>
      </c>
    </row>
    <row r="15" spans="1:9">
      <c r="A15" s="2" t="s">
        <v>435</v>
      </c>
      <c r="B15" s="1">
        <f>+'II - IV  Apportionment Detail'!E116</f>
        <v>0</v>
      </c>
      <c r="C15" s="5">
        <f t="shared" si="0"/>
        <v>0</v>
      </c>
      <c r="D15" s="111"/>
      <c r="E15" s="1">
        <v>0</v>
      </c>
      <c r="F15" s="1">
        <f t="shared" si="1"/>
        <v>0</v>
      </c>
      <c r="G15" s="5">
        <f t="shared" si="2"/>
        <v>0</v>
      </c>
    </row>
    <row r="16" spans="1:9">
      <c r="A16" s="2" t="s">
        <v>11</v>
      </c>
      <c r="B16" s="1">
        <v>0</v>
      </c>
      <c r="C16" s="5">
        <f t="shared" si="0"/>
        <v>0</v>
      </c>
      <c r="D16" s="111"/>
      <c r="E16" s="1">
        <v>0</v>
      </c>
      <c r="F16" s="1">
        <f t="shared" si="1"/>
        <v>0</v>
      </c>
      <c r="G16" s="5">
        <f t="shared" si="2"/>
        <v>0</v>
      </c>
    </row>
    <row r="17" spans="1:11">
      <c r="A17" s="68" t="s">
        <v>371</v>
      </c>
      <c r="B17" s="1">
        <v>0</v>
      </c>
      <c r="C17" s="5">
        <f t="shared" si="0"/>
        <v>0</v>
      </c>
      <c r="D17" s="111"/>
      <c r="E17" s="1">
        <v>0</v>
      </c>
      <c r="F17" s="1">
        <f t="shared" si="1"/>
        <v>0</v>
      </c>
      <c r="G17" s="5">
        <f t="shared" si="2"/>
        <v>0</v>
      </c>
    </row>
    <row r="18" spans="1:11">
      <c r="C18" s="5"/>
      <c r="D18" s="111"/>
    </row>
    <row r="19" spans="1:11" ht="13.5" thickBot="1">
      <c r="A19" s="68" t="s">
        <v>142</v>
      </c>
      <c r="B19" s="79">
        <f>SUM(B11:B18)</f>
        <v>5073039339</v>
      </c>
      <c r="C19" s="7">
        <f>SUM(C11:C18)</f>
        <v>1</v>
      </c>
      <c r="D19" s="111"/>
      <c r="E19" s="6">
        <f>SUM(E11:E18)</f>
        <v>7786592788</v>
      </c>
      <c r="F19" s="6">
        <f>SUM(F11:F18)</f>
        <v>12859632127</v>
      </c>
      <c r="G19" s="7">
        <f>SUM(G11:G18)</f>
        <v>1</v>
      </c>
    </row>
    <row r="20" spans="1:11" ht="13.5" thickTop="1">
      <c r="A20" s="68"/>
      <c r="D20" s="112"/>
      <c r="F20" s="297"/>
      <c r="G20" s="2"/>
    </row>
    <row r="21" spans="1:11">
      <c r="A21" s="68" t="s">
        <v>443</v>
      </c>
      <c r="D21" s="112"/>
      <c r="G21" s="334">
        <v>0.9</v>
      </c>
    </row>
    <row r="22" spans="1:11">
      <c r="D22" s="112"/>
    </row>
    <row r="23" spans="1:11">
      <c r="A23" s="344" t="s">
        <v>63</v>
      </c>
      <c r="B23" s="344"/>
      <c r="C23" s="344"/>
      <c r="D23" s="344"/>
      <c r="E23" s="344"/>
      <c r="F23" s="344"/>
      <c r="G23" s="344"/>
    </row>
    <row r="24" spans="1:11">
      <c r="B24" s="343" t="s">
        <v>7</v>
      </c>
      <c r="C24" s="343"/>
      <c r="D24" s="109"/>
      <c r="E24" s="343" t="s">
        <v>143</v>
      </c>
      <c r="F24" s="343"/>
      <c r="G24" s="343"/>
    </row>
    <row r="25" spans="1:11">
      <c r="B25" s="3" t="s">
        <v>14</v>
      </c>
      <c r="C25" s="3" t="s">
        <v>14</v>
      </c>
      <c r="D25" s="110"/>
      <c r="E25" s="3"/>
      <c r="F25" s="3" t="s">
        <v>3</v>
      </c>
      <c r="G25" s="3" t="s">
        <v>14</v>
      </c>
    </row>
    <row r="26" spans="1:11">
      <c r="B26" s="4" t="str">
        <f>B$10</f>
        <v>2014 TR</v>
      </c>
      <c r="C26" s="4" t="s">
        <v>6</v>
      </c>
      <c r="D26" s="110"/>
      <c r="E26" s="74" t="s">
        <v>364</v>
      </c>
      <c r="F26" s="4" t="s">
        <v>14</v>
      </c>
      <c r="G26" s="4" t="s">
        <v>6</v>
      </c>
    </row>
    <row r="27" spans="1:11">
      <c r="C27" s="5"/>
      <c r="D27" s="111"/>
      <c r="G27" s="2"/>
    </row>
    <row r="28" spans="1:11">
      <c r="A28" s="68" t="s">
        <v>7</v>
      </c>
      <c r="B28" s="81">
        <f>+'II - IV  Apportionment Detail'!E60</f>
        <v>0</v>
      </c>
      <c r="C28" s="5">
        <f>B28/B$35</f>
        <v>0</v>
      </c>
      <c r="D28" s="111"/>
      <c r="E28" s="1">
        <f>'A1 Summary 2014 Appt (9-14-15)'!G76-SUM(B29:B33)</f>
        <v>1742347065</v>
      </c>
      <c r="F28" s="1">
        <f>SUM(B28:E28)</f>
        <v>1742347065</v>
      </c>
      <c r="G28" s="5">
        <f>ROUND(F28/$F$35,6)</f>
        <v>0.99882199999999999</v>
      </c>
    </row>
    <row r="29" spans="1:11">
      <c r="A29" s="2" t="s">
        <v>8</v>
      </c>
      <c r="B29" s="1">
        <f>+'II - IV  Apportionment Detail'!E91</f>
        <v>0</v>
      </c>
      <c r="C29" s="5">
        <f>B29/(B$35+E28)</f>
        <v>0</v>
      </c>
      <c r="D29" s="111"/>
      <c r="E29" s="1">
        <v>0</v>
      </c>
      <c r="F29" s="1">
        <f t="shared" ref="F29:F33" si="3">SUM(B29:E29)</f>
        <v>0</v>
      </c>
      <c r="G29" s="5">
        <f t="shared" ref="G29:G33" si="4">ROUND(F29/$F$35,6)</f>
        <v>0</v>
      </c>
      <c r="I29" s="1"/>
    </row>
    <row r="30" spans="1:11">
      <c r="A30" s="2" t="s">
        <v>9</v>
      </c>
      <c r="B30" s="1">
        <f>+'II - IV  Apportionment Detail'!E27</f>
        <v>0</v>
      </c>
      <c r="C30" s="5">
        <f>B30/(B$35+E28)</f>
        <v>0</v>
      </c>
      <c r="D30" s="111"/>
      <c r="E30" s="1">
        <v>0</v>
      </c>
      <c r="F30" s="1">
        <f t="shared" si="3"/>
        <v>0</v>
      </c>
      <c r="G30" s="5">
        <f t="shared" si="4"/>
        <v>0</v>
      </c>
    </row>
    <row r="31" spans="1:11">
      <c r="A31" s="2" t="s">
        <v>10</v>
      </c>
      <c r="B31" s="1">
        <f>+'II - IV  Apportionment Detail'!E112</f>
        <v>0</v>
      </c>
      <c r="C31" s="5">
        <f t="shared" ref="C31:C33" si="5">B31/B$35</f>
        <v>0</v>
      </c>
      <c r="D31" s="111"/>
      <c r="E31" s="1">
        <v>0</v>
      </c>
      <c r="F31" s="1">
        <f t="shared" si="3"/>
        <v>0</v>
      </c>
      <c r="G31" s="5">
        <f t="shared" si="4"/>
        <v>0</v>
      </c>
      <c r="K31" s="80"/>
    </row>
    <row r="32" spans="1:11">
      <c r="A32" s="2" t="s">
        <v>11</v>
      </c>
      <c r="B32" s="1">
        <f>'A1 Summary 2014 Appt (9-14-15)'!S76</f>
        <v>2054299</v>
      </c>
      <c r="C32" s="5">
        <f t="shared" si="5"/>
        <v>1</v>
      </c>
      <c r="D32" s="111"/>
      <c r="E32" s="1">
        <v>0</v>
      </c>
      <c r="F32" s="1">
        <f t="shared" si="3"/>
        <v>2054300</v>
      </c>
      <c r="G32" s="5">
        <f t="shared" si="4"/>
        <v>1.178E-3</v>
      </c>
      <c r="K32" s="80"/>
    </row>
    <row r="33" spans="1:11">
      <c r="A33" s="2" t="s">
        <v>12</v>
      </c>
      <c r="B33" s="81">
        <v>0</v>
      </c>
      <c r="C33" s="5">
        <f t="shared" si="5"/>
        <v>0</v>
      </c>
      <c r="D33" s="111"/>
      <c r="E33" s="81">
        <v>0</v>
      </c>
      <c r="F33" s="1">
        <f t="shared" si="3"/>
        <v>0</v>
      </c>
      <c r="G33" s="5">
        <f t="shared" si="4"/>
        <v>0</v>
      </c>
      <c r="K33" s="80"/>
    </row>
    <row r="34" spans="1:11">
      <c r="C34" s="5"/>
      <c r="D34" s="111"/>
      <c r="G34" s="2"/>
      <c r="K34" s="80"/>
    </row>
    <row r="35" spans="1:11" ht="13.5" thickBot="1">
      <c r="A35" s="2" t="s">
        <v>13</v>
      </c>
      <c r="B35" s="79">
        <f>SUM(B27:B34)</f>
        <v>2054299</v>
      </c>
      <c r="C35" s="7">
        <f>SUM(C27:C34)</f>
        <v>1</v>
      </c>
      <c r="D35" s="111"/>
      <c r="E35" s="6">
        <f>SUM(E27:E34)</f>
        <v>1742347065</v>
      </c>
      <c r="F35" s="6">
        <f>SUM(F27:F34)</f>
        <v>1744401365</v>
      </c>
      <c r="G35" s="7">
        <f>SUM(G27:G34)</f>
        <v>1</v>
      </c>
      <c r="K35" s="80"/>
    </row>
    <row r="36" spans="1:11" ht="13.5" thickTop="1">
      <c r="D36" s="112"/>
      <c r="F36" s="297"/>
      <c r="G36" s="2"/>
      <c r="K36" s="80"/>
    </row>
    <row r="37" spans="1:11">
      <c r="A37" s="68" t="s">
        <v>443</v>
      </c>
      <c r="D37" s="112"/>
      <c r="G37" s="334">
        <v>0.05</v>
      </c>
      <c r="K37" s="80"/>
    </row>
    <row r="38" spans="1:11">
      <c r="D38" s="112"/>
      <c r="G38" s="2"/>
      <c r="K38" s="80"/>
    </row>
    <row r="39" spans="1:11">
      <c r="A39" s="344" t="s">
        <v>62</v>
      </c>
      <c r="B39" s="344"/>
      <c r="C39" s="344"/>
      <c r="D39" s="344"/>
      <c r="E39" s="344"/>
      <c r="F39" s="344"/>
      <c r="G39" s="344"/>
      <c r="K39" s="80"/>
    </row>
    <row r="40" spans="1:11">
      <c r="B40" s="343" t="s">
        <v>7</v>
      </c>
      <c r="C40" s="343"/>
      <c r="D40" s="109"/>
      <c r="E40" s="343" t="s">
        <v>143</v>
      </c>
      <c r="F40" s="343"/>
      <c r="G40" s="343"/>
    </row>
    <row r="41" spans="1:11">
      <c r="B41" s="3" t="s">
        <v>15</v>
      </c>
      <c r="C41" s="3" t="s">
        <v>15</v>
      </c>
      <c r="D41" s="110"/>
      <c r="E41" s="3"/>
      <c r="F41" s="3" t="s">
        <v>3</v>
      </c>
      <c r="G41" s="106" t="s">
        <v>15</v>
      </c>
    </row>
    <row r="42" spans="1:11">
      <c r="B42" s="4" t="str">
        <f>B$10</f>
        <v>2014 TR</v>
      </c>
      <c r="C42" s="4" t="s">
        <v>6</v>
      </c>
      <c r="D42" s="110"/>
      <c r="E42" s="74" t="s">
        <v>372</v>
      </c>
      <c r="F42" s="4" t="s">
        <v>15</v>
      </c>
      <c r="G42" s="108" t="s">
        <v>6</v>
      </c>
    </row>
    <row r="43" spans="1:11">
      <c r="C43" s="5"/>
      <c r="D43" s="111"/>
      <c r="G43" s="2"/>
    </row>
    <row r="44" spans="1:11">
      <c r="A44" s="68" t="s">
        <v>7</v>
      </c>
      <c r="B44" s="81">
        <f>'II - IV  Apportionment Detail'!E57</f>
        <v>0</v>
      </c>
      <c r="C44" s="5">
        <f>B44/B$51</f>
        <v>0</v>
      </c>
      <c r="D44" s="111"/>
      <c r="E44" s="331">
        <f>'A1 Summary 2014 Appt (9-14-15)'!G44-'A1 Summary 2014 Appt (9-14-15)'!W44-SUM(B46:B48)</f>
        <v>40465029597</v>
      </c>
      <c r="F44" s="1">
        <f>SUM(B44:E44)</f>
        <v>40465029597</v>
      </c>
      <c r="G44" s="5">
        <f>ROUND(F44/$F$51,6)</f>
        <v>0.94663299999999995</v>
      </c>
    </row>
    <row r="45" spans="1:11">
      <c r="A45" s="2" t="s">
        <v>8</v>
      </c>
      <c r="B45" s="1">
        <f>+'II - IV  Apportionment Detail'!E88</f>
        <v>0</v>
      </c>
      <c r="C45" s="5">
        <f>B45/(B$51+E44)</f>
        <v>0</v>
      </c>
      <c r="D45" s="111"/>
      <c r="E45" s="1">
        <v>0</v>
      </c>
      <c r="F45" s="1">
        <f t="shared" ref="F45:F49" si="6">SUM(B45:E45)</f>
        <v>0</v>
      </c>
      <c r="G45" s="5">
        <f t="shared" ref="G45:G49" si="7">ROUND(F45/$F$51,6)</f>
        <v>0</v>
      </c>
    </row>
    <row r="46" spans="1:11">
      <c r="A46" s="2" t="s">
        <v>9</v>
      </c>
      <c r="B46" s="1">
        <f>'II - IV  Apportionment Detail'!E23</f>
        <v>2155551669</v>
      </c>
      <c r="C46" s="5">
        <f>B46/(B$51+E44)</f>
        <v>5.0426634749265495E-2</v>
      </c>
      <c r="D46" s="111"/>
      <c r="E46" s="1">
        <v>0</v>
      </c>
      <c r="F46" s="1">
        <f t="shared" si="6"/>
        <v>2155551669.0504265</v>
      </c>
      <c r="G46" s="5">
        <f t="shared" si="7"/>
        <v>5.0427E-2</v>
      </c>
    </row>
    <row r="47" spans="1:11">
      <c r="A47" s="2" t="s">
        <v>10</v>
      </c>
      <c r="B47" s="1">
        <f>'II - IV  Apportionment Detail'!E109</f>
        <v>0</v>
      </c>
      <c r="C47" s="5">
        <f>B47/(B$51+E44)</f>
        <v>0</v>
      </c>
      <c r="D47" s="111"/>
      <c r="E47" s="1">
        <v>0</v>
      </c>
      <c r="F47" s="1">
        <f t="shared" si="6"/>
        <v>0</v>
      </c>
      <c r="G47" s="5">
        <f t="shared" si="7"/>
        <v>0</v>
      </c>
    </row>
    <row r="48" spans="1:11">
      <c r="A48" s="2" t="s">
        <v>11</v>
      </c>
      <c r="B48" s="1">
        <f>'A1 Summary 2014 Appt (9-14-15)'!S44</f>
        <v>125711040</v>
      </c>
      <c r="C48" s="5">
        <f t="shared" ref="C48:C49" si="8">B48/B$51</f>
        <v>5.5105902316312315E-2</v>
      </c>
      <c r="D48" s="111"/>
      <c r="E48" s="1">
        <v>0</v>
      </c>
      <c r="F48" s="1">
        <f t="shared" si="6"/>
        <v>125711040.05510591</v>
      </c>
      <c r="G48" s="5">
        <f t="shared" si="7"/>
        <v>2.941E-3</v>
      </c>
    </row>
    <row r="49" spans="1:8">
      <c r="A49" s="2" t="s">
        <v>12</v>
      </c>
      <c r="B49" s="298">
        <v>0</v>
      </c>
      <c r="C49" s="5">
        <f t="shared" si="8"/>
        <v>0</v>
      </c>
      <c r="D49" s="111"/>
      <c r="E49" s="1">
        <v>0</v>
      </c>
      <c r="F49" s="1">
        <f t="shared" si="6"/>
        <v>0</v>
      </c>
      <c r="G49" s="5">
        <f t="shared" si="7"/>
        <v>0</v>
      </c>
    </row>
    <row r="50" spans="1:8">
      <c r="C50" s="5"/>
      <c r="D50" s="111"/>
      <c r="G50" s="2"/>
    </row>
    <row r="51" spans="1:8" ht="13.5" thickBot="1">
      <c r="A51" s="2" t="s">
        <v>13</v>
      </c>
      <c r="B51" s="79">
        <f>SUM(B43:B50)</f>
        <v>2281262709</v>
      </c>
      <c r="C51" s="7">
        <f>SUM(C43:C50)</f>
        <v>0.1055325370655778</v>
      </c>
      <c r="D51" s="111"/>
      <c r="E51" s="6">
        <f>SUM(E43:E50)</f>
        <v>40465029597</v>
      </c>
      <c r="F51" s="6">
        <f>SUM(F43:F50)</f>
        <v>42746292306.105537</v>
      </c>
      <c r="G51" s="7">
        <f>SUM(G43:G50)</f>
        <v>1.0000009999999999</v>
      </c>
    </row>
    <row r="52" spans="1:8" ht="13.5" thickTop="1">
      <c r="D52" s="112"/>
      <c r="F52" s="297" t="s">
        <v>373</v>
      </c>
    </row>
    <row r="53" spans="1:8">
      <c r="A53" s="68" t="s">
        <v>443</v>
      </c>
      <c r="G53" s="334">
        <v>0.05</v>
      </c>
    </row>
    <row r="56" spans="1:8" ht="15">
      <c r="A56" s="113" t="s">
        <v>16</v>
      </c>
      <c r="B56" s="71"/>
      <c r="C56" s="71"/>
      <c r="D56" s="71"/>
      <c r="E56" s="71"/>
      <c r="F56" s="71"/>
      <c r="G56" s="71"/>
    </row>
    <row r="57" spans="1:8">
      <c r="A57" s="71" t="s">
        <v>7</v>
      </c>
      <c r="B57" s="71"/>
      <c r="C57" s="87">
        <f>ROUND((ROUND(B12/B19,6)+ROUND(B28/B35,6)*0+ROUND(B44/B51,6)*0)/1,6)</f>
        <v>1</v>
      </c>
      <c r="D57" s="71"/>
      <c r="E57" s="2"/>
      <c r="F57" s="71"/>
      <c r="G57" s="2"/>
      <c r="H57" s="68"/>
    </row>
    <row r="58" spans="1:8">
      <c r="A58" s="71" t="s">
        <v>8</v>
      </c>
      <c r="B58" s="71"/>
      <c r="C58" s="71"/>
      <c r="D58" s="71"/>
      <c r="E58" s="2"/>
      <c r="F58" s="71"/>
      <c r="G58" s="87">
        <f>ROUND((C45+C29+C13)/3,6)</f>
        <v>0</v>
      </c>
      <c r="H58" s="68"/>
    </row>
    <row r="59" spans="1:8">
      <c r="A59" s="71" t="s">
        <v>9</v>
      </c>
      <c r="B59" s="71"/>
      <c r="C59" s="71"/>
      <c r="D59" s="71"/>
      <c r="E59" s="2"/>
      <c r="F59" s="71"/>
      <c r="G59" s="87">
        <f>(B14/F19*G21)+(B30/F35*G37)+(B46/F51*G53)</f>
        <v>2.5213317374570502E-3</v>
      </c>
      <c r="H59" s="68"/>
    </row>
    <row r="60" spans="1:8">
      <c r="A60" s="71" t="s">
        <v>126</v>
      </c>
      <c r="B60" s="71"/>
      <c r="C60" s="71"/>
      <c r="D60" s="71"/>
      <c r="E60" s="2"/>
      <c r="F60" s="71"/>
      <c r="G60" s="87">
        <f>ROUND((C47/G51*0+C31/G35*0+C15/G19)/4,6)</f>
        <v>0</v>
      </c>
      <c r="H60" s="68"/>
    </row>
    <row r="61" spans="1:8">
      <c r="A61" s="71"/>
      <c r="B61" s="71"/>
      <c r="C61" s="71"/>
      <c r="D61" s="71"/>
      <c r="E61" s="2"/>
      <c r="F61" s="71"/>
      <c r="G61" s="87"/>
      <c r="H61" s="68"/>
    </row>
    <row r="62" spans="1:8">
      <c r="A62" s="71"/>
      <c r="B62" s="71"/>
      <c r="C62" s="71"/>
      <c r="D62" s="71"/>
      <c r="E62" s="2"/>
      <c r="F62" s="71"/>
      <c r="G62" s="87"/>
      <c r="H62" s="68"/>
    </row>
    <row r="63" spans="1:8">
      <c r="A63" s="68"/>
      <c r="B63" s="71"/>
      <c r="C63" s="71"/>
      <c r="D63" s="71"/>
      <c r="E63" s="71"/>
      <c r="F63" s="71"/>
      <c r="G63" s="71"/>
    </row>
    <row r="64" spans="1:8">
      <c r="A64" s="68" t="s">
        <v>444</v>
      </c>
    </row>
    <row r="65" spans="1:11">
      <c r="A65" s="68" t="s">
        <v>445</v>
      </c>
    </row>
    <row r="66" spans="1:11">
      <c r="A66" s="68" t="s">
        <v>363</v>
      </c>
      <c r="G66" s="5"/>
    </row>
    <row r="67" spans="1:11">
      <c r="A67" s="68" t="s">
        <v>154</v>
      </c>
    </row>
    <row r="68" spans="1:11">
      <c r="A68" s="68" t="s">
        <v>429</v>
      </c>
    </row>
    <row r="69" spans="1:11">
      <c r="A69" s="68" t="s">
        <v>434</v>
      </c>
    </row>
    <row r="71" spans="1:11">
      <c r="A71" s="68" t="s">
        <v>446</v>
      </c>
    </row>
    <row r="73" spans="1:11" hidden="1">
      <c r="A73" s="85" t="s">
        <v>144</v>
      </c>
      <c r="B73" s="86" t="s">
        <v>151</v>
      </c>
      <c r="C73" s="86"/>
      <c r="D73" s="86"/>
      <c r="E73" s="86"/>
      <c r="F73" s="86"/>
      <c r="G73" s="86"/>
      <c r="H73" s="85"/>
      <c r="I73" s="85"/>
      <c r="J73" s="85"/>
      <c r="K73" s="85"/>
    </row>
    <row r="74" spans="1:11" hidden="1">
      <c r="A74" s="85"/>
      <c r="B74" s="86" t="s">
        <v>146</v>
      </c>
      <c r="C74" s="86"/>
      <c r="D74" s="86"/>
      <c r="E74" s="86"/>
      <c r="F74" s="86"/>
      <c r="G74" s="86"/>
      <c r="H74" s="85"/>
      <c r="I74" s="85"/>
      <c r="J74" s="85"/>
      <c r="K74" s="85"/>
    </row>
    <row r="75" spans="1:11" hidden="1">
      <c r="A75" s="85"/>
      <c r="B75" s="86" t="s">
        <v>147</v>
      </c>
      <c r="C75" s="86"/>
      <c r="D75" s="86"/>
      <c r="E75" s="86"/>
      <c r="F75" s="86"/>
      <c r="G75" s="86"/>
      <c r="H75" s="85"/>
      <c r="I75" s="85"/>
      <c r="J75" s="85"/>
      <c r="K75" s="85"/>
    </row>
    <row r="76" spans="1:11" hidden="1">
      <c r="A76" s="85"/>
      <c r="B76" s="86" t="s">
        <v>148</v>
      </c>
      <c r="C76" s="86"/>
      <c r="D76" s="86"/>
      <c r="E76" s="86"/>
      <c r="F76" s="86"/>
      <c r="G76" s="86"/>
      <c r="H76" s="85"/>
      <c r="I76" s="85"/>
      <c r="J76" s="85"/>
      <c r="K76" s="85"/>
    </row>
    <row r="77" spans="1:11" hidden="1">
      <c r="A77" s="82"/>
      <c r="B77" s="86" t="s">
        <v>365</v>
      </c>
      <c r="C77" s="83"/>
      <c r="D77" s="83"/>
      <c r="E77" s="83"/>
      <c r="F77" s="83"/>
      <c r="G77" s="83"/>
      <c r="H77" s="82"/>
      <c r="I77" s="82"/>
      <c r="J77" s="82"/>
      <c r="K77" s="82"/>
    </row>
    <row r="78" spans="1:11" hidden="1">
      <c r="A78" s="82"/>
      <c r="B78" s="86" t="s">
        <v>152</v>
      </c>
      <c r="C78" s="83"/>
      <c r="D78" s="83"/>
      <c r="E78" s="83"/>
      <c r="F78" s="83"/>
      <c r="G78" s="83"/>
      <c r="H78" s="82"/>
      <c r="I78" s="82"/>
      <c r="J78" s="82"/>
      <c r="K78" s="82"/>
    </row>
    <row r="79" spans="1:11" hidden="1">
      <c r="B79" s="86" t="s">
        <v>145</v>
      </c>
    </row>
    <row r="80" spans="1:11" hidden="1">
      <c r="B80" s="86" t="s">
        <v>149</v>
      </c>
    </row>
    <row r="81" spans="2:2" hidden="1">
      <c r="B81" s="86" t="s">
        <v>150</v>
      </c>
    </row>
    <row r="82" spans="2:2" hidden="1">
      <c r="B82" s="86" t="s">
        <v>153</v>
      </c>
    </row>
    <row r="83" spans="2:2" hidden="1"/>
  </sheetData>
  <mergeCells count="11">
    <mergeCell ref="A1:G1"/>
    <mergeCell ref="A2:G2"/>
    <mergeCell ref="E7:G7"/>
    <mergeCell ref="B7:C7"/>
    <mergeCell ref="B24:C24"/>
    <mergeCell ref="E24:G24"/>
    <mergeCell ref="B40:C40"/>
    <mergeCell ref="E40:G40"/>
    <mergeCell ref="A39:G39"/>
    <mergeCell ref="A23:G23"/>
    <mergeCell ref="A6:G6"/>
  </mergeCells>
  <phoneticPr fontId="9" type="noConversion"/>
  <pageMargins left="0.75" right="0.75" top="0.25" bottom="0.5" header="0.5" footer="0.25"/>
  <pageSetup scale="77" orientation="portrait" r:id="rId1"/>
  <headerFooter alignWithMargins="0">
    <oddHeader>&amp;RTO11 Draft Annual Update
Attachment 4
WP-Schedule 26
Page &amp;P of &amp;N</oddHeader>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20"/>
  <sheetViews>
    <sheetView zoomScaleNormal="100" zoomScaleSheetLayoutView="100" workbookViewId="0">
      <selection sqref="A1:G1"/>
    </sheetView>
  </sheetViews>
  <sheetFormatPr defaultRowHeight="12.75"/>
  <cols>
    <col min="1" max="2" width="4.28515625" style="37" customWidth="1"/>
    <col min="3" max="3" width="57.85546875" customWidth="1"/>
    <col min="4" max="4" width="14.5703125" bestFit="1" customWidth="1"/>
    <col min="5" max="6" width="16.7109375" style="43" customWidth="1"/>
    <col min="7" max="7" width="16.85546875" customWidth="1"/>
  </cols>
  <sheetData>
    <row r="1" spans="1:7">
      <c r="A1" s="345" t="s">
        <v>106</v>
      </c>
      <c r="B1" s="346"/>
      <c r="C1" s="346"/>
      <c r="D1" s="346"/>
      <c r="E1" s="346"/>
      <c r="F1" s="346"/>
      <c r="G1" s="346"/>
    </row>
    <row r="2" spans="1:7">
      <c r="A2" s="345" t="s">
        <v>442</v>
      </c>
      <c r="B2" s="346"/>
      <c r="C2" s="346"/>
      <c r="D2" s="346"/>
      <c r="E2" s="346"/>
      <c r="F2" s="346"/>
      <c r="G2" s="346"/>
    </row>
    <row r="3" spans="1:7">
      <c r="C3" s="37"/>
      <c r="D3" s="64"/>
      <c r="E3" s="37"/>
      <c r="F3" s="37"/>
      <c r="G3" s="37"/>
    </row>
    <row r="4" spans="1:7">
      <c r="C4" s="356"/>
      <c r="D4" s="64"/>
      <c r="E4" s="72"/>
      <c r="F4" s="37"/>
      <c r="G4" s="37"/>
    </row>
    <row r="5" spans="1:7">
      <c r="A5" s="61"/>
      <c r="B5" s="61"/>
      <c r="C5" s="61"/>
      <c r="D5" s="64"/>
      <c r="E5" s="61"/>
      <c r="F5" s="70"/>
      <c r="G5" s="61"/>
    </row>
    <row r="6" spans="1:7">
      <c r="C6" s="8" t="s">
        <v>127</v>
      </c>
      <c r="D6" s="71"/>
      <c r="E6" s="357">
        <v>1046138869</v>
      </c>
    </row>
    <row r="8" spans="1:7">
      <c r="A8" s="38"/>
      <c r="B8" s="39" t="s">
        <v>40</v>
      </c>
      <c r="D8" s="68"/>
      <c r="E8" s="44" t="s">
        <v>43</v>
      </c>
      <c r="F8" s="44" t="s">
        <v>44</v>
      </c>
      <c r="G8" s="41" t="s">
        <v>45</v>
      </c>
    </row>
    <row r="9" spans="1:7">
      <c r="A9" s="38"/>
      <c r="B9" s="39"/>
      <c r="C9" t="s">
        <v>135</v>
      </c>
      <c r="E9" s="45" t="s">
        <v>46</v>
      </c>
      <c r="F9" s="45" t="s">
        <v>47</v>
      </c>
      <c r="G9" s="36" t="s">
        <v>48</v>
      </c>
    </row>
    <row r="10" spans="1:7">
      <c r="A10" s="38"/>
      <c r="C10" t="s">
        <v>136</v>
      </c>
      <c r="D10" s="8" t="s">
        <v>430</v>
      </c>
      <c r="E10" s="45" t="s">
        <v>9</v>
      </c>
      <c r="F10" s="45" t="s">
        <v>13</v>
      </c>
      <c r="G10" s="36" t="s">
        <v>9</v>
      </c>
    </row>
    <row r="11" spans="1:7">
      <c r="C11" t="s">
        <v>137</v>
      </c>
      <c r="D11" s="332"/>
      <c r="E11" s="46"/>
      <c r="F11" s="46"/>
      <c r="G11" s="42" t="s">
        <v>49</v>
      </c>
    </row>
    <row r="12" spans="1:7">
      <c r="B12" s="51" t="s">
        <v>39</v>
      </c>
      <c r="C12" s="8" t="s">
        <v>62</v>
      </c>
      <c r="D12" s="333">
        <v>0.05</v>
      </c>
      <c r="E12"/>
      <c r="F12"/>
    </row>
    <row r="13" spans="1:7">
      <c r="B13" s="69" t="s">
        <v>41</v>
      </c>
      <c r="C13" s="65"/>
      <c r="D13" s="9"/>
      <c r="E13"/>
      <c r="F13"/>
    </row>
    <row r="14" spans="1:7">
      <c r="B14" s="69" t="s">
        <v>42</v>
      </c>
      <c r="C14" s="65"/>
      <c r="D14" s="9"/>
      <c r="E14"/>
      <c r="F14"/>
    </row>
    <row r="15" spans="1:7">
      <c r="B15" s="3" t="s">
        <v>50</v>
      </c>
      <c r="C15" s="65" t="s">
        <v>59</v>
      </c>
      <c r="D15" s="9"/>
      <c r="G15" s="48"/>
    </row>
    <row r="16" spans="1:7">
      <c r="C16" s="65" t="s">
        <v>51</v>
      </c>
      <c r="D16" s="9"/>
      <c r="G16" s="48"/>
    </row>
    <row r="17" spans="2:7">
      <c r="C17" s="65" t="s">
        <v>52</v>
      </c>
      <c r="D17" s="9"/>
      <c r="E17" s="43">
        <f>'A1 Summary 2014 Appt (9-14-15)'!O41</f>
        <v>2150509573</v>
      </c>
      <c r="F17" s="43">
        <f>F86</f>
        <v>41738381553</v>
      </c>
      <c r="G17" s="49"/>
    </row>
    <row r="18" spans="2:7">
      <c r="C18" s="65" t="s">
        <v>53</v>
      </c>
      <c r="D18" s="9"/>
      <c r="G18" s="49"/>
    </row>
    <row r="19" spans="2:7">
      <c r="C19" s="65" t="s">
        <v>54</v>
      </c>
      <c r="D19" s="9"/>
      <c r="G19" s="49"/>
    </row>
    <row r="20" spans="2:7">
      <c r="C20" s="65" t="s">
        <v>55</v>
      </c>
      <c r="D20" s="9"/>
      <c r="E20" s="47"/>
      <c r="F20" s="47"/>
      <c r="G20" s="49"/>
    </row>
    <row r="21" spans="2:7">
      <c r="C21" s="65" t="s">
        <v>56</v>
      </c>
      <c r="D21" s="9"/>
      <c r="E21" s="43">
        <f>SUM(E15:E20)</f>
        <v>2150509573</v>
      </c>
      <c r="F21" s="43">
        <f t="shared" ref="F21" si="0">SUM(F15:F20)</f>
        <v>41738381553</v>
      </c>
      <c r="G21" s="49"/>
    </row>
    <row r="22" spans="2:7">
      <c r="B22" s="3" t="s">
        <v>57</v>
      </c>
      <c r="C22" s="65" t="s">
        <v>58</v>
      </c>
      <c r="D22" s="9"/>
      <c r="E22" s="47">
        <f>'A1 Summary 2014 Appt (9-14-15)'!O42</f>
        <v>5042096</v>
      </c>
      <c r="F22" s="47">
        <f>F87</f>
        <v>1007910752</v>
      </c>
      <c r="G22" s="50"/>
    </row>
    <row r="23" spans="2:7">
      <c r="B23" s="37" t="s">
        <v>60</v>
      </c>
      <c r="C23" s="66" t="s">
        <v>61</v>
      </c>
      <c r="D23" s="67"/>
      <c r="E23" s="52">
        <f>SUM(E21:E22)</f>
        <v>2155551669</v>
      </c>
      <c r="F23" s="52">
        <f>SUM(F21:F22)</f>
        <v>42746292305</v>
      </c>
      <c r="G23" s="75">
        <f>(E23/F23)*D12</f>
        <v>2.5213317375222585E-3</v>
      </c>
    </row>
    <row r="24" spans="2:7">
      <c r="C24" s="65"/>
      <c r="D24" s="9"/>
      <c r="G24" s="99"/>
    </row>
    <row r="25" spans="2:7">
      <c r="B25" s="51" t="s">
        <v>66</v>
      </c>
      <c r="C25" s="66" t="s">
        <v>63</v>
      </c>
      <c r="D25" s="67"/>
      <c r="G25" s="99"/>
    </row>
    <row r="26" spans="2:7">
      <c r="C26" s="65" t="s">
        <v>64</v>
      </c>
      <c r="D26" s="9"/>
      <c r="E26" s="53"/>
      <c r="F26" s="53"/>
      <c r="G26" s="103"/>
    </row>
    <row r="27" spans="2:7">
      <c r="C27" s="65" t="s">
        <v>65</v>
      </c>
      <c r="D27" s="333">
        <v>0.05</v>
      </c>
      <c r="E27" s="52">
        <f>'A1 Summary 2014 Appt (9-14-15)'!O76</f>
        <v>0</v>
      </c>
      <c r="F27" s="52">
        <f>F91</f>
        <v>1744401364</v>
      </c>
      <c r="G27" s="75">
        <f>(E27/F27)*D12</f>
        <v>0</v>
      </c>
    </row>
    <row r="28" spans="2:7">
      <c r="C28" s="65"/>
      <c r="D28" s="9"/>
      <c r="G28" s="99"/>
    </row>
    <row r="29" spans="2:7">
      <c r="B29" s="38" t="s">
        <v>67</v>
      </c>
      <c r="C29" s="66" t="s">
        <v>68</v>
      </c>
      <c r="D29" s="67"/>
      <c r="G29" s="99"/>
    </row>
    <row r="30" spans="2:7">
      <c r="B30" s="3" t="s">
        <v>50</v>
      </c>
      <c r="C30" s="65" t="s">
        <v>69</v>
      </c>
      <c r="D30" s="9"/>
      <c r="E30" s="43">
        <f>'A1 Summary 2014 Appt (9-14-15)'!O90</f>
        <v>0</v>
      </c>
      <c r="F30" s="43">
        <f>'A1 Summary 2014 Appt (9-14-15)'!G82+'A1 Summary 2014 Appt (9-14-15)'!G93</f>
        <v>12767448311</v>
      </c>
      <c r="G30" s="103"/>
    </row>
    <row r="31" spans="2:7">
      <c r="B31" s="3" t="s">
        <v>57</v>
      </c>
      <c r="C31" s="65" t="s">
        <v>70</v>
      </c>
      <c r="D31" s="9"/>
      <c r="E31" s="47">
        <v>0</v>
      </c>
      <c r="F31" s="47">
        <f>SUM('A1 Summary 2014 Appt (9-14-15)'!G83:G89)+'A1 Summary 2014 Appt (9-14-15)'!G92</f>
        <v>92183816</v>
      </c>
      <c r="G31" s="103"/>
    </row>
    <row r="32" spans="2:7">
      <c r="B32" s="3" t="s">
        <v>60</v>
      </c>
      <c r="C32" s="65" t="s">
        <v>71</v>
      </c>
      <c r="D32" s="9"/>
      <c r="E32" s="43">
        <v>0</v>
      </c>
      <c r="F32" s="43">
        <f>SUM(F30:F31)</f>
        <v>12859632127</v>
      </c>
      <c r="G32" s="103"/>
    </row>
    <row r="33" spans="2:7">
      <c r="B33" s="3" t="s">
        <v>72</v>
      </c>
      <c r="C33" s="65" t="s">
        <v>122</v>
      </c>
      <c r="D33" s="9"/>
      <c r="E33" s="55" t="s">
        <v>76</v>
      </c>
      <c r="F33" s="53"/>
      <c r="G33" s="103"/>
    </row>
    <row r="34" spans="2:7">
      <c r="B34" s="3" t="s">
        <v>73</v>
      </c>
      <c r="C34" s="65" t="s">
        <v>74</v>
      </c>
      <c r="D34" s="9"/>
      <c r="E34" s="56"/>
      <c r="F34" s="56"/>
      <c r="G34" s="104"/>
    </row>
    <row r="35" spans="2:7">
      <c r="B35" s="3"/>
      <c r="C35" s="65" t="s">
        <v>75</v>
      </c>
      <c r="D35" s="333">
        <v>0.9</v>
      </c>
      <c r="E35" s="52">
        <f>E32*2</f>
        <v>0</v>
      </c>
      <c r="F35" s="52">
        <f>F32</f>
        <v>12859632127</v>
      </c>
      <c r="G35" s="75">
        <f>(E35/F35)*D35</f>
        <v>0</v>
      </c>
    </row>
    <row r="36" spans="2:7">
      <c r="B36" s="3"/>
      <c r="C36" s="65"/>
      <c r="D36" s="9"/>
      <c r="E36" s="54"/>
      <c r="F36" s="54"/>
      <c r="G36" s="102"/>
    </row>
    <row r="37" spans="2:7">
      <c r="B37" s="38" t="s">
        <v>77</v>
      </c>
      <c r="C37" s="66" t="s">
        <v>78</v>
      </c>
      <c r="D37" s="67"/>
      <c r="G37" s="73">
        <f>ROUND(G35+G27+G23,6)</f>
        <v>2.5209999999999998E-3</v>
      </c>
    </row>
    <row r="38" spans="2:7">
      <c r="B38" s="38" t="s">
        <v>79</v>
      </c>
      <c r="C38" s="66" t="s">
        <v>433</v>
      </c>
      <c r="D38" s="67"/>
      <c r="E38" s="76"/>
      <c r="G38" s="103"/>
    </row>
    <row r="39" spans="2:7">
      <c r="B39" s="3"/>
      <c r="C39" s="65" t="s">
        <v>440</v>
      </c>
      <c r="D39" s="9"/>
      <c r="G39" s="103"/>
    </row>
    <row r="40" spans="2:7">
      <c r="B40" s="3"/>
      <c r="C40" s="65"/>
      <c r="D40" s="9"/>
      <c r="G40" s="101">
        <f>G37</f>
        <v>2.5209999999999998E-3</v>
      </c>
    </row>
    <row r="43" spans="2:7">
      <c r="C43" s="8" t="s">
        <v>439</v>
      </c>
      <c r="D43" s="8"/>
      <c r="E43" s="357">
        <v>1178996696</v>
      </c>
    </row>
    <row r="45" spans="2:7">
      <c r="B45" s="39" t="s">
        <v>91</v>
      </c>
      <c r="E45" s="44" t="s">
        <v>43</v>
      </c>
      <c r="F45" s="44" t="s">
        <v>44</v>
      </c>
      <c r="G45" s="41" t="s">
        <v>45</v>
      </c>
    </row>
    <row r="46" spans="2:7">
      <c r="B46" s="39"/>
      <c r="C46" s="68" t="s">
        <v>138</v>
      </c>
      <c r="E46" s="45" t="s">
        <v>46</v>
      </c>
      <c r="F46" s="45" t="s">
        <v>47</v>
      </c>
      <c r="G46" s="36" t="s">
        <v>48</v>
      </c>
    </row>
    <row r="47" spans="2:7">
      <c r="C47" s="68" t="s">
        <v>128</v>
      </c>
      <c r="E47" s="45" t="s">
        <v>7</v>
      </c>
      <c r="F47" s="45" t="s">
        <v>13</v>
      </c>
      <c r="G47" s="36" t="s">
        <v>7</v>
      </c>
    </row>
    <row r="48" spans="2:7">
      <c r="E48" s="46"/>
      <c r="F48" s="46"/>
      <c r="G48" s="42" t="s">
        <v>49</v>
      </c>
    </row>
    <row r="49" spans="1:7">
      <c r="A49" s="64"/>
      <c r="B49" s="38" t="s">
        <v>39</v>
      </c>
      <c r="C49" s="8" t="s">
        <v>15</v>
      </c>
    </row>
    <row r="50" spans="1:7">
      <c r="A50" s="64"/>
      <c r="B50" s="64"/>
      <c r="C50" s="68" t="s">
        <v>80</v>
      </c>
      <c r="E50" s="43">
        <v>0</v>
      </c>
      <c r="F50" s="43">
        <v>0</v>
      </c>
    </row>
    <row r="51" spans="1:7">
      <c r="A51" s="64"/>
      <c r="B51" s="64"/>
      <c r="C51" s="68" t="s">
        <v>81</v>
      </c>
      <c r="E51" s="43">
        <f>'A1 Summary 2014 Appt (9-14-15)'!K41*0</f>
        <v>0</v>
      </c>
      <c r="F51" s="43">
        <f>'A1 Summary (8-25-14)'!H38*0</f>
        <v>0</v>
      </c>
    </row>
    <row r="52" spans="1:7">
      <c r="A52" s="64"/>
      <c r="B52" s="64"/>
      <c r="C52" s="68" t="s">
        <v>129</v>
      </c>
      <c r="E52" s="43">
        <v>0</v>
      </c>
      <c r="F52" s="43">
        <v>0</v>
      </c>
    </row>
    <row r="53" spans="1:7">
      <c r="A53" s="64"/>
      <c r="B53" s="64"/>
      <c r="C53" s="68" t="s">
        <v>82</v>
      </c>
      <c r="E53" s="43">
        <v>0</v>
      </c>
      <c r="F53" s="43">
        <v>0</v>
      </c>
    </row>
    <row r="54" spans="1:7">
      <c r="A54" s="64"/>
      <c r="B54" s="64"/>
      <c r="C54" s="68" t="s">
        <v>53</v>
      </c>
      <c r="E54" s="43">
        <v>0</v>
      </c>
      <c r="F54" s="43">
        <v>0</v>
      </c>
    </row>
    <row r="55" spans="1:7">
      <c r="A55" s="64"/>
      <c r="B55" s="64"/>
      <c r="C55" s="68" t="s">
        <v>130</v>
      </c>
      <c r="E55" s="43">
        <v>0</v>
      </c>
      <c r="F55" s="43">
        <v>0</v>
      </c>
    </row>
    <row r="56" spans="1:7">
      <c r="A56" s="64"/>
      <c r="B56" s="64"/>
      <c r="C56" s="68" t="s">
        <v>131</v>
      </c>
      <c r="E56" s="43">
        <f>'A1 Summary 2014 Appt (9-14-15)'!K42*0</f>
        <v>0</v>
      </c>
      <c r="F56" s="43">
        <f>'A1 Summary (8-25-14)'!H39*0</f>
        <v>0</v>
      </c>
    </row>
    <row r="57" spans="1:7">
      <c r="A57" s="64"/>
      <c r="B57" s="64"/>
      <c r="C57" s="8" t="s">
        <v>132</v>
      </c>
      <c r="E57" s="91">
        <f>SUM(E50:E56)</f>
        <v>0</v>
      </c>
      <c r="F57" s="91">
        <f>SUM(F50:F56)</f>
        <v>0</v>
      </c>
      <c r="G57" s="73">
        <f>IF(ISERROR(ROUND(E57/F57,6)),0,ROUND(E57/F57,6))</f>
        <v>0</v>
      </c>
    </row>
    <row r="58" spans="1:7">
      <c r="A58" s="64"/>
      <c r="B58" s="64"/>
      <c r="G58" s="99"/>
    </row>
    <row r="59" spans="1:7">
      <c r="A59" s="64"/>
      <c r="B59" s="64">
        <v>2</v>
      </c>
      <c r="C59" s="8" t="s">
        <v>84</v>
      </c>
      <c r="G59" s="99"/>
    </row>
    <row r="60" spans="1:7">
      <c r="A60" s="64"/>
      <c r="B60" s="64"/>
      <c r="C60" s="8" t="s">
        <v>133</v>
      </c>
      <c r="E60" s="47">
        <f>'A1 Summary 2014 Appt (9-14-15)'!K76*0</f>
        <v>0</v>
      </c>
      <c r="F60" s="47">
        <f>'A1 Summary (8-25-14)'!H57*0</f>
        <v>0</v>
      </c>
      <c r="G60" s="73">
        <f>IF(ISERROR(ROUND(E60/F60,6)),0,ROUND(E60/F60,6))</f>
        <v>0</v>
      </c>
    </row>
    <row r="61" spans="1:7">
      <c r="A61" s="64"/>
      <c r="B61" s="64"/>
      <c r="G61" s="99"/>
    </row>
    <row r="62" spans="1:7">
      <c r="B62" s="38" t="s">
        <v>67</v>
      </c>
      <c r="C62" s="8" t="s">
        <v>5</v>
      </c>
      <c r="D62" s="8"/>
      <c r="G62" s="99"/>
    </row>
    <row r="63" spans="1:7">
      <c r="B63" s="3" t="s">
        <v>50</v>
      </c>
      <c r="C63" s="68" t="s">
        <v>123</v>
      </c>
      <c r="D63" s="2"/>
      <c r="G63" s="99"/>
    </row>
    <row r="64" spans="1:7">
      <c r="B64" s="3"/>
      <c r="C64" s="2" t="s">
        <v>85</v>
      </c>
      <c r="D64" s="2"/>
      <c r="E64" s="43">
        <f>'A1 Summary 2014 Appt (9-14-15)'!K90</f>
        <v>5073039339</v>
      </c>
      <c r="F64" s="43">
        <f>E64</f>
        <v>5073039339</v>
      </c>
      <c r="G64" s="99"/>
    </row>
    <row r="65" spans="1:7">
      <c r="B65" s="3" t="s">
        <v>57</v>
      </c>
      <c r="C65" s="2" t="s">
        <v>86</v>
      </c>
      <c r="D65" s="2"/>
      <c r="E65" s="57"/>
      <c r="F65" s="57"/>
      <c r="G65" s="99"/>
    </row>
    <row r="66" spans="1:7">
      <c r="B66" s="3"/>
      <c r="C66" s="2" t="s">
        <v>87</v>
      </c>
      <c r="D66" s="2"/>
      <c r="E66" s="57">
        <v>0</v>
      </c>
      <c r="F66" s="57">
        <v>0</v>
      </c>
      <c r="G66" s="99"/>
    </row>
    <row r="67" spans="1:7">
      <c r="B67" s="3"/>
      <c r="C67" s="2" t="s">
        <v>88</v>
      </c>
      <c r="D67" s="2"/>
      <c r="E67" s="57">
        <v>0</v>
      </c>
      <c r="F67" s="57">
        <v>0</v>
      </c>
      <c r="G67" s="99"/>
    </row>
    <row r="68" spans="1:7">
      <c r="B68" s="3" t="s">
        <v>60</v>
      </c>
      <c r="C68" s="2" t="s">
        <v>89</v>
      </c>
      <c r="D68" s="2"/>
      <c r="E68" s="47">
        <v>0</v>
      </c>
      <c r="F68" s="47">
        <v>0</v>
      </c>
      <c r="G68" s="99"/>
    </row>
    <row r="69" spans="1:7">
      <c r="B69" s="3"/>
      <c r="C69" s="8" t="s">
        <v>431</v>
      </c>
      <c r="D69" s="8"/>
      <c r="E69" s="91">
        <f>SUM(E63:E68)</f>
        <v>5073039339</v>
      </c>
      <c r="F69" s="91">
        <f>SUM(F63:F68)</f>
        <v>5073039339</v>
      </c>
      <c r="G69" s="92">
        <f>IF(ISERROR(ROUND(E69/F69,6)),0,ROUND(E69/F69,6))</f>
        <v>1</v>
      </c>
    </row>
    <row r="70" spans="1:7" hidden="1">
      <c r="B70" s="3"/>
      <c r="C70" s="2" t="s">
        <v>90</v>
      </c>
      <c r="D70" s="2"/>
      <c r="E70" s="54"/>
      <c r="F70" s="54"/>
      <c r="G70" s="102">
        <f>IF(ISERROR(ROUND(E69/F69,6)),0,ROUND(E69/F69,6)*2)</f>
        <v>2</v>
      </c>
    </row>
    <row r="71" spans="1:7" hidden="1">
      <c r="B71" s="38" t="s">
        <v>66</v>
      </c>
      <c r="C71" s="8" t="s">
        <v>124</v>
      </c>
      <c r="D71" s="8"/>
      <c r="G71" s="73">
        <f>E69/F69</f>
        <v>1</v>
      </c>
    </row>
    <row r="72" spans="1:7">
      <c r="A72" s="64"/>
      <c r="B72" s="38"/>
      <c r="C72" s="8"/>
      <c r="D72" s="8"/>
      <c r="G72" s="73"/>
    </row>
    <row r="73" spans="1:7">
      <c r="B73" s="38" t="s">
        <v>77</v>
      </c>
      <c r="C73" s="8" t="s">
        <v>134</v>
      </c>
      <c r="D73" s="8"/>
      <c r="G73" s="73">
        <f>+G57+G60+G69</f>
        <v>1</v>
      </c>
    </row>
    <row r="74" spans="1:7">
      <c r="A74" s="64"/>
      <c r="B74" s="38"/>
      <c r="C74" s="68"/>
      <c r="D74" s="8"/>
      <c r="G74" s="99"/>
    </row>
    <row r="75" spans="1:7">
      <c r="B75" s="38" t="s">
        <v>79</v>
      </c>
      <c r="C75" s="68" t="s">
        <v>432</v>
      </c>
      <c r="D75" s="2"/>
      <c r="G75" s="101">
        <f>ROUND(G73,6)</f>
        <v>1</v>
      </c>
    </row>
    <row r="76" spans="1:7">
      <c r="B76" s="3"/>
      <c r="C76" s="2"/>
      <c r="D76" s="2"/>
      <c r="G76" s="59"/>
    </row>
    <row r="78" spans="1:7">
      <c r="C78" s="8" t="s">
        <v>112</v>
      </c>
      <c r="D78" s="8"/>
      <c r="E78" s="357">
        <v>0</v>
      </c>
    </row>
    <row r="80" spans="1:7">
      <c r="B80" s="39" t="s">
        <v>99</v>
      </c>
      <c r="E80" s="44" t="s">
        <v>43</v>
      </c>
      <c r="F80" s="44" t="s">
        <v>44</v>
      </c>
      <c r="G80" s="41" t="s">
        <v>45</v>
      </c>
    </row>
    <row r="81" spans="2:7">
      <c r="B81" s="39"/>
      <c r="C81" t="s">
        <v>140</v>
      </c>
      <c r="E81" s="45" t="s">
        <v>46</v>
      </c>
      <c r="F81" s="45" t="s">
        <v>47</v>
      </c>
      <c r="G81" s="36" t="s">
        <v>48</v>
      </c>
    </row>
    <row r="82" spans="2:7">
      <c r="C82" t="s">
        <v>139</v>
      </c>
      <c r="E82" s="45" t="s">
        <v>8</v>
      </c>
      <c r="F82" s="45" t="s">
        <v>13</v>
      </c>
      <c r="G82" s="36" t="s">
        <v>8</v>
      </c>
    </row>
    <row r="83" spans="2:7">
      <c r="E83" s="46"/>
      <c r="F83" s="46"/>
      <c r="G83" s="42" t="s">
        <v>49</v>
      </c>
    </row>
    <row r="84" spans="2:7">
      <c r="B84" s="51" t="s">
        <v>39</v>
      </c>
      <c r="C84" s="8" t="s">
        <v>62</v>
      </c>
      <c r="D84" s="8"/>
      <c r="E84"/>
      <c r="F84"/>
    </row>
    <row r="85" spans="2:7">
      <c r="B85" s="40"/>
      <c r="C85" s="2" t="s">
        <v>92</v>
      </c>
      <c r="D85" s="2"/>
      <c r="E85"/>
      <c r="F85"/>
      <c r="G85" s="48"/>
    </row>
    <row r="86" spans="2:7">
      <c r="B86" s="3"/>
      <c r="C86" s="2" t="s">
        <v>93</v>
      </c>
      <c r="D86" s="2"/>
      <c r="E86" s="43">
        <f>'A1 Summary 2014 Appt (9-14-15)'!W41*0</f>
        <v>0</v>
      </c>
      <c r="F86" s="43">
        <f>'A1 Summary 2014 Appt (9-14-15)'!G41-'A1 Summary 2014 Appt (9-14-15)'!W41</f>
        <v>41738381553</v>
      </c>
      <c r="G86" s="48"/>
    </row>
    <row r="87" spans="2:7">
      <c r="C87" s="2" t="s">
        <v>94</v>
      </c>
      <c r="D87" s="2"/>
      <c r="E87" s="47">
        <f>'A1 Summary 2014 Appt (9-14-15)'!W42</f>
        <v>0</v>
      </c>
      <c r="F87" s="47">
        <f>'A1 Summary 2014 Appt (9-14-15)'!G42-'A1 Summary 2014 Appt (9-14-15)'!W42</f>
        <v>1007910752</v>
      </c>
      <c r="G87" s="50"/>
    </row>
    <row r="88" spans="2:7">
      <c r="C88" s="2" t="s">
        <v>83</v>
      </c>
      <c r="D88" s="2"/>
      <c r="E88" s="52">
        <f>SUM(E85:E87)</f>
        <v>0</v>
      </c>
      <c r="F88" s="52">
        <f>SUM(F85:F87)</f>
        <v>42746292305</v>
      </c>
      <c r="G88" s="75">
        <f>IF(ISERROR(ROUND(E88/F88,6)),0,ROUND(E88/F88,6))</f>
        <v>0</v>
      </c>
    </row>
    <row r="89" spans="2:7">
      <c r="G89" s="99"/>
    </row>
    <row r="90" spans="2:7">
      <c r="B90" s="51" t="s">
        <v>66</v>
      </c>
      <c r="C90" s="8" t="s">
        <v>84</v>
      </c>
      <c r="D90" s="8"/>
      <c r="G90" s="99"/>
    </row>
    <row r="91" spans="2:7">
      <c r="C91" s="2" t="s">
        <v>95</v>
      </c>
      <c r="D91" s="2"/>
      <c r="E91" s="52">
        <f>'A1 Summary 2014 Appt (9-14-15)'!W76</f>
        <v>0</v>
      </c>
      <c r="F91" s="52">
        <f>'A1 Summary 2014 Appt (9-14-15)'!G76</f>
        <v>1744401364</v>
      </c>
      <c r="G91" s="75">
        <f>IF(ISERROR(ROUND(E91/F91,6)),0,ROUND(E91/F91,6))</f>
        <v>0</v>
      </c>
    </row>
    <row r="92" spans="2:7">
      <c r="G92" s="99"/>
    </row>
    <row r="93" spans="2:7">
      <c r="B93" s="38" t="s">
        <v>67</v>
      </c>
      <c r="C93" s="8" t="s">
        <v>68</v>
      </c>
      <c r="D93" s="8"/>
      <c r="G93" s="99"/>
    </row>
    <row r="94" spans="2:7">
      <c r="B94" s="3"/>
      <c r="C94" s="2" t="s">
        <v>96</v>
      </c>
      <c r="D94" s="2"/>
      <c r="E94" s="330">
        <f>'A1 Summary 2014 Appt (9-14-15)'!W90</f>
        <v>0</v>
      </c>
      <c r="F94" s="296">
        <f>'A1 Summary 2014 Appt (9-14-15)'!G94</f>
        <v>12859632127</v>
      </c>
      <c r="G94" s="92">
        <f>IF(ISERROR(ROUND(E94/F94,6)),0,ROUND(E94/F94,6))</f>
        <v>0</v>
      </c>
    </row>
    <row r="95" spans="2:7">
      <c r="B95" s="3"/>
      <c r="C95" s="2"/>
      <c r="D95" s="2"/>
      <c r="E95" s="52"/>
      <c r="F95" s="52"/>
      <c r="G95" s="100"/>
    </row>
    <row r="96" spans="2:7">
      <c r="B96" s="38" t="s">
        <v>77</v>
      </c>
      <c r="C96" s="8" t="s">
        <v>97</v>
      </c>
      <c r="D96" s="8"/>
      <c r="G96" s="73">
        <f>G88+G91+G94</f>
        <v>0</v>
      </c>
    </row>
    <row r="97" spans="2:7">
      <c r="B97" s="38"/>
      <c r="C97" s="8"/>
      <c r="D97" s="8"/>
      <c r="G97" s="73"/>
    </row>
    <row r="98" spans="2:7">
      <c r="B98" s="38" t="s">
        <v>79</v>
      </c>
      <c r="C98" s="8" t="s">
        <v>98</v>
      </c>
      <c r="D98" s="8"/>
      <c r="G98" s="101">
        <f>ROUND(G96/3,6)</f>
        <v>0</v>
      </c>
    </row>
    <row r="101" spans="2:7">
      <c r="C101" s="8" t="s">
        <v>113</v>
      </c>
      <c r="D101" s="8"/>
      <c r="E101" s="357">
        <v>542286027</v>
      </c>
    </row>
    <row r="103" spans="2:7">
      <c r="B103" s="39" t="s">
        <v>100</v>
      </c>
      <c r="E103" s="44" t="s">
        <v>43</v>
      </c>
      <c r="F103" s="44" t="s">
        <v>44</v>
      </c>
      <c r="G103" s="41" t="s">
        <v>45</v>
      </c>
    </row>
    <row r="104" spans="2:7">
      <c r="B104" s="39"/>
      <c r="C104" t="s">
        <v>138</v>
      </c>
      <c r="E104" s="45" t="s">
        <v>46</v>
      </c>
      <c r="F104" s="45" t="s">
        <v>47</v>
      </c>
      <c r="G104" s="36" t="s">
        <v>48</v>
      </c>
    </row>
    <row r="105" spans="2:7">
      <c r="C105" t="s">
        <v>139</v>
      </c>
      <c r="E105" s="45" t="s">
        <v>101</v>
      </c>
      <c r="F105" s="45" t="s">
        <v>13</v>
      </c>
      <c r="G105" s="36" t="s">
        <v>101</v>
      </c>
    </row>
    <row r="106" spans="2:7">
      <c r="E106" s="46"/>
      <c r="F106" s="46"/>
      <c r="G106" s="42" t="s">
        <v>49</v>
      </c>
    </row>
    <row r="107" spans="2:7">
      <c r="B107" s="51" t="s">
        <v>39</v>
      </c>
      <c r="C107" s="8" t="s">
        <v>62</v>
      </c>
      <c r="D107" s="8"/>
      <c r="E107"/>
      <c r="F107"/>
    </row>
    <row r="108" spans="2:7">
      <c r="B108" s="40"/>
      <c r="C108" s="77" t="s">
        <v>102</v>
      </c>
      <c r="D108" s="77"/>
      <c r="E108"/>
      <c r="F108"/>
      <c r="G108" s="58"/>
    </row>
    <row r="109" spans="2:7">
      <c r="C109" s="77" t="s">
        <v>103</v>
      </c>
      <c r="D109" s="77"/>
      <c r="E109" s="52">
        <f>'A1 Summary 2014 Appt (9-14-15)'!AA96*0</f>
        <v>0</v>
      </c>
      <c r="F109" s="52">
        <f>F88</f>
        <v>42746292305</v>
      </c>
      <c r="G109" s="93">
        <f>IF(ISERROR(ROUND(E109/F109,6)),0,ROUND(E109/F109,6))</f>
        <v>0</v>
      </c>
    </row>
    <row r="110" spans="2:7">
      <c r="G110" s="94"/>
    </row>
    <row r="111" spans="2:7">
      <c r="B111" s="51" t="s">
        <v>66</v>
      </c>
      <c r="C111" s="8" t="s">
        <v>84</v>
      </c>
      <c r="D111" s="8"/>
      <c r="G111" s="94"/>
    </row>
    <row r="112" spans="2:7">
      <c r="C112" s="2" t="s">
        <v>104</v>
      </c>
      <c r="D112" s="2"/>
      <c r="E112" s="52">
        <f>'A1 Summary 2014 Appt (9-14-15)'!AA76*0</f>
        <v>0</v>
      </c>
      <c r="F112" s="52">
        <f>F91</f>
        <v>1744401364</v>
      </c>
      <c r="G112" s="95">
        <f>IF(ISERROR(ROUND(E112/F112,6)),0,ROUND(E112/F112,6))</f>
        <v>0</v>
      </c>
    </row>
    <row r="113" spans="2:7">
      <c r="G113" s="94"/>
    </row>
    <row r="114" spans="2:7">
      <c r="B114" s="38" t="s">
        <v>67</v>
      </c>
      <c r="C114" s="8" t="s">
        <v>68</v>
      </c>
      <c r="D114" s="8"/>
      <c r="G114" s="94"/>
    </row>
    <row r="115" spans="2:7">
      <c r="B115" s="38"/>
      <c r="C115" s="2" t="s">
        <v>105</v>
      </c>
      <c r="D115" s="2"/>
      <c r="E115" s="78"/>
      <c r="F115" s="52"/>
      <c r="G115" s="94"/>
    </row>
    <row r="116" spans="2:7">
      <c r="B116" s="3"/>
      <c r="C116" s="68" t="s">
        <v>125</v>
      </c>
      <c r="D116" s="2"/>
      <c r="E116" s="52">
        <f>'A1 Summary 2014 Appt (9-14-15)'!AA90</f>
        <v>0</v>
      </c>
      <c r="F116" s="52">
        <f>F94</f>
        <v>12859632127</v>
      </c>
      <c r="G116" s="96">
        <f>IF(ISERROR(ROUND(E116/F116,6)),0,ROUND(E116/F116,6))</f>
        <v>0</v>
      </c>
    </row>
    <row r="117" spans="2:7">
      <c r="B117" s="3"/>
      <c r="C117" s="2"/>
      <c r="D117" s="2"/>
      <c r="E117" s="52"/>
      <c r="F117" s="52"/>
      <c r="G117" s="95"/>
    </row>
    <row r="118" spans="2:7">
      <c r="B118" s="38" t="s">
        <v>77</v>
      </c>
      <c r="C118" s="8" t="s">
        <v>97</v>
      </c>
      <c r="D118" s="8"/>
      <c r="G118" s="97">
        <f>G109+G112+G116+G116</f>
        <v>0</v>
      </c>
    </row>
    <row r="119" spans="2:7">
      <c r="B119" s="38"/>
      <c r="C119" s="8"/>
      <c r="D119" s="8"/>
      <c r="G119" s="97"/>
    </row>
    <row r="120" spans="2:7">
      <c r="B120" s="38" t="s">
        <v>79</v>
      </c>
      <c r="C120" s="8" t="s">
        <v>441</v>
      </c>
      <c r="D120" s="8"/>
      <c r="G120" s="98">
        <f>ROUND(G118/4,6)</f>
        <v>0</v>
      </c>
    </row>
  </sheetData>
  <mergeCells count="2">
    <mergeCell ref="A1:G1"/>
    <mergeCell ref="A2:G2"/>
  </mergeCells>
  <pageMargins left="0.7" right="0.7" top="0.5" bottom="0.75" header="0.3" footer="0.3"/>
  <pageSetup scale="95" orientation="landscape" r:id="rId1"/>
  <headerFooter>
    <oddHeader>&amp;RTO11 Draft Annual Update
Attachment 4
WP-Schedule 26
Page &amp;P of &amp;N</oddHeader>
    <oddFooter>&amp;C&amp;A&amp;RPage &amp;P of &amp;N</oddFooter>
  </headerFooter>
  <rowBreaks count="3" manualBreakCount="3">
    <brk id="40" max="16383" man="1"/>
    <brk id="75" max="16383" man="1"/>
    <brk id="98"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AF159"/>
  <sheetViews>
    <sheetView defaultGridColor="0" topLeftCell="A46" colorId="22" zoomScale="85" zoomScaleNormal="85" workbookViewId="0">
      <selection activeCell="AA44" sqref="AA44"/>
    </sheetView>
  </sheetViews>
  <sheetFormatPr defaultRowHeight="12.75"/>
  <cols>
    <col min="1" max="2" width="10.7109375" style="161" customWidth="1"/>
    <col min="3" max="3" width="38.7109375" style="161" customWidth="1"/>
    <col min="4" max="4" width="3.7109375" style="161" customWidth="1"/>
    <col min="5" max="5" width="5.140625" style="161" customWidth="1"/>
    <col min="6" max="6" width="4.5703125" style="161" customWidth="1"/>
    <col min="7" max="7" width="17" style="165" customWidth="1"/>
    <col min="8" max="8" width="2.7109375" style="161" customWidth="1"/>
    <col min="9" max="9" width="17.28515625" style="161" customWidth="1"/>
    <col min="10" max="10" width="4.5703125" style="161" customWidth="1"/>
    <col min="11" max="11" width="16.28515625" style="165" customWidth="1"/>
    <col min="12" max="12" width="2.7109375" style="161" customWidth="1"/>
    <col min="13" max="13" width="15.7109375" style="161" customWidth="1"/>
    <col min="14" max="14" width="4.5703125" style="161" customWidth="1"/>
    <col min="15" max="15" width="15.42578125" style="165" customWidth="1"/>
    <col min="16" max="16" width="2.7109375" style="161" customWidth="1"/>
    <col min="17" max="17" width="14.5703125" style="161" customWidth="1"/>
    <col min="18" max="18" width="3.7109375" style="161" customWidth="1"/>
    <col min="19" max="19" width="14.5703125" style="165" bestFit="1" customWidth="1"/>
    <col min="20" max="20" width="2.7109375" style="161" customWidth="1"/>
    <col min="21" max="21" width="12.85546875" style="161" customWidth="1"/>
    <col min="22" max="22" width="3.7109375" style="161" customWidth="1"/>
    <col min="23" max="23" width="13.5703125" style="165" customWidth="1"/>
    <col min="24" max="24" width="2.7109375" style="161" customWidth="1"/>
    <col min="25" max="25" width="12.85546875" style="161" customWidth="1"/>
    <col min="26" max="26" width="3.7109375" style="161" customWidth="1"/>
    <col min="27" max="27" width="15.7109375" style="165" customWidth="1"/>
    <col min="28" max="28" width="2.7109375" style="161" customWidth="1"/>
    <col min="29" max="29" width="11.85546875" style="161" customWidth="1"/>
    <col min="30" max="30" width="1.7109375" style="161" customWidth="1"/>
    <col min="31" max="31" width="14.42578125" style="161" bestFit="1" customWidth="1"/>
    <col min="32" max="32" width="34.7109375" style="161" customWidth="1"/>
    <col min="33" max="256" width="9.140625" style="161"/>
    <col min="257" max="258" width="10.7109375" style="161" customWidth="1"/>
    <col min="259" max="259" width="38.7109375" style="161" customWidth="1"/>
    <col min="260" max="260" width="3.7109375" style="161" customWidth="1"/>
    <col min="261" max="261" width="5.140625" style="161" customWidth="1"/>
    <col min="262" max="262" width="4.5703125" style="161" customWidth="1"/>
    <col min="263" max="263" width="17" style="161" customWidth="1"/>
    <col min="264" max="264" width="2.7109375" style="161" customWidth="1"/>
    <col min="265" max="265" width="17.28515625" style="161" customWidth="1"/>
    <col min="266" max="266" width="4.5703125" style="161" customWidth="1"/>
    <col min="267" max="267" width="16.28515625" style="161" customWidth="1"/>
    <col min="268" max="268" width="2.7109375" style="161" customWidth="1"/>
    <col min="269" max="269" width="15.7109375" style="161" customWidth="1"/>
    <col min="270" max="270" width="4.5703125" style="161" customWidth="1"/>
    <col min="271" max="271" width="15.42578125" style="161" customWidth="1"/>
    <col min="272" max="272" width="2.7109375" style="161" customWidth="1"/>
    <col min="273" max="273" width="14.5703125" style="161" customWidth="1"/>
    <col min="274" max="274" width="3.7109375" style="161" customWidth="1"/>
    <col min="275" max="275" width="14.5703125" style="161" bestFit="1" customWidth="1"/>
    <col min="276" max="276" width="2.7109375" style="161" customWidth="1"/>
    <col min="277" max="277" width="12.85546875" style="161" customWidth="1"/>
    <col min="278" max="278" width="3.7109375" style="161" customWidth="1"/>
    <col min="279" max="279" width="13.5703125" style="161" customWidth="1"/>
    <col min="280" max="280" width="2.7109375" style="161" customWidth="1"/>
    <col min="281" max="281" width="12.85546875" style="161" customWidth="1"/>
    <col min="282" max="282" width="3.7109375" style="161" customWidth="1"/>
    <col min="283" max="283" width="15.7109375" style="161" customWidth="1"/>
    <col min="284" max="284" width="2.7109375" style="161" customWidth="1"/>
    <col min="285" max="285" width="11.85546875" style="161" customWidth="1"/>
    <col min="286" max="286" width="1.7109375" style="161" customWidth="1"/>
    <col min="287" max="287" width="14.42578125" style="161" bestFit="1" customWidth="1"/>
    <col min="288" max="288" width="34.7109375" style="161" customWidth="1"/>
    <col min="289" max="512" width="9.140625" style="161"/>
    <col min="513" max="514" width="10.7109375" style="161" customWidth="1"/>
    <col min="515" max="515" width="38.7109375" style="161" customWidth="1"/>
    <col min="516" max="516" width="3.7109375" style="161" customWidth="1"/>
    <col min="517" max="517" width="5.140625" style="161" customWidth="1"/>
    <col min="518" max="518" width="4.5703125" style="161" customWidth="1"/>
    <col min="519" max="519" width="17" style="161" customWidth="1"/>
    <col min="520" max="520" width="2.7109375" style="161" customWidth="1"/>
    <col min="521" max="521" width="17.28515625" style="161" customWidth="1"/>
    <col min="522" max="522" width="4.5703125" style="161" customWidth="1"/>
    <col min="523" max="523" width="16.28515625" style="161" customWidth="1"/>
    <col min="524" max="524" width="2.7109375" style="161" customWidth="1"/>
    <col min="525" max="525" width="15.7109375" style="161" customWidth="1"/>
    <col min="526" max="526" width="4.5703125" style="161" customWidth="1"/>
    <col min="527" max="527" width="15.42578125" style="161" customWidth="1"/>
    <col min="528" max="528" width="2.7109375" style="161" customWidth="1"/>
    <col min="529" max="529" width="14.5703125" style="161" customWidth="1"/>
    <col min="530" max="530" width="3.7109375" style="161" customWidth="1"/>
    <col min="531" max="531" width="14.5703125" style="161" bestFit="1" customWidth="1"/>
    <col min="532" max="532" width="2.7109375" style="161" customWidth="1"/>
    <col min="533" max="533" width="12.85546875" style="161" customWidth="1"/>
    <col min="534" max="534" width="3.7109375" style="161" customWidth="1"/>
    <col min="535" max="535" width="13.5703125" style="161" customWidth="1"/>
    <col min="536" max="536" width="2.7109375" style="161" customWidth="1"/>
    <col min="537" max="537" width="12.85546875" style="161" customWidth="1"/>
    <col min="538" max="538" width="3.7109375" style="161" customWidth="1"/>
    <col min="539" max="539" width="15.7109375" style="161" customWidth="1"/>
    <col min="540" max="540" width="2.7109375" style="161" customWidth="1"/>
    <col min="541" max="541" width="11.85546875" style="161" customWidth="1"/>
    <col min="542" max="542" width="1.7109375" style="161" customWidth="1"/>
    <col min="543" max="543" width="14.42578125" style="161" bestFit="1" customWidth="1"/>
    <col min="544" max="544" width="34.7109375" style="161" customWidth="1"/>
    <col min="545" max="768" width="9.140625" style="161"/>
    <col min="769" max="770" width="10.7109375" style="161" customWidth="1"/>
    <col min="771" max="771" width="38.7109375" style="161" customWidth="1"/>
    <col min="772" max="772" width="3.7109375" style="161" customWidth="1"/>
    <col min="773" max="773" width="5.140625" style="161" customWidth="1"/>
    <col min="774" max="774" width="4.5703125" style="161" customWidth="1"/>
    <col min="775" max="775" width="17" style="161" customWidth="1"/>
    <col min="776" max="776" width="2.7109375" style="161" customWidth="1"/>
    <col min="777" max="777" width="17.28515625" style="161" customWidth="1"/>
    <col min="778" max="778" width="4.5703125" style="161" customWidth="1"/>
    <col min="779" max="779" width="16.28515625" style="161" customWidth="1"/>
    <col min="780" max="780" width="2.7109375" style="161" customWidth="1"/>
    <col min="781" max="781" width="15.7109375" style="161" customWidth="1"/>
    <col min="782" max="782" width="4.5703125" style="161" customWidth="1"/>
    <col min="783" max="783" width="15.42578125" style="161" customWidth="1"/>
    <col min="784" max="784" width="2.7109375" style="161" customWidth="1"/>
    <col min="785" max="785" width="14.5703125" style="161" customWidth="1"/>
    <col min="786" max="786" width="3.7109375" style="161" customWidth="1"/>
    <col min="787" max="787" width="14.5703125" style="161" bestFit="1" customWidth="1"/>
    <col min="788" max="788" width="2.7109375" style="161" customWidth="1"/>
    <col min="789" max="789" width="12.85546875" style="161" customWidth="1"/>
    <col min="790" max="790" width="3.7109375" style="161" customWidth="1"/>
    <col min="791" max="791" width="13.5703125" style="161" customWidth="1"/>
    <col min="792" max="792" width="2.7109375" style="161" customWidth="1"/>
    <col min="793" max="793" width="12.85546875" style="161" customWidth="1"/>
    <col min="794" max="794" width="3.7109375" style="161" customWidth="1"/>
    <col min="795" max="795" width="15.7109375" style="161" customWidth="1"/>
    <col min="796" max="796" width="2.7109375" style="161" customWidth="1"/>
    <col min="797" max="797" width="11.85546875" style="161" customWidth="1"/>
    <col min="798" max="798" width="1.7109375" style="161" customWidth="1"/>
    <col min="799" max="799" width="14.42578125" style="161" bestFit="1" customWidth="1"/>
    <col min="800" max="800" width="34.7109375" style="161" customWidth="1"/>
    <col min="801" max="1024" width="9.140625" style="161"/>
    <col min="1025" max="1026" width="10.7109375" style="161" customWidth="1"/>
    <col min="1027" max="1027" width="38.7109375" style="161" customWidth="1"/>
    <col min="1028" max="1028" width="3.7109375" style="161" customWidth="1"/>
    <col min="1029" max="1029" width="5.140625" style="161" customWidth="1"/>
    <col min="1030" max="1030" width="4.5703125" style="161" customWidth="1"/>
    <col min="1031" max="1031" width="17" style="161" customWidth="1"/>
    <col min="1032" max="1032" width="2.7109375" style="161" customWidth="1"/>
    <col min="1033" max="1033" width="17.28515625" style="161" customWidth="1"/>
    <col min="1034" max="1034" width="4.5703125" style="161" customWidth="1"/>
    <col min="1035" max="1035" width="16.28515625" style="161" customWidth="1"/>
    <col min="1036" max="1036" width="2.7109375" style="161" customWidth="1"/>
    <col min="1037" max="1037" width="15.7109375" style="161" customWidth="1"/>
    <col min="1038" max="1038" width="4.5703125" style="161" customWidth="1"/>
    <col min="1039" max="1039" width="15.42578125" style="161" customWidth="1"/>
    <col min="1040" max="1040" width="2.7109375" style="161" customWidth="1"/>
    <col min="1041" max="1041" width="14.5703125" style="161" customWidth="1"/>
    <col min="1042" max="1042" width="3.7109375" style="161" customWidth="1"/>
    <col min="1043" max="1043" width="14.5703125" style="161" bestFit="1" customWidth="1"/>
    <col min="1044" max="1044" width="2.7109375" style="161" customWidth="1"/>
    <col min="1045" max="1045" width="12.85546875" style="161" customWidth="1"/>
    <col min="1046" max="1046" width="3.7109375" style="161" customWidth="1"/>
    <col min="1047" max="1047" width="13.5703125" style="161" customWidth="1"/>
    <col min="1048" max="1048" width="2.7109375" style="161" customWidth="1"/>
    <col min="1049" max="1049" width="12.85546875" style="161" customWidth="1"/>
    <col min="1050" max="1050" width="3.7109375" style="161" customWidth="1"/>
    <col min="1051" max="1051" width="15.7109375" style="161" customWidth="1"/>
    <col min="1052" max="1052" width="2.7109375" style="161" customWidth="1"/>
    <col min="1053" max="1053" width="11.85546875" style="161" customWidth="1"/>
    <col min="1054" max="1054" width="1.7109375" style="161" customWidth="1"/>
    <col min="1055" max="1055" width="14.42578125" style="161" bestFit="1" customWidth="1"/>
    <col min="1056" max="1056" width="34.7109375" style="161" customWidth="1"/>
    <col min="1057" max="1280" width="9.140625" style="161"/>
    <col min="1281" max="1282" width="10.7109375" style="161" customWidth="1"/>
    <col min="1283" max="1283" width="38.7109375" style="161" customWidth="1"/>
    <col min="1284" max="1284" width="3.7109375" style="161" customWidth="1"/>
    <col min="1285" max="1285" width="5.140625" style="161" customWidth="1"/>
    <col min="1286" max="1286" width="4.5703125" style="161" customWidth="1"/>
    <col min="1287" max="1287" width="17" style="161" customWidth="1"/>
    <col min="1288" max="1288" width="2.7109375" style="161" customWidth="1"/>
    <col min="1289" max="1289" width="17.28515625" style="161" customWidth="1"/>
    <col min="1290" max="1290" width="4.5703125" style="161" customWidth="1"/>
    <col min="1291" max="1291" width="16.28515625" style="161" customWidth="1"/>
    <col min="1292" max="1292" width="2.7109375" style="161" customWidth="1"/>
    <col min="1293" max="1293" width="15.7109375" style="161" customWidth="1"/>
    <col min="1294" max="1294" width="4.5703125" style="161" customWidth="1"/>
    <col min="1295" max="1295" width="15.42578125" style="161" customWidth="1"/>
    <col min="1296" max="1296" width="2.7109375" style="161" customWidth="1"/>
    <col min="1297" max="1297" width="14.5703125" style="161" customWidth="1"/>
    <col min="1298" max="1298" width="3.7109375" style="161" customWidth="1"/>
    <col min="1299" max="1299" width="14.5703125" style="161" bestFit="1" customWidth="1"/>
    <col min="1300" max="1300" width="2.7109375" style="161" customWidth="1"/>
    <col min="1301" max="1301" width="12.85546875" style="161" customWidth="1"/>
    <col min="1302" max="1302" width="3.7109375" style="161" customWidth="1"/>
    <col min="1303" max="1303" width="13.5703125" style="161" customWidth="1"/>
    <col min="1304" max="1304" width="2.7109375" style="161" customWidth="1"/>
    <col min="1305" max="1305" width="12.85546875" style="161" customWidth="1"/>
    <col min="1306" max="1306" width="3.7109375" style="161" customWidth="1"/>
    <col min="1307" max="1307" width="15.7109375" style="161" customWidth="1"/>
    <col min="1308" max="1308" width="2.7109375" style="161" customWidth="1"/>
    <col min="1309" max="1309" width="11.85546875" style="161" customWidth="1"/>
    <col min="1310" max="1310" width="1.7109375" style="161" customWidth="1"/>
    <col min="1311" max="1311" width="14.42578125" style="161" bestFit="1" customWidth="1"/>
    <col min="1312" max="1312" width="34.7109375" style="161" customWidth="1"/>
    <col min="1313" max="1536" width="9.140625" style="161"/>
    <col min="1537" max="1538" width="10.7109375" style="161" customWidth="1"/>
    <col min="1539" max="1539" width="38.7109375" style="161" customWidth="1"/>
    <col min="1540" max="1540" width="3.7109375" style="161" customWidth="1"/>
    <col min="1541" max="1541" width="5.140625" style="161" customWidth="1"/>
    <col min="1542" max="1542" width="4.5703125" style="161" customWidth="1"/>
    <col min="1543" max="1543" width="17" style="161" customWidth="1"/>
    <col min="1544" max="1544" width="2.7109375" style="161" customWidth="1"/>
    <col min="1545" max="1545" width="17.28515625" style="161" customWidth="1"/>
    <col min="1546" max="1546" width="4.5703125" style="161" customWidth="1"/>
    <col min="1547" max="1547" width="16.28515625" style="161" customWidth="1"/>
    <col min="1548" max="1548" width="2.7109375" style="161" customWidth="1"/>
    <col min="1549" max="1549" width="15.7109375" style="161" customWidth="1"/>
    <col min="1550" max="1550" width="4.5703125" style="161" customWidth="1"/>
    <col min="1551" max="1551" width="15.42578125" style="161" customWidth="1"/>
    <col min="1552" max="1552" width="2.7109375" style="161" customWidth="1"/>
    <col min="1553" max="1553" width="14.5703125" style="161" customWidth="1"/>
    <col min="1554" max="1554" width="3.7109375" style="161" customWidth="1"/>
    <col min="1555" max="1555" width="14.5703125" style="161" bestFit="1" customWidth="1"/>
    <col min="1556" max="1556" width="2.7109375" style="161" customWidth="1"/>
    <col min="1557" max="1557" width="12.85546875" style="161" customWidth="1"/>
    <col min="1558" max="1558" width="3.7109375" style="161" customWidth="1"/>
    <col min="1559" max="1559" width="13.5703125" style="161" customWidth="1"/>
    <col min="1560" max="1560" width="2.7109375" style="161" customWidth="1"/>
    <col min="1561" max="1561" width="12.85546875" style="161" customWidth="1"/>
    <col min="1562" max="1562" width="3.7109375" style="161" customWidth="1"/>
    <col min="1563" max="1563" width="15.7109375" style="161" customWidth="1"/>
    <col min="1564" max="1564" width="2.7109375" style="161" customWidth="1"/>
    <col min="1565" max="1565" width="11.85546875" style="161" customWidth="1"/>
    <col min="1566" max="1566" width="1.7109375" style="161" customWidth="1"/>
    <col min="1567" max="1567" width="14.42578125" style="161" bestFit="1" customWidth="1"/>
    <col min="1568" max="1568" width="34.7109375" style="161" customWidth="1"/>
    <col min="1569" max="1792" width="9.140625" style="161"/>
    <col min="1793" max="1794" width="10.7109375" style="161" customWidth="1"/>
    <col min="1795" max="1795" width="38.7109375" style="161" customWidth="1"/>
    <col min="1796" max="1796" width="3.7109375" style="161" customWidth="1"/>
    <col min="1797" max="1797" width="5.140625" style="161" customWidth="1"/>
    <col min="1798" max="1798" width="4.5703125" style="161" customWidth="1"/>
    <col min="1799" max="1799" width="17" style="161" customWidth="1"/>
    <col min="1800" max="1800" width="2.7109375" style="161" customWidth="1"/>
    <col min="1801" max="1801" width="17.28515625" style="161" customWidth="1"/>
    <col min="1802" max="1802" width="4.5703125" style="161" customWidth="1"/>
    <col min="1803" max="1803" width="16.28515625" style="161" customWidth="1"/>
    <col min="1804" max="1804" width="2.7109375" style="161" customWidth="1"/>
    <col min="1805" max="1805" width="15.7109375" style="161" customWidth="1"/>
    <col min="1806" max="1806" width="4.5703125" style="161" customWidth="1"/>
    <col min="1807" max="1807" width="15.42578125" style="161" customWidth="1"/>
    <col min="1808" max="1808" width="2.7109375" style="161" customWidth="1"/>
    <col min="1809" max="1809" width="14.5703125" style="161" customWidth="1"/>
    <col min="1810" max="1810" width="3.7109375" style="161" customWidth="1"/>
    <col min="1811" max="1811" width="14.5703125" style="161" bestFit="1" customWidth="1"/>
    <col min="1812" max="1812" width="2.7109375" style="161" customWidth="1"/>
    <col min="1813" max="1813" width="12.85546875" style="161" customWidth="1"/>
    <col min="1814" max="1814" width="3.7109375" style="161" customWidth="1"/>
    <col min="1815" max="1815" width="13.5703125" style="161" customWidth="1"/>
    <col min="1816" max="1816" width="2.7109375" style="161" customWidth="1"/>
    <col min="1817" max="1817" width="12.85546875" style="161" customWidth="1"/>
    <col min="1818" max="1818" width="3.7109375" style="161" customWidth="1"/>
    <col min="1819" max="1819" width="15.7109375" style="161" customWidth="1"/>
    <col min="1820" max="1820" width="2.7109375" style="161" customWidth="1"/>
    <col min="1821" max="1821" width="11.85546875" style="161" customWidth="1"/>
    <col min="1822" max="1822" width="1.7109375" style="161" customWidth="1"/>
    <col min="1823" max="1823" width="14.42578125" style="161" bestFit="1" customWidth="1"/>
    <col min="1824" max="1824" width="34.7109375" style="161" customWidth="1"/>
    <col min="1825" max="2048" width="9.140625" style="161"/>
    <col min="2049" max="2050" width="10.7109375" style="161" customWidth="1"/>
    <col min="2051" max="2051" width="38.7109375" style="161" customWidth="1"/>
    <col min="2052" max="2052" width="3.7109375" style="161" customWidth="1"/>
    <col min="2053" max="2053" width="5.140625" style="161" customWidth="1"/>
    <col min="2054" max="2054" width="4.5703125" style="161" customWidth="1"/>
    <col min="2055" max="2055" width="17" style="161" customWidth="1"/>
    <col min="2056" max="2056" width="2.7109375" style="161" customWidth="1"/>
    <col min="2057" max="2057" width="17.28515625" style="161" customWidth="1"/>
    <col min="2058" max="2058" width="4.5703125" style="161" customWidth="1"/>
    <col min="2059" max="2059" width="16.28515625" style="161" customWidth="1"/>
    <col min="2060" max="2060" width="2.7109375" style="161" customWidth="1"/>
    <col min="2061" max="2061" width="15.7109375" style="161" customWidth="1"/>
    <col min="2062" max="2062" width="4.5703125" style="161" customWidth="1"/>
    <col min="2063" max="2063" width="15.42578125" style="161" customWidth="1"/>
    <col min="2064" max="2064" width="2.7109375" style="161" customWidth="1"/>
    <col min="2065" max="2065" width="14.5703125" style="161" customWidth="1"/>
    <col min="2066" max="2066" width="3.7109375" style="161" customWidth="1"/>
    <col min="2067" max="2067" width="14.5703125" style="161" bestFit="1" customWidth="1"/>
    <col min="2068" max="2068" width="2.7109375" style="161" customWidth="1"/>
    <col min="2069" max="2069" width="12.85546875" style="161" customWidth="1"/>
    <col min="2070" max="2070" width="3.7109375" style="161" customWidth="1"/>
    <col min="2071" max="2071" width="13.5703125" style="161" customWidth="1"/>
    <col min="2072" max="2072" width="2.7109375" style="161" customWidth="1"/>
    <col min="2073" max="2073" width="12.85546875" style="161" customWidth="1"/>
    <col min="2074" max="2074" width="3.7109375" style="161" customWidth="1"/>
    <col min="2075" max="2075" width="15.7109375" style="161" customWidth="1"/>
    <col min="2076" max="2076" width="2.7109375" style="161" customWidth="1"/>
    <col min="2077" max="2077" width="11.85546875" style="161" customWidth="1"/>
    <col min="2078" max="2078" width="1.7109375" style="161" customWidth="1"/>
    <col min="2079" max="2079" width="14.42578125" style="161" bestFit="1" customWidth="1"/>
    <col min="2080" max="2080" width="34.7109375" style="161" customWidth="1"/>
    <col min="2081" max="2304" width="9.140625" style="161"/>
    <col min="2305" max="2306" width="10.7109375" style="161" customWidth="1"/>
    <col min="2307" max="2307" width="38.7109375" style="161" customWidth="1"/>
    <col min="2308" max="2308" width="3.7109375" style="161" customWidth="1"/>
    <col min="2309" max="2309" width="5.140625" style="161" customWidth="1"/>
    <col min="2310" max="2310" width="4.5703125" style="161" customWidth="1"/>
    <col min="2311" max="2311" width="17" style="161" customWidth="1"/>
    <col min="2312" max="2312" width="2.7109375" style="161" customWidth="1"/>
    <col min="2313" max="2313" width="17.28515625" style="161" customWidth="1"/>
    <col min="2314" max="2314" width="4.5703125" style="161" customWidth="1"/>
    <col min="2315" max="2315" width="16.28515625" style="161" customWidth="1"/>
    <col min="2316" max="2316" width="2.7109375" style="161" customWidth="1"/>
    <col min="2317" max="2317" width="15.7109375" style="161" customWidth="1"/>
    <col min="2318" max="2318" width="4.5703125" style="161" customWidth="1"/>
    <col min="2319" max="2319" width="15.42578125" style="161" customWidth="1"/>
    <col min="2320" max="2320" width="2.7109375" style="161" customWidth="1"/>
    <col min="2321" max="2321" width="14.5703125" style="161" customWidth="1"/>
    <col min="2322" max="2322" width="3.7109375" style="161" customWidth="1"/>
    <col min="2323" max="2323" width="14.5703125" style="161" bestFit="1" customWidth="1"/>
    <col min="2324" max="2324" width="2.7109375" style="161" customWidth="1"/>
    <col min="2325" max="2325" width="12.85546875" style="161" customWidth="1"/>
    <col min="2326" max="2326" width="3.7109375" style="161" customWidth="1"/>
    <col min="2327" max="2327" width="13.5703125" style="161" customWidth="1"/>
    <col min="2328" max="2328" width="2.7109375" style="161" customWidth="1"/>
    <col min="2329" max="2329" width="12.85546875" style="161" customWidth="1"/>
    <col min="2330" max="2330" width="3.7109375" style="161" customWidth="1"/>
    <col min="2331" max="2331" width="15.7109375" style="161" customWidth="1"/>
    <col min="2332" max="2332" width="2.7109375" style="161" customWidth="1"/>
    <col min="2333" max="2333" width="11.85546875" style="161" customWidth="1"/>
    <col min="2334" max="2334" width="1.7109375" style="161" customWidth="1"/>
    <col min="2335" max="2335" width="14.42578125" style="161" bestFit="1" customWidth="1"/>
    <col min="2336" max="2336" width="34.7109375" style="161" customWidth="1"/>
    <col min="2337" max="2560" width="9.140625" style="161"/>
    <col min="2561" max="2562" width="10.7109375" style="161" customWidth="1"/>
    <col min="2563" max="2563" width="38.7109375" style="161" customWidth="1"/>
    <col min="2564" max="2564" width="3.7109375" style="161" customWidth="1"/>
    <col min="2565" max="2565" width="5.140625" style="161" customWidth="1"/>
    <col min="2566" max="2566" width="4.5703125" style="161" customWidth="1"/>
    <col min="2567" max="2567" width="17" style="161" customWidth="1"/>
    <col min="2568" max="2568" width="2.7109375" style="161" customWidth="1"/>
    <col min="2569" max="2569" width="17.28515625" style="161" customWidth="1"/>
    <col min="2570" max="2570" width="4.5703125" style="161" customWidth="1"/>
    <col min="2571" max="2571" width="16.28515625" style="161" customWidth="1"/>
    <col min="2572" max="2572" width="2.7109375" style="161" customWidth="1"/>
    <col min="2573" max="2573" width="15.7109375" style="161" customWidth="1"/>
    <col min="2574" max="2574" width="4.5703125" style="161" customWidth="1"/>
    <col min="2575" max="2575" width="15.42578125" style="161" customWidth="1"/>
    <col min="2576" max="2576" width="2.7109375" style="161" customWidth="1"/>
    <col min="2577" max="2577" width="14.5703125" style="161" customWidth="1"/>
    <col min="2578" max="2578" width="3.7109375" style="161" customWidth="1"/>
    <col min="2579" max="2579" width="14.5703125" style="161" bestFit="1" customWidth="1"/>
    <col min="2580" max="2580" width="2.7109375" style="161" customWidth="1"/>
    <col min="2581" max="2581" width="12.85546875" style="161" customWidth="1"/>
    <col min="2582" max="2582" width="3.7109375" style="161" customWidth="1"/>
    <col min="2583" max="2583" width="13.5703125" style="161" customWidth="1"/>
    <col min="2584" max="2584" width="2.7109375" style="161" customWidth="1"/>
    <col min="2585" max="2585" width="12.85546875" style="161" customWidth="1"/>
    <col min="2586" max="2586" width="3.7109375" style="161" customWidth="1"/>
    <col min="2587" max="2587" width="15.7109375" style="161" customWidth="1"/>
    <col min="2588" max="2588" width="2.7109375" style="161" customWidth="1"/>
    <col min="2589" max="2589" width="11.85546875" style="161" customWidth="1"/>
    <col min="2590" max="2590" width="1.7109375" style="161" customWidth="1"/>
    <col min="2591" max="2591" width="14.42578125" style="161" bestFit="1" customWidth="1"/>
    <col min="2592" max="2592" width="34.7109375" style="161" customWidth="1"/>
    <col min="2593" max="2816" width="9.140625" style="161"/>
    <col min="2817" max="2818" width="10.7109375" style="161" customWidth="1"/>
    <col min="2819" max="2819" width="38.7109375" style="161" customWidth="1"/>
    <col min="2820" max="2820" width="3.7109375" style="161" customWidth="1"/>
    <col min="2821" max="2821" width="5.140625" style="161" customWidth="1"/>
    <col min="2822" max="2822" width="4.5703125" style="161" customWidth="1"/>
    <col min="2823" max="2823" width="17" style="161" customWidth="1"/>
    <col min="2824" max="2824" width="2.7109375" style="161" customWidth="1"/>
    <col min="2825" max="2825" width="17.28515625" style="161" customWidth="1"/>
    <col min="2826" max="2826" width="4.5703125" style="161" customWidth="1"/>
    <col min="2827" max="2827" width="16.28515625" style="161" customWidth="1"/>
    <col min="2828" max="2828" width="2.7109375" style="161" customWidth="1"/>
    <col min="2829" max="2829" width="15.7109375" style="161" customWidth="1"/>
    <col min="2830" max="2830" width="4.5703125" style="161" customWidth="1"/>
    <col min="2831" max="2831" width="15.42578125" style="161" customWidth="1"/>
    <col min="2832" max="2832" width="2.7109375" style="161" customWidth="1"/>
    <col min="2833" max="2833" width="14.5703125" style="161" customWidth="1"/>
    <col min="2834" max="2834" width="3.7109375" style="161" customWidth="1"/>
    <col min="2835" max="2835" width="14.5703125" style="161" bestFit="1" customWidth="1"/>
    <col min="2836" max="2836" width="2.7109375" style="161" customWidth="1"/>
    <col min="2837" max="2837" width="12.85546875" style="161" customWidth="1"/>
    <col min="2838" max="2838" width="3.7109375" style="161" customWidth="1"/>
    <col min="2839" max="2839" width="13.5703125" style="161" customWidth="1"/>
    <col min="2840" max="2840" width="2.7109375" style="161" customWidth="1"/>
    <col min="2841" max="2841" width="12.85546875" style="161" customWidth="1"/>
    <col min="2842" max="2842" width="3.7109375" style="161" customWidth="1"/>
    <col min="2843" max="2843" width="15.7109375" style="161" customWidth="1"/>
    <col min="2844" max="2844" width="2.7109375" style="161" customWidth="1"/>
    <col min="2845" max="2845" width="11.85546875" style="161" customWidth="1"/>
    <col min="2846" max="2846" width="1.7109375" style="161" customWidth="1"/>
    <col min="2847" max="2847" width="14.42578125" style="161" bestFit="1" customWidth="1"/>
    <col min="2848" max="2848" width="34.7109375" style="161" customWidth="1"/>
    <col min="2849" max="3072" width="9.140625" style="161"/>
    <col min="3073" max="3074" width="10.7109375" style="161" customWidth="1"/>
    <col min="3075" max="3075" width="38.7109375" style="161" customWidth="1"/>
    <col min="3076" max="3076" width="3.7109375" style="161" customWidth="1"/>
    <col min="3077" max="3077" width="5.140625" style="161" customWidth="1"/>
    <col min="3078" max="3078" width="4.5703125" style="161" customWidth="1"/>
    <col min="3079" max="3079" width="17" style="161" customWidth="1"/>
    <col min="3080" max="3080" width="2.7109375" style="161" customWidth="1"/>
    <col min="3081" max="3081" width="17.28515625" style="161" customWidth="1"/>
    <col min="3082" max="3082" width="4.5703125" style="161" customWidth="1"/>
    <col min="3083" max="3083" width="16.28515625" style="161" customWidth="1"/>
    <col min="3084" max="3084" width="2.7109375" style="161" customWidth="1"/>
    <col min="3085" max="3085" width="15.7109375" style="161" customWidth="1"/>
    <col min="3086" max="3086" width="4.5703125" style="161" customWidth="1"/>
    <col min="3087" max="3087" width="15.42578125" style="161" customWidth="1"/>
    <col min="3088" max="3088" width="2.7109375" style="161" customWidth="1"/>
    <col min="3089" max="3089" width="14.5703125" style="161" customWidth="1"/>
    <col min="3090" max="3090" width="3.7109375" style="161" customWidth="1"/>
    <col min="3091" max="3091" width="14.5703125" style="161" bestFit="1" customWidth="1"/>
    <col min="3092" max="3092" width="2.7109375" style="161" customWidth="1"/>
    <col min="3093" max="3093" width="12.85546875" style="161" customWidth="1"/>
    <col min="3094" max="3094" width="3.7109375" style="161" customWidth="1"/>
    <col min="3095" max="3095" width="13.5703125" style="161" customWidth="1"/>
    <col min="3096" max="3096" width="2.7109375" style="161" customWidth="1"/>
    <col min="3097" max="3097" width="12.85546875" style="161" customWidth="1"/>
    <col min="3098" max="3098" width="3.7109375" style="161" customWidth="1"/>
    <col min="3099" max="3099" width="15.7109375" style="161" customWidth="1"/>
    <col min="3100" max="3100" width="2.7109375" style="161" customWidth="1"/>
    <col min="3101" max="3101" width="11.85546875" style="161" customWidth="1"/>
    <col min="3102" max="3102" width="1.7109375" style="161" customWidth="1"/>
    <col min="3103" max="3103" width="14.42578125" style="161" bestFit="1" customWidth="1"/>
    <col min="3104" max="3104" width="34.7109375" style="161" customWidth="1"/>
    <col min="3105" max="3328" width="9.140625" style="161"/>
    <col min="3329" max="3330" width="10.7109375" style="161" customWidth="1"/>
    <col min="3331" max="3331" width="38.7109375" style="161" customWidth="1"/>
    <col min="3332" max="3332" width="3.7109375" style="161" customWidth="1"/>
    <col min="3333" max="3333" width="5.140625" style="161" customWidth="1"/>
    <col min="3334" max="3334" width="4.5703125" style="161" customWidth="1"/>
    <col min="3335" max="3335" width="17" style="161" customWidth="1"/>
    <col min="3336" max="3336" width="2.7109375" style="161" customWidth="1"/>
    <col min="3337" max="3337" width="17.28515625" style="161" customWidth="1"/>
    <col min="3338" max="3338" width="4.5703125" style="161" customWidth="1"/>
    <col min="3339" max="3339" width="16.28515625" style="161" customWidth="1"/>
    <col min="3340" max="3340" width="2.7109375" style="161" customWidth="1"/>
    <col min="3341" max="3341" width="15.7109375" style="161" customWidth="1"/>
    <col min="3342" max="3342" width="4.5703125" style="161" customWidth="1"/>
    <col min="3343" max="3343" width="15.42578125" style="161" customWidth="1"/>
    <col min="3344" max="3344" width="2.7109375" style="161" customWidth="1"/>
    <col min="3345" max="3345" width="14.5703125" style="161" customWidth="1"/>
    <col min="3346" max="3346" width="3.7109375" style="161" customWidth="1"/>
    <col min="3347" max="3347" width="14.5703125" style="161" bestFit="1" customWidth="1"/>
    <col min="3348" max="3348" width="2.7109375" style="161" customWidth="1"/>
    <col min="3349" max="3349" width="12.85546875" style="161" customWidth="1"/>
    <col min="3350" max="3350" width="3.7109375" style="161" customWidth="1"/>
    <col min="3351" max="3351" width="13.5703125" style="161" customWidth="1"/>
    <col min="3352" max="3352" width="2.7109375" style="161" customWidth="1"/>
    <col min="3353" max="3353" width="12.85546875" style="161" customWidth="1"/>
    <col min="3354" max="3354" width="3.7109375" style="161" customWidth="1"/>
    <col min="3355" max="3355" width="15.7109375" style="161" customWidth="1"/>
    <col min="3356" max="3356" width="2.7109375" style="161" customWidth="1"/>
    <col min="3357" max="3357" width="11.85546875" style="161" customWidth="1"/>
    <col min="3358" max="3358" width="1.7109375" style="161" customWidth="1"/>
    <col min="3359" max="3359" width="14.42578125" style="161" bestFit="1" customWidth="1"/>
    <col min="3360" max="3360" width="34.7109375" style="161" customWidth="1"/>
    <col min="3361" max="3584" width="9.140625" style="161"/>
    <col min="3585" max="3586" width="10.7109375" style="161" customWidth="1"/>
    <col min="3587" max="3587" width="38.7109375" style="161" customWidth="1"/>
    <col min="3588" max="3588" width="3.7109375" style="161" customWidth="1"/>
    <col min="3589" max="3589" width="5.140625" style="161" customWidth="1"/>
    <col min="3590" max="3590" width="4.5703125" style="161" customWidth="1"/>
    <col min="3591" max="3591" width="17" style="161" customWidth="1"/>
    <col min="3592" max="3592" width="2.7109375" style="161" customWidth="1"/>
    <col min="3593" max="3593" width="17.28515625" style="161" customWidth="1"/>
    <col min="3594" max="3594" width="4.5703125" style="161" customWidth="1"/>
    <col min="3595" max="3595" width="16.28515625" style="161" customWidth="1"/>
    <col min="3596" max="3596" width="2.7109375" style="161" customWidth="1"/>
    <col min="3597" max="3597" width="15.7109375" style="161" customWidth="1"/>
    <col min="3598" max="3598" width="4.5703125" style="161" customWidth="1"/>
    <col min="3599" max="3599" width="15.42578125" style="161" customWidth="1"/>
    <col min="3600" max="3600" width="2.7109375" style="161" customWidth="1"/>
    <col min="3601" max="3601" width="14.5703125" style="161" customWidth="1"/>
    <col min="3602" max="3602" width="3.7109375" style="161" customWidth="1"/>
    <col min="3603" max="3603" width="14.5703125" style="161" bestFit="1" customWidth="1"/>
    <col min="3604" max="3604" width="2.7109375" style="161" customWidth="1"/>
    <col min="3605" max="3605" width="12.85546875" style="161" customWidth="1"/>
    <col min="3606" max="3606" width="3.7109375" style="161" customWidth="1"/>
    <col min="3607" max="3607" width="13.5703125" style="161" customWidth="1"/>
    <col min="3608" max="3608" width="2.7109375" style="161" customWidth="1"/>
    <col min="3609" max="3609" width="12.85546875" style="161" customWidth="1"/>
    <col min="3610" max="3610" width="3.7109375" style="161" customWidth="1"/>
    <col min="3611" max="3611" width="15.7109375" style="161" customWidth="1"/>
    <col min="3612" max="3612" width="2.7109375" style="161" customWidth="1"/>
    <col min="3613" max="3613" width="11.85546875" style="161" customWidth="1"/>
    <col min="3614" max="3614" width="1.7109375" style="161" customWidth="1"/>
    <col min="3615" max="3615" width="14.42578125" style="161" bestFit="1" customWidth="1"/>
    <col min="3616" max="3616" width="34.7109375" style="161" customWidth="1"/>
    <col min="3617" max="3840" width="9.140625" style="161"/>
    <col min="3841" max="3842" width="10.7109375" style="161" customWidth="1"/>
    <col min="3843" max="3843" width="38.7109375" style="161" customWidth="1"/>
    <col min="3844" max="3844" width="3.7109375" style="161" customWidth="1"/>
    <col min="3845" max="3845" width="5.140625" style="161" customWidth="1"/>
    <col min="3846" max="3846" width="4.5703125" style="161" customWidth="1"/>
    <col min="3847" max="3847" width="17" style="161" customWidth="1"/>
    <col min="3848" max="3848" width="2.7109375" style="161" customWidth="1"/>
    <col min="3849" max="3849" width="17.28515625" style="161" customWidth="1"/>
    <col min="3850" max="3850" width="4.5703125" style="161" customWidth="1"/>
    <col min="3851" max="3851" width="16.28515625" style="161" customWidth="1"/>
    <col min="3852" max="3852" width="2.7109375" style="161" customWidth="1"/>
    <col min="3853" max="3853" width="15.7109375" style="161" customWidth="1"/>
    <col min="3854" max="3854" width="4.5703125" style="161" customWidth="1"/>
    <col min="3855" max="3855" width="15.42578125" style="161" customWidth="1"/>
    <col min="3856" max="3856" width="2.7109375" style="161" customWidth="1"/>
    <col min="3857" max="3857" width="14.5703125" style="161" customWidth="1"/>
    <col min="3858" max="3858" width="3.7109375" style="161" customWidth="1"/>
    <col min="3859" max="3859" width="14.5703125" style="161" bestFit="1" customWidth="1"/>
    <col min="3860" max="3860" width="2.7109375" style="161" customWidth="1"/>
    <col min="3861" max="3861" width="12.85546875" style="161" customWidth="1"/>
    <col min="3862" max="3862" width="3.7109375" style="161" customWidth="1"/>
    <col min="3863" max="3863" width="13.5703125" style="161" customWidth="1"/>
    <col min="3864" max="3864" width="2.7109375" style="161" customWidth="1"/>
    <col min="3865" max="3865" width="12.85546875" style="161" customWidth="1"/>
    <col min="3866" max="3866" width="3.7109375" style="161" customWidth="1"/>
    <col min="3867" max="3867" width="15.7109375" style="161" customWidth="1"/>
    <col min="3868" max="3868" width="2.7109375" style="161" customWidth="1"/>
    <col min="3869" max="3869" width="11.85546875" style="161" customWidth="1"/>
    <col min="3870" max="3870" width="1.7109375" style="161" customWidth="1"/>
    <col min="3871" max="3871" width="14.42578125" style="161" bestFit="1" customWidth="1"/>
    <col min="3872" max="3872" width="34.7109375" style="161" customWidth="1"/>
    <col min="3873" max="4096" width="9.140625" style="161"/>
    <col min="4097" max="4098" width="10.7109375" style="161" customWidth="1"/>
    <col min="4099" max="4099" width="38.7109375" style="161" customWidth="1"/>
    <col min="4100" max="4100" width="3.7109375" style="161" customWidth="1"/>
    <col min="4101" max="4101" width="5.140625" style="161" customWidth="1"/>
    <col min="4102" max="4102" width="4.5703125" style="161" customWidth="1"/>
    <col min="4103" max="4103" width="17" style="161" customWidth="1"/>
    <col min="4104" max="4104" width="2.7109375" style="161" customWidth="1"/>
    <col min="4105" max="4105" width="17.28515625" style="161" customWidth="1"/>
    <col min="4106" max="4106" width="4.5703125" style="161" customWidth="1"/>
    <col min="4107" max="4107" width="16.28515625" style="161" customWidth="1"/>
    <col min="4108" max="4108" width="2.7109375" style="161" customWidth="1"/>
    <col min="4109" max="4109" width="15.7109375" style="161" customWidth="1"/>
    <col min="4110" max="4110" width="4.5703125" style="161" customWidth="1"/>
    <col min="4111" max="4111" width="15.42578125" style="161" customWidth="1"/>
    <col min="4112" max="4112" width="2.7109375" style="161" customWidth="1"/>
    <col min="4113" max="4113" width="14.5703125" style="161" customWidth="1"/>
    <col min="4114" max="4114" width="3.7109375" style="161" customWidth="1"/>
    <col min="4115" max="4115" width="14.5703125" style="161" bestFit="1" customWidth="1"/>
    <col min="4116" max="4116" width="2.7109375" style="161" customWidth="1"/>
    <col min="4117" max="4117" width="12.85546875" style="161" customWidth="1"/>
    <col min="4118" max="4118" width="3.7109375" style="161" customWidth="1"/>
    <col min="4119" max="4119" width="13.5703125" style="161" customWidth="1"/>
    <col min="4120" max="4120" width="2.7109375" style="161" customWidth="1"/>
    <col min="4121" max="4121" width="12.85546875" style="161" customWidth="1"/>
    <col min="4122" max="4122" width="3.7109375" style="161" customWidth="1"/>
    <col min="4123" max="4123" width="15.7109375" style="161" customWidth="1"/>
    <col min="4124" max="4124" width="2.7109375" style="161" customWidth="1"/>
    <col min="4125" max="4125" width="11.85546875" style="161" customWidth="1"/>
    <col min="4126" max="4126" width="1.7109375" style="161" customWidth="1"/>
    <col min="4127" max="4127" width="14.42578125" style="161" bestFit="1" customWidth="1"/>
    <col min="4128" max="4128" width="34.7109375" style="161" customWidth="1"/>
    <col min="4129" max="4352" width="9.140625" style="161"/>
    <col min="4353" max="4354" width="10.7109375" style="161" customWidth="1"/>
    <col min="4355" max="4355" width="38.7109375" style="161" customWidth="1"/>
    <col min="4356" max="4356" width="3.7109375" style="161" customWidth="1"/>
    <col min="4357" max="4357" width="5.140625" style="161" customWidth="1"/>
    <col min="4358" max="4358" width="4.5703125" style="161" customWidth="1"/>
    <col min="4359" max="4359" width="17" style="161" customWidth="1"/>
    <col min="4360" max="4360" width="2.7109375" style="161" customWidth="1"/>
    <col min="4361" max="4361" width="17.28515625" style="161" customWidth="1"/>
    <col min="4362" max="4362" width="4.5703125" style="161" customWidth="1"/>
    <col min="4363" max="4363" width="16.28515625" style="161" customWidth="1"/>
    <col min="4364" max="4364" width="2.7109375" style="161" customWidth="1"/>
    <col min="4365" max="4365" width="15.7109375" style="161" customWidth="1"/>
    <col min="4366" max="4366" width="4.5703125" style="161" customWidth="1"/>
    <col min="4367" max="4367" width="15.42578125" style="161" customWidth="1"/>
    <col min="4368" max="4368" width="2.7109375" style="161" customWidth="1"/>
    <col min="4369" max="4369" width="14.5703125" style="161" customWidth="1"/>
    <col min="4370" max="4370" width="3.7109375" style="161" customWidth="1"/>
    <col min="4371" max="4371" width="14.5703125" style="161" bestFit="1" customWidth="1"/>
    <col min="4372" max="4372" width="2.7109375" style="161" customWidth="1"/>
    <col min="4373" max="4373" width="12.85546875" style="161" customWidth="1"/>
    <col min="4374" max="4374" width="3.7109375" style="161" customWidth="1"/>
    <col min="4375" max="4375" width="13.5703125" style="161" customWidth="1"/>
    <col min="4376" max="4376" width="2.7109375" style="161" customWidth="1"/>
    <col min="4377" max="4377" width="12.85546875" style="161" customWidth="1"/>
    <col min="4378" max="4378" width="3.7109375" style="161" customWidth="1"/>
    <col min="4379" max="4379" width="15.7109375" style="161" customWidth="1"/>
    <col min="4380" max="4380" width="2.7109375" style="161" customWidth="1"/>
    <col min="4381" max="4381" width="11.85546875" style="161" customWidth="1"/>
    <col min="4382" max="4382" width="1.7109375" style="161" customWidth="1"/>
    <col min="4383" max="4383" width="14.42578125" style="161" bestFit="1" customWidth="1"/>
    <col min="4384" max="4384" width="34.7109375" style="161" customWidth="1"/>
    <col min="4385" max="4608" width="9.140625" style="161"/>
    <col min="4609" max="4610" width="10.7109375" style="161" customWidth="1"/>
    <col min="4611" max="4611" width="38.7109375" style="161" customWidth="1"/>
    <col min="4612" max="4612" width="3.7109375" style="161" customWidth="1"/>
    <col min="4613" max="4613" width="5.140625" style="161" customWidth="1"/>
    <col min="4614" max="4614" width="4.5703125" style="161" customWidth="1"/>
    <col min="4615" max="4615" width="17" style="161" customWidth="1"/>
    <col min="4616" max="4616" width="2.7109375" style="161" customWidth="1"/>
    <col min="4617" max="4617" width="17.28515625" style="161" customWidth="1"/>
    <col min="4618" max="4618" width="4.5703125" style="161" customWidth="1"/>
    <col min="4619" max="4619" width="16.28515625" style="161" customWidth="1"/>
    <col min="4620" max="4620" width="2.7109375" style="161" customWidth="1"/>
    <col min="4621" max="4621" width="15.7109375" style="161" customWidth="1"/>
    <col min="4622" max="4622" width="4.5703125" style="161" customWidth="1"/>
    <col min="4623" max="4623" width="15.42578125" style="161" customWidth="1"/>
    <col min="4624" max="4624" width="2.7109375" style="161" customWidth="1"/>
    <col min="4625" max="4625" width="14.5703125" style="161" customWidth="1"/>
    <col min="4626" max="4626" width="3.7109375" style="161" customWidth="1"/>
    <col min="4627" max="4627" width="14.5703125" style="161" bestFit="1" customWidth="1"/>
    <col min="4628" max="4628" width="2.7109375" style="161" customWidth="1"/>
    <col min="4629" max="4629" width="12.85546875" style="161" customWidth="1"/>
    <col min="4630" max="4630" width="3.7109375" style="161" customWidth="1"/>
    <col min="4631" max="4631" width="13.5703125" style="161" customWidth="1"/>
    <col min="4632" max="4632" width="2.7109375" style="161" customWidth="1"/>
    <col min="4633" max="4633" width="12.85546875" style="161" customWidth="1"/>
    <col min="4634" max="4634" width="3.7109375" style="161" customWidth="1"/>
    <col min="4635" max="4635" width="15.7109375" style="161" customWidth="1"/>
    <col min="4636" max="4636" width="2.7109375" style="161" customWidth="1"/>
    <col min="4637" max="4637" width="11.85546875" style="161" customWidth="1"/>
    <col min="4638" max="4638" width="1.7109375" style="161" customWidth="1"/>
    <col min="4639" max="4639" width="14.42578125" style="161" bestFit="1" customWidth="1"/>
    <col min="4640" max="4640" width="34.7109375" style="161" customWidth="1"/>
    <col min="4641" max="4864" width="9.140625" style="161"/>
    <col min="4865" max="4866" width="10.7109375" style="161" customWidth="1"/>
    <col min="4867" max="4867" width="38.7109375" style="161" customWidth="1"/>
    <col min="4868" max="4868" width="3.7109375" style="161" customWidth="1"/>
    <col min="4869" max="4869" width="5.140625" style="161" customWidth="1"/>
    <col min="4870" max="4870" width="4.5703125" style="161" customWidth="1"/>
    <col min="4871" max="4871" width="17" style="161" customWidth="1"/>
    <col min="4872" max="4872" width="2.7109375" style="161" customWidth="1"/>
    <col min="4873" max="4873" width="17.28515625" style="161" customWidth="1"/>
    <col min="4874" max="4874" width="4.5703125" style="161" customWidth="1"/>
    <col min="4875" max="4875" width="16.28515625" style="161" customWidth="1"/>
    <col min="4876" max="4876" width="2.7109375" style="161" customWidth="1"/>
    <col min="4877" max="4877" width="15.7109375" style="161" customWidth="1"/>
    <col min="4878" max="4878" width="4.5703125" style="161" customWidth="1"/>
    <col min="4879" max="4879" width="15.42578125" style="161" customWidth="1"/>
    <col min="4880" max="4880" width="2.7109375" style="161" customWidth="1"/>
    <col min="4881" max="4881" width="14.5703125" style="161" customWidth="1"/>
    <col min="4882" max="4882" width="3.7109375" style="161" customWidth="1"/>
    <col min="4883" max="4883" width="14.5703125" style="161" bestFit="1" customWidth="1"/>
    <col min="4884" max="4884" width="2.7109375" style="161" customWidth="1"/>
    <col min="4885" max="4885" width="12.85546875" style="161" customWidth="1"/>
    <col min="4886" max="4886" width="3.7109375" style="161" customWidth="1"/>
    <col min="4887" max="4887" width="13.5703125" style="161" customWidth="1"/>
    <col min="4888" max="4888" width="2.7109375" style="161" customWidth="1"/>
    <col min="4889" max="4889" width="12.85546875" style="161" customWidth="1"/>
    <col min="4890" max="4890" width="3.7109375" style="161" customWidth="1"/>
    <col min="4891" max="4891" width="15.7109375" style="161" customWidth="1"/>
    <col min="4892" max="4892" width="2.7109375" style="161" customWidth="1"/>
    <col min="4893" max="4893" width="11.85546875" style="161" customWidth="1"/>
    <col min="4894" max="4894" width="1.7109375" style="161" customWidth="1"/>
    <col min="4895" max="4895" width="14.42578125" style="161" bestFit="1" customWidth="1"/>
    <col min="4896" max="4896" width="34.7109375" style="161" customWidth="1"/>
    <col min="4897" max="5120" width="9.140625" style="161"/>
    <col min="5121" max="5122" width="10.7109375" style="161" customWidth="1"/>
    <col min="5123" max="5123" width="38.7109375" style="161" customWidth="1"/>
    <col min="5124" max="5124" width="3.7109375" style="161" customWidth="1"/>
    <col min="5125" max="5125" width="5.140625" style="161" customWidth="1"/>
    <col min="5126" max="5126" width="4.5703125" style="161" customWidth="1"/>
    <col min="5127" max="5127" width="17" style="161" customWidth="1"/>
    <col min="5128" max="5128" width="2.7109375" style="161" customWidth="1"/>
    <col min="5129" max="5129" width="17.28515625" style="161" customWidth="1"/>
    <col min="5130" max="5130" width="4.5703125" style="161" customWidth="1"/>
    <col min="5131" max="5131" width="16.28515625" style="161" customWidth="1"/>
    <col min="5132" max="5132" width="2.7109375" style="161" customWidth="1"/>
    <col min="5133" max="5133" width="15.7109375" style="161" customWidth="1"/>
    <col min="5134" max="5134" width="4.5703125" style="161" customWidth="1"/>
    <col min="5135" max="5135" width="15.42578125" style="161" customWidth="1"/>
    <col min="5136" max="5136" width="2.7109375" style="161" customWidth="1"/>
    <col min="5137" max="5137" width="14.5703125" style="161" customWidth="1"/>
    <col min="5138" max="5138" width="3.7109375" style="161" customWidth="1"/>
    <col min="5139" max="5139" width="14.5703125" style="161" bestFit="1" customWidth="1"/>
    <col min="5140" max="5140" width="2.7109375" style="161" customWidth="1"/>
    <col min="5141" max="5141" width="12.85546875" style="161" customWidth="1"/>
    <col min="5142" max="5142" width="3.7109375" style="161" customWidth="1"/>
    <col min="5143" max="5143" width="13.5703125" style="161" customWidth="1"/>
    <col min="5144" max="5144" width="2.7109375" style="161" customWidth="1"/>
    <col min="5145" max="5145" width="12.85546875" style="161" customWidth="1"/>
    <col min="5146" max="5146" width="3.7109375" style="161" customWidth="1"/>
    <col min="5147" max="5147" width="15.7109375" style="161" customWidth="1"/>
    <col min="5148" max="5148" width="2.7109375" style="161" customWidth="1"/>
    <col min="5149" max="5149" width="11.85546875" style="161" customWidth="1"/>
    <col min="5150" max="5150" width="1.7109375" style="161" customWidth="1"/>
    <col min="5151" max="5151" width="14.42578125" style="161" bestFit="1" customWidth="1"/>
    <col min="5152" max="5152" width="34.7109375" style="161" customWidth="1"/>
    <col min="5153" max="5376" width="9.140625" style="161"/>
    <col min="5377" max="5378" width="10.7109375" style="161" customWidth="1"/>
    <col min="5379" max="5379" width="38.7109375" style="161" customWidth="1"/>
    <col min="5380" max="5380" width="3.7109375" style="161" customWidth="1"/>
    <col min="5381" max="5381" width="5.140625" style="161" customWidth="1"/>
    <col min="5382" max="5382" width="4.5703125" style="161" customWidth="1"/>
    <col min="5383" max="5383" width="17" style="161" customWidth="1"/>
    <col min="5384" max="5384" width="2.7109375" style="161" customWidth="1"/>
    <col min="5385" max="5385" width="17.28515625" style="161" customWidth="1"/>
    <col min="5386" max="5386" width="4.5703125" style="161" customWidth="1"/>
    <col min="5387" max="5387" width="16.28515625" style="161" customWidth="1"/>
    <col min="5388" max="5388" width="2.7109375" style="161" customWidth="1"/>
    <col min="5389" max="5389" width="15.7109375" style="161" customWidth="1"/>
    <col min="5390" max="5390" width="4.5703125" style="161" customWidth="1"/>
    <col min="5391" max="5391" width="15.42578125" style="161" customWidth="1"/>
    <col min="5392" max="5392" width="2.7109375" style="161" customWidth="1"/>
    <col min="5393" max="5393" width="14.5703125" style="161" customWidth="1"/>
    <col min="5394" max="5394" width="3.7109375" style="161" customWidth="1"/>
    <col min="5395" max="5395" width="14.5703125" style="161" bestFit="1" customWidth="1"/>
    <col min="5396" max="5396" width="2.7109375" style="161" customWidth="1"/>
    <col min="5397" max="5397" width="12.85546875" style="161" customWidth="1"/>
    <col min="5398" max="5398" width="3.7109375" style="161" customWidth="1"/>
    <col min="5399" max="5399" width="13.5703125" style="161" customWidth="1"/>
    <col min="5400" max="5400" width="2.7109375" style="161" customWidth="1"/>
    <col min="5401" max="5401" width="12.85546875" style="161" customWidth="1"/>
    <col min="5402" max="5402" width="3.7109375" style="161" customWidth="1"/>
    <col min="5403" max="5403" width="15.7109375" style="161" customWidth="1"/>
    <col min="5404" max="5404" width="2.7109375" style="161" customWidth="1"/>
    <col min="5405" max="5405" width="11.85546875" style="161" customWidth="1"/>
    <col min="5406" max="5406" width="1.7109375" style="161" customWidth="1"/>
    <col min="5407" max="5407" width="14.42578125" style="161" bestFit="1" customWidth="1"/>
    <col min="5408" max="5408" width="34.7109375" style="161" customWidth="1"/>
    <col min="5409" max="5632" width="9.140625" style="161"/>
    <col min="5633" max="5634" width="10.7109375" style="161" customWidth="1"/>
    <col min="5635" max="5635" width="38.7109375" style="161" customWidth="1"/>
    <col min="5636" max="5636" width="3.7109375" style="161" customWidth="1"/>
    <col min="5637" max="5637" width="5.140625" style="161" customWidth="1"/>
    <col min="5638" max="5638" width="4.5703125" style="161" customWidth="1"/>
    <col min="5639" max="5639" width="17" style="161" customWidth="1"/>
    <col min="5640" max="5640" width="2.7109375" style="161" customWidth="1"/>
    <col min="5641" max="5641" width="17.28515625" style="161" customWidth="1"/>
    <col min="5642" max="5642" width="4.5703125" style="161" customWidth="1"/>
    <col min="5643" max="5643" width="16.28515625" style="161" customWidth="1"/>
    <col min="5644" max="5644" width="2.7109375" style="161" customWidth="1"/>
    <col min="5645" max="5645" width="15.7109375" style="161" customWidth="1"/>
    <col min="5646" max="5646" width="4.5703125" style="161" customWidth="1"/>
    <col min="5647" max="5647" width="15.42578125" style="161" customWidth="1"/>
    <col min="5648" max="5648" width="2.7109375" style="161" customWidth="1"/>
    <col min="5649" max="5649" width="14.5703125" style="161" customWidth="1"/>
    <col min="5650" max="5650" width="3.7109375" style="161" customWidth="1"/>
    <col min="5651" max="5651" width="14.5703125" style="161" bestFit="1" customWidth="1"/>
    <col min="5652" max="5652" width="2.7109375" style="161" customWidth="1"/>
    <col min="5653" max="5653" width="12.85546875" style="161" customWidth="1"/>
    <col min="5654" max="5654" width="3.7109375" style="161" customWidth="1"/>
    <col min="5655" max="5655" width="13.5703125" style="161" customWidth="1"/>
    <col min="5656" max="5656" width="2.7109375" style="161" customWidth="1"/>
    <col min="5657" max="5657" width="12.85546875" style="161" customWidth="1"/>
    <col min="5658" max="5658" width="3.7109375" style="161" customWidth="1"/>
    <col min="5659" max="5659" width="15.7109375" style="161" customWidth="1"/>
    <col min="5660" max="5660" width="2.7109375" style="161" customWidth="1"/>
    <col min="5661" max="5661" width="11.85546875" style="161" customWidth="1"/>
    <col min="5662" max="5662" width="1.7109375" style="161" customWidth="1"/>
    <col min="5663" max="5663" width="14.42578125" style="161" bestFit="1" customWidth="1"/>
    <col min="5664" max="5664" width="34.7109375" style="161" customWidth="1"/>
    <col min="5665" max="5888" width="9.140625" style="161"/>
    <col min="5889" max="5890" width="10.7109375" style="161" customWidth="1"/>
    <col min="5891" max="5891" width="38.7109375" style="161" customWidth="1"/>
    <col min="5892" max="5892" width="3.7109375" style="161" customWidth="1"/>
    <col min="5893" max="5893" width="5.140625" style="161" customWidth="1"/>
    <col min="5894" max="5894" width="4.5703125" style="161" customWidth="1"/>
    <col min="5895" max="5895" width="17" style="161" customWidth="1"/>
    <col min="5896" max="5896" width="2.7109375" style="161" customWidth="1"/>
    <col min="5897" max="5897" width="17.28515625" style="161" customWidth="1"/>
    <col min="5898" max="5898" width="4.5703125" style="161" customWidth="1"/>
    <col min="5899" max="5899" width="16.28515625" style="161" customWidth="1"/>
    <col min="5900" max="5900" width="2.7109375" style="161" customWidth="1"/>
    <col min="5901" max="5901" width="15.7109375" style="161" customWidth="1"/>
    <col min="5902" max="5902" width="4.5703125" style="161" customWidth="1"/>
    <col min="5903" max="5903" width="15.42578125" style="161" customWidth="1"/>
    <col min="5904" max="5904" width="2.7109375" style="161" customWidth="1"/>
    <col min="5905" max="5905" width="14.5703125" style="161" customWidth="1"/>
    <col min="5906" max="5906" width="3.7109375" style="161" customWidth="1"/>
    <col min="5907" max="5907" width="14.5703125" style="161" bestFit="1" customWidth="1"/>
    <col min="5908" max="5908" width="2.7109375" style="161" customWidth="1"/>
    <col min="5909" max="5909" width="12.85546875" style="161" customWidth="1"/>
    <col min="5910" max="5910" width="3.7109375" style="161" customWidth="1"/>
    <col min="5911" max="5911" width="13.5703125" style="161" customWidth="1"/>
    <col min="5912" max="5912" width="2.7109375" style="161" customWidth="1"/>
    <col min="5913" max="5913" width="12.85546875" style="161" customWidth="1"/>
    <col min="5914" max="5914" width="3.7109375" style="161" customWidth="1"/>
    <col min="5915" max="5915" width="15.7109375" style="161" customWidth="1"/>
    <col min="5916" max="5916" width="2.7109375" style="161" customWidth="1"/>
    <col min="5917" max="5917" width="11.85546875" style="161" customWidth="1"/>
    <col min="5918" max="5918" width="1.7109375" style="161" customWidth="1"/>
    <col min="5919" max="5919" width="14.42578125" style="161" bestFit="1" customWidth="1"/>
    <col min="5920" max="5920" width="34.7109375" style="161" customWidth="1"/>
    <col min="5921" max="6144" width="9.140625" style="161"/>
    <col min="6145" max="6146" width="10.7109375" style="161" customWidth="1"/>
    <col min="6147" max="6147" width="38.7109375" style="161" customWidth="1"/>
    <col min="6148" max="6148" width="3.7109375" style="161" customWidth="1"/>
    <col min="6149" max="6149" width="5.140625" style="161" customWidth="1"/>
    <col min="6150" max="6150" width="4.5703125" style="161" customWidth="1"/>
    <col min="6151" max="6151" width="17" style="161" customWidth="1"/>
    <col min="6152" max="6152" width="2.7109375" style="161" customWidth="1"/>
    <col min="6153" max="6153" width="17.28515625" style="161" customWidth="1"/>
    <col min="6154" max="6154" width="4.5703125" style="161" customWidth="1"/>
    <col min="6155" max="6155" width="16.28515625" style="161" customWidth="1"/>
    <col min="6156" max="6156" width="2.7109375" style="161" customWidth="1"/>
    <col min="6157" max="6157" width="15.7109375" style="161" customWidth="1"/>
    <col min="6158" max="6158" width="4.5703125" style="161" customWidth="1"/>
    <col min="6159" max="6159" width="15.42578125" style="161" customWidth="1"/>
    <col min="6160" max="6160" width="2.7109375" style="161" customWidth="1"/>
    <col min="6161" max="6161" width="14.5703125" style="161" customWidth="1"/>
    <col min="6162" max="6162" width="3.7109375" style="161" customWidth="1"/>
    <col min="6163" max="6163" width="14.5703125" style="161" bestFit="1" customWidth="1"/>
    <col min="6164" max="6164" width="2.7109375" style="161" customWidth="1"/>
    <col min="6165" max="6165" width="12.85546875" style="161" customWidth="1"/>
    <col min="6166" max="6166" width="3.7109375" style="161" customWidth="1"/>
    <col min="6167" max="6167" width="13.5703125" style="161" customWidth="1"/>
    <col min="6168" max="6168" width="2.7109375" style="161" customWidth="1"/>
    <col min="6169" max="6169" width="12.85546875" style="161" customWidth="1"/>
    <col min="6170" max="6170" width="3.7109375" style="161" customWidth="1"/>
    <col min="6171" max="6171" width="15.7109375" style="161" customWidth="1"/>
    <col min="6172" max="6172" width="2.7109375" style="161" customWidth="1"/>
    <col min="6173" max="6173" width="11.85546875" style="161" customWidth="1"/>
    <col min="6174" max="6174" width="1.7109375" style="161" customWidth="1"/>
    <col min="6175" max="6175" width="14.42578125" style="161" bestFit="1" customWidth="1"/>
    <col min="6176" max="6176" width="34.7109375" style="161" customWidth="1"/>
    <col min="6177" max="6400" width="9.140625" style="161"/>
    <col min="6401" max="6402" width="10.7109375" style="161" customWidth="1"/>
    <col min="6403" max="6403" width="38.7109375" style="161" customWidth="1"/>
    <col min="6404" max="6404" width="3.7109375" style="161" customWidth="1"/>
    <col min="6405" max="6405" width="5.140625" style="161" customWidth="1"/>
    <col min="6406" max="6406" width="4.5703125" style="161" customWidth="1"/>
    <col min="6407" max="6407" width="17" style="161" customWidth="1"/>
    <col min="6408" max="6408" width="2.7109375" style="161" customWidth="1"/>
    <col min="6409" max="6409" width="17.28515625" style="161" customWidth="1"/>
    <col min="6410" max="6410" width="4.5703125" style="161" customWidth="1"/>
    <col min="6411" max="6411" width="16.28515625" style="161" customWidth="1"/>
    <col min="6412" max="6412" width="2.7109375" style="161" customWidth="1"/>
    <col min="6413" max="6413" width="15.7109375" style="161" customWidth="1"/>
    <col min="6414" max="6414" width="4.5703125" style="161" customWidth="1"/>
    <col min="6415" max="6415" width="15.42578125" style="161" customWidth="1"/>
    <col min="6416" max="6416" width="2.7109375" style="161" customWidth="1"/>
    <col min="6417" max="6417" width="14.5703125" style="161" customWidth="1"/>
    <col min="6418" max="6418" width="3.7109375" style="161" customWidth="1"/>
    <col min="6419" max="6419" width="14.5703125" style="161" bestFit="1" customWidth="1"/>
    <col min="6420" max="6420" width="2.7109375" style="161" customWidth="1"/>
    <col min="6421" max="6421" width="12.85546875" style="161" customWidth="1"/>
    <col min="6422" max="6422" width="3.7109375" style="161" customWidth="1"/>
    <col min="6423" max="6423" width="13.5703125" style="161" customWidth="1"/>
    <col min="6424" max="6424" width="2.7109375" style="161" customWidth="1"/>
    <col min="6425" max="6425" width="12.85546875" style="161" customWidth="1"/>
    <col min="6426" max="6426" width="3.7109375" style="161" customWidth="1"/>
    <col min="6427" max="6427" width="15.7109375" style="161" customWidth="1"/>
    <col min="6428" max="6428" width="2.7109375" style="161" customWidth="1"/>
    <col min="6429" max="6429" width="11.85546875" style="161" customWidth="1"/>
    <col min="6430" max="6430" width="1.7109375" style="161" customWidth="1"/>
    <col min="6431" max="6431" width="14.42578125" style="161" bestFit="1" customWidth="1"/>
    <col min="6432" max="6432" width="34.7109375" style="161" customWidth="1"/>
    <col min="6433" max="6656" width="9.140625" style="161"/>
    <col min="6657" max="6658" width="10.7109375" style="161" customWidth="1"/>
    <col min="6659" max="6659" width="38.7109375" style="161" customWidth="1"/>
    <col min="6660" max="6660" width="3.7109375" style="161" customWidth="1"/>
    <col min="6661" max="6661" width="5.140625" style="161" customWidth="1"/>
    <col min="6662" max="6662" width="4.5703125" style="161" customWidth="1"/>
    <col min="6663" max="6663" width="17" style="161" customWidth="1"/>
    <col min="6664" max="6664" width="2.7109375" style="161" customWidth="1"/>
    <col min="6665" max="6665" width="17.28515625" style="161" customWidth="1"/>
    <col min="6666" max="6666" width="4.5703125" style="161" customWidth="1"/>
    <col min="6667" max="6667" width="16.28515625" style="161" customWidth="1"/>
    <col min="6668" max="6668" width="2.7109375" style="161" customWidth="1"/>
    <col min="6669" max="6669" width="15.7109375" style="161" customWidth="1"/>
    <col min="6670" max="6670" width="4.5703125" style="161" customWidth="1"/>
    <col min="6671" max="6671" width="15.42578125" style="161" customWidth="1"/>
    <col min="6672" max="6672" width="2.7109375" style="161" customWidth="1"/>
    <col min="6673" max="6673" width="14.5703125" style="161" customWidth="1"/>
    <col min="6674" max="6674" width="3.7109375" style="161" customWidth="1"/>
    <col min="6675" max="6675" width="14.5703125" style="161" bestFit="1" customWidth="1"/>
    <col min="6676" max="6676" width="2.7109375" style="161" customWidth="1"/>
    <col min="6677" max="6677" width="12.85546875" style="161" customWidth="1"/>
    <col min="6678" max="6678" width="3.7109375" style="161" customWidth="1"/>
    <col min="6679" max="6679" width="13.5703125" style="161" customWidth="1"/>
    <col min="6680" max="6680" width="2.7109375" style="161" customWidth="1"/>
    <col min="6681" max="6681" width="12.85546875" style="161" customWidth="1"/>
    <col min="6682" max="6682" width="3.7109375" style="161" customWidth="1"/>
    <col min="6683" max="6683" width="15.7109375" style="161" customWidth="1"/>
    <col min="6684" max="6684" width="2.7109375" style="161" customWidth="1"/>
    <col min="6685" max="6685" width="11.85546875" style="161" customWidth="1"/>
    <col min="6686" max="6686" width="1.7109375" style="161" customWidth="1"/>
    <col min="6687" max="6687" width="14.42578125" style="161" bestFit="1" customWidth="1"/>
    <col min="6688" max="6688" width="34.7109375" style="161" customWidth="1"/>
    <col min="6689" max="6912" width="9.140625" style="161"/>
    <col min="6913" max="6914" width="10.7109375" style="161" customWidth="1"/>
    <col min="6915" max="6915" width="38.7109375" style="161" customWidth="1"/>
    <col min="6916" max="6916" width="3.7109375" style="161" customWidth="1"/>
    <col min="6917" max="6917" width="5.140625" style="161" customWidth="1"/>
    <col min="6918" max="6918" width="4.5703125" style="161" customWidth="1"/>
    <col min="6919" max="6919" width="17" style="161" customWidth="1"/>
    <col min="6920" max="6920" width="2.7109375" style="161" customWidth="1"/>
    <col min="6921" max="6921" width="17.28515625" style="161" customWidth="1"/>
    <col min="6922" max="6922" width="4.5703125" style="161" customWidth="1"/>
    <col min="6923" max="6923" width="16.28515625" style="161" customWidth="1"/>
    <col min="6924" max="6924" width="2.7109375" style="161" customWidth="1"/>
    <col min="6925" max="6925" width="15.7109375" style="161" customWidth="1"/>
    <col min="6926" max="6926" width="4.5703125" style="161" customWidth="1"/>
    <col min="6927" max="6927" width="15.42578125" style="161" customWidth="1"/>
    <col min="6928" max="6928" width="2.7109375" style="161" customWidth="1"/>
    <col min="6929" max="6929" width="14.5703125" style="161" customWidth="1"/>
    <col min="6930" max="6930" width="3.7109375" style="161" customWidth="1"/>
    <col min="6931" max="6931" width="14.5703125" style="161" bestFit="1" customWidth="1"/>
    <col min="6932" max="6932" width="2.7109375" style="161" customWidth="1"/>
    <col min="6933" max="6933" width="12.85546875" style="161" customWidth="1"/>
    <col min="6934" max="6934" width="3.7109375" style="161" customWidth="1"/>
    <col min="6935" max="6935" width="13.5703125" style="161" customWidth="1"/>
    <col min="6936" max="6936" width="2.7109375" style="161" customWidth="1"/>
    <col min="6937" max="6937" width="12.85546875" style="161" customWidth="1"/>
    <col min="6938" max="6938" width="3.7109375" style="161" customWidth="1"/>
    <col min="6939" max="6939" width="15.7109375" style="161" customWidth="1"/>
    <col min="6940" max="6940" width="2.7109375" style="161" customWidth="1"/>
    <col min="6941" max="6941" width="11.85546875" style="161" customWidth="1"/>
    <col min="6942" max="6942" width="1.7109375" style="161" customWidth="1"/>
    <col min="6943" max="6943" width="14.42578125" style="161" bestFit="1" customWidth="1"/>
    <col min="6944" max="6944" width="34.7109375" style="161" customWidth="1"/>
    <col min="6945" max="7168" width="9.140625" style="161"/>
    <col min="7169" max="7170" width="10.7109375" style="161" customWidth="1"/>
    <col min="7171" max="7171" width="38.7109375" style="161" customWidth="1"/>
    <col min="7172" max="7172" width="3.7109375" style="161" customWidth="1"/>
    <col min="7173" max="7173" width="5.140625" style="161" customWidth="1"/>
    <col min="7174" max="7174" width="4.5703125" style="161" customWidth="1"/>
    <col min="7175" max="7175" width="17" style="161" customWidth="1"/>
    <col min="7176" max="7176" width="2.7109375" style="161" customWidth="1"/>
    <col min="7177" max="7177" width="17.28515625" style="161" customWidth="1"/>
    <col min="7178" max="7178" width="4.5703125" style="161" customWidth="1"/>
    <col min="7179" max="7179" width="16.28515625" style="161" customWidth="1"/>
    <col min="7180" max="7180" width="2.7109375" style="161" customWidth="1"/>
    <col min="7181" max="7181" width="15.7109375" style="161" customWidth="1"/>
    <col min="7182" max="7182" width="4.5703125" style="161" customWidth="1"/>
    <col min="7183" max="7183" width="15.42578125" style="161" customWidth="1"/>
    <col min="7184" max="7184" width="2.7109375" style="161" customWidth="1"/>
    <col min="7185" max="7185" width="14.5703125" style="161" customWidth="1"/>
    <col min="7186" max="7186" width="3.7109375" style="161" customWidth="1"/>
    <col min="7187" max="7187" width="14.5703125" style="161" bestFit="1" customWidth="1"/>
    <col min="7188" max="7188" width="2.7109375" style="161" customWidth="1"/>
    <col min="7189" max="7189" width="12.85546875" style="161" customWidth="1"/>
    <col min="7190" max="7190" width="3.7109375" style="161" customWidth="1"/>
    <col min="7191" max="7191" width="13.5703125" style="161" customWidth="1"/>
    <col min="7192" max="7192" width="2.7109375" style="161" customWidth="1"/>
    <col min="7193" max="7193" width="12.85546875" style="161" customWidth="1"/>
    <col min="7194" max="7194" width="3.7109375" style="161" customWidth="1"/>
    <col min="7195" max="7195" width="15.7109375" style="161" customWidth="1"/>
    <col min="7196" max="7196" width="2.7109375" style="161" customWidth="1"/>
    <col min="7197" max="7197" width="11.85546875" style="161" customWidth="1"/>
    <col min="7198" max="7198" width="1.7109375" style="161" customWidth="1"/>
    <col min="7199" max="7199" width="14.42578125" style="161" bestFit="1" customWidth="1"/>
    <col min="7200" max="7200" width="34.7109375" style="161" customWidth="1"/>
    <col min="7201" max="7424" width="9.140625" style="161"/>
    <col min="7425" max="7426" width="10.7109375" style="161" customWidth="1"/>
    <col min="7427" max="7427" width="38.7109375" style="161" customWidth="1"/>
    <col min="7428" max="7428" width="3.7109375" style="161" customWidth="1"/>
    <col min="7429" max="7429" width="5.140625" style="161" customWidth="1"/>
    <col min="7430" max="7430" width="4.5703125" style="161" customWidth="1"/>
    <col min="7431" max="7431" width="17" style="161" customWidth="1"/>
    <col min="7432" max="7432" width="2.7109375" style="161" customWidth="1"/>
    <col min="7433" max="7433" width="17.28515625" style="161" customWidth="1"/>
    <col min="7434" max="7434" width="4.5703125" style="161" customWidth="1"/>
    <col min="7435" max="7435" width="16.28515625" style="161" customWidth="1"/>
    <col min="7436" max="7436" width="2.7109375" style="161" customWidth="1"/>
    <col min="7437" max="7437" width="15.7109375" style="161" customWidth="1"/>
    <col min="7438" max="7438" width="4.5703125" style="161" customWidth="1"/>
    <col min="7439" max="7439" width="15.42578125" style="161" customWidth="1"/>
    <col min="7440" max="7440" width="2.7109375" style="161" customWidth="1"/>
    <col min="7441" max="7441" width="14.5703125" style="161" customWidth="1"/>
    <col min="7442" max="7442" width="3.7109375" style="161" customWidth="1"/>
    <col min="7443" max="7443" width="14.5703125" style="161" bestFit="1" customWidth="1"/>
    <col min="7444" max="7444" width="2.7109375" style="161" customWidth="1"/>
    <col min="7445" max="7445" width="12.85546875" style="161" customWidth="1"/>
    <col min="7446" max="7446" width="3.7109375" style="161" customWidth="1"/>
    <col min="7447" max="7447" width="13.5703125" style="161" customWidth="1"/>
    <col min="7448" max="7448" width="2.7109375" style="161" customWidth="1"/>
    <col min="7449" max="7449" width="12.85546875" style="161" customWidth="1"/>
    <col min="7450" max="7450" width="3.7109375" style="161" customWidth="1"/>
    <col min="7451" max="7451" width="15.7109375" style="161" customWidth="1"/>
    <col min="7452" max="7452" width="2.7109375" style="161" customWidth="1"/>
    <col min="7453" max="7453" width="11.85546875" style="161" customWidth="1"/>
    <col min="7454" max="7454" width="1.7109375" style="161" customWidth="1"/>
    <col min="7455" max="7455" width="14.42578125" style="161" bestFit="1" customWidth="1"/>
    <col min="7456" max="7456" width="34.7109375" style="161" customWidth="1"/>
    <col min="7457" max="7680" width="9.140625" style="161"/>
    <col min="7681" max="7682" width="10.7109375" style="161" customWidth="1"/>
    <col min="7683" max="7683" width="38.7109375" style="161" customWidth="1"/>
    <col min="7684" max="7684" width="3.7109375" style="161" customWidth="1"/>
    <col min="7685" max="7685" width="5.140625" style="161" customWidth="1"/>
    <col min="7686" max="7686" width="4.5703125" style="161" customWidth="1"/>
    <col min="7687" max="7687" width="17" style="161" customWidth="1"/>
    <col min="7688" max="7688" width="2.7109375" style="161" customWidth="1"/>
    <col min="7689" max="7689" width="17.28515625" style="161" customWidth="1"/>
    <col min="7690" max="7690" width="4.5703125" style="161" customWidth="1"/>
    <col min="7691" max="7691" width="16.28515625" style="161" customWidth="1"/>
    <col min="7692" max="7692" width="2.7109375" style="161" customWidth="1"/>
    <col min="7693" max="7693" width="15.7109375" style="161" customWidth="1"/>
    <col min="7694" max="7694" width="4.5703125" style="161" customWidth="1"/>
    <col min="7695" max="7695" width="15.42578125" style="161" customWidth="1"/>
    <col min="7696" max="7696" width="2.7109375" style="161" customWidth="1"/>
    <col min="7697" max="7697" width="14.5703125" style="161" customWidth="1"/>
    <col min="7698" max="7698" width="3.7109375" style="161" customWidth="1"/>
    <col min="7699" max="7699" width="14.5703125" style="161" bestFit="1" customWidth="1"/>
    <col min="7700" max="7700" width="2.7109375" style="161" customWidth="1"/>
    <col min="7701" max="7701" width="12.85546875" style="161" customWidth="1"/>
    <col min="7702" max="7702" width="3.7109375" style="161" customWidth="1"/>
    <col min="7703" max="7703" width="13.5703125" style="161" customWidth="1"/>
    <col min="7704" max="7704" width="2.7109375" style="161" customWidth="1"/>
    <col min="7705" max="7705" width="12.85546875" style="161" customWidth="1"/>
    <col min="7706" max="7706" width="3.7109375" style="161" customWidth="1"/>
    <col min="7707" max="7707" width="15.7109375" style="161" customWidth="1"/>
    <col min="7708" max="7708" width="2.7109375" style="161" customWidth="1"/>
    <col min="7709" max="7709" width="11.85546875" style="161" customWidth="1"/>
    <col min="7710" max="7710" width="1.7109375" style="161" customWidth="1"/>
    <col min="7711" max="7711" width="14.42578125" style="161" bestFit="1" customWidth="1"/>
    <col min="7712" max="7712" width="34.7109375" style="161" customWidth="1"/>
    <col min="7713" max="7936" width="9.140625" style="161"/>
    <col min="7937" max="7938" width="10.7109375" style="161" customWidth="1"/>
    <col min="7939" max="7939" width="38.7109375" style="161" customWidth="1"/>
    <col min="7940" max="7940" width="3.7109375" style="161" customWidth="1"/>
    <col min="7941" max="7941" width="5.140625" style="161" customWidth="1"/>
    <col min="7942" max="7942" width="4.5703125" style="161" customWidth="1"/>
    <col min="7943" max="7943" width="17" style="161" customWidth="1"/>
    <col min="7944" max="7944" width="2.7109375" style="161" customWidth="1"/>
    <col min="7945" max="7945" width="17.28515625" style="161" customWidth="1"/>
    <col min="7946" max="7946" width="4.5703125" style="161" customWidth="1"/>
    <col min="7947" max="7947" width="16.28515625" style="161" customWidth="1"/>
    <col min="7948" max="7948" width="2.7109375" style="161" customWidth="1"/>
    <col min="7949" max="7949" width="15.7109375" style="161" customWidth="1"/>
    <col min="7950" max="7950" width="4.5703125" style="161" customWidth="1"/>
    <col min="7951" max="7951" width="15.42578125" style="161" customWidth="1"/>
    <col min="7952" max="7952" width="2.7109375" style="161" customWidth="1"/>
    <col min="7953" max="7953" width="14.5703125" style="161" customWidth="1"/>
    <col min="7954" max="7954" width="3.7109375" style="161" customWidth="1"/>
    <col min="7955" max="7955" width="14.5703125" style="161" bestFit="1" customWidth="1"/>
    <col min="7956" max="7956" width="2.7109375" style="161" customWidth="1"/>
    <col min="7957" max="7957" width="12.85546875" style="161" customWidth="1"/>
    <col min="7958" max="7958" width="3.7109375" style="161" customWidth="1"/>
    <col min="7959" max="7959" width="13.5703125" style="161" customWidth="1"/>
    <col min="7960" max="7960" width="2.7109375" style="161" customWidth="1"/>
    <col min="7961" max="7961" width="12.85546875" style="161" customWidth="1"/>
    <col min="7962" max="7962" width="3.7109375" style="161" customWidth="1"/>
    <col min="7963" max="7963" width="15.7109375" style="161" customWidth="1"/>
    <col min="7964" max="7964" width="2.7109375" style="161" customWidth="1"/>
    <col min="7965" max="7965" width="11.85546875" style="161" customWidth="1"/>
    <col min="7966" max="7966" width="1.7109375" style="161" customWidth="1"/>
    <col min="7967" max="7967" width="14.42578125" style="161" bestFit="1" customWidth="1"/>
    <col min="7968" max="7968" width="34.7109375" style="161" customWidth="1"/>
    <col min="7969" max="8192" width="9.140625" style="161"/>
    <col min="8193" max="8194" width="10.7109375" style="161" customWidth="1"/>
    <col min="8195" max="8195" width="38.7109375" style="161" customWidth="1"/>
    <col min="8196" max="8196" width="3.7109375" style="161" customWidth="1"/>
    <col min="8197" max="8197" width="5.140625" style="161" customWidth="1"/>
    <col min="8198" max="8198" width="4.5703125" style="161" customWidth="1"/>
    <col min="8199" max="8199" width="17" style="161" customWidth="1"/>
    <col min="8200" max="8200" width="2.7109375" style="161" customWidth="1"/>
    <col min="8201" max="8201" width="17.28515625" style="161" customWidth="1"/>
    <col min="8202" max="8202" width="4.5703125" style="161" customWidth="1"/>
    <col min="8203" max="8203" width="16.28515625" style="161" customWidth="1"/>
    <col min="8204" max="8204" width="2.7109375" style="161" customWidth="1"/>
    <col min="8205" max="8205" width="15.7109375" style="161" customWidth="1"/>
    <col min="8206" max="8206" width="4.5703125" style="161" customWidth="1"/>
    <col min="8207" max="8207" width="15.42578125" style="161" customWidth="1"/>
    <col min="8208" max="8208" width="2.7109375" style="161" customWidth="1"/>
    <col min="8209" max="8209" width="14.5703125" style="161" customWidth="1"/>
    <col min="8210" max="8210" width="3.7109375" style="161" customWidth="1"/>
    <col min="8211" max="8211" width="14.5703125" style="161" bestFit="1" customWidth="1"/>
    <col min="8212" max="8212" width="2.7109375" style="161" customWidth="1"/>
    <col min="8213" max="8213" width="12.85546875" style="161" customWidth="1"/>
    <col min="8214" max="8214" width="3.7109375" style="161" customWidth="1"/>
    <col min="8215" max="8215" width="13.5703125" style="161" customWidth="1"/>
    <col min="8216" max="8216" width="2.7109375" style="161" customWidth="1"/>
    <col min="8217" max="8217" width="12.85546875" style="161" customWidth="1"/>
    <col min="8218" max="8218" width="3.7109375" style="161" customWidth="1"/>
    <col min="8219" max="8219" width="15.7109375" style="161" customWidth="1"/>
    <col min="8220" max="8220" width="2.7109375" style="161" customWidth="1"/>
    <col min="8221" max="8221" width="11.85546875" style="161" customWidth="1"/>
    <col min="8222" max="8222" width="1.7109375" style="161" customWidth="1"/>
    <col min="8223" max="8223" width="14.42578125" style="161" bestFit="1" customWidth="1"/>
    <col min="8224" max="8224" width="34.7109375" style="161" customWidth="1"/>
    <col min="8225" max="8448" width="9.140625" style="161"/>
    <col min="8449" max="8450" width="10.7109375" style="161" customWidth="1"/>
    <col min="8451" max="8451" width="38.7109375" style="161" customWidth="1"/>
    <col min="8452" max="8452" width="3.7109375" style="161" customWidth="1"/>
    <col min="8453" max="8453" width="5.140625" style="161" customWidth="1"/>
    <col min="8454" max="8454" width="4.5703125" style="161" customWidth="1"/>
    <col min="8455" max="8455" width="17" style="161" customWidth="1"/>
    <col min="8456" max="8456" width="2.7109375" style="161" customWidth="1"/>
    <col min="8457" max="8457" width="17.28515625" style="161" customWidth="1"/>
    <col min="8458" max="8458" width="4.5703125" style="161" customWidth="1"/>
    <col min="8459" max="8459" width="16.28515625" style="161" customWidth="1"/>
    <col min="8460" max="8460" width="2.7109375" style="161" customWidth="1"/>
    <col min="8461" max="8461" width="15.7109375" style="161" customWidth="1"/>
    <col min="8462" max="8462" width="4.5703125" style="161" customWidth="1"/>
    <col min="8463" max="8463" width="15.42578125" style="161" customWidth="1"/>
    <col min="8464" max="8464" width="2.7109375" style="161" customWidth="1"/>
    <col min="8465" max="8465" width="14.5703125" style="161" customWidth="1"/>
    <col min="8466" max="8466" width="3.7109375" style="161" customWidth="1"/>
    <col min="8467" max="8467" width="14.5703125" style="161" bestFit="1" customWidth="1"/>
    <col min="8468" max="8468" width="2.7109375" style="161" customWidth="1"/>
    <col min="8469" max="8469" width="12.85546875" style="161" customWidth="1"/>
    <col min="8470" max="8470" width="3.7109375" style="161" customWidth="1"/>
    <col min="8471" max="8471" width="13.5703125" style="161" customWidth="1"/>
    <col min="8472" max="8472" width="2.7109375" style="161" customWidth="1"/>
    <col min="8473" max="8473" width="12.85546875" style="161" customWidth="1"/>
    <col min="8474" max="8474" width="3.7109375" style="161" customWidth="1"/>
    <col min="8475" max="8475" width="15.7109375" style="161" customWidth="1"/>
    <col min="8476" max="8476" width="2.7109375" style="161" customWidth="1"/>
    <col min="8477" max="8477" width="11.85546875" style="161" customWidth="1"/>
    <col min="8478" max="8478" width="1.7109375" style="161" customWidth="1"/>
    <col min="8479" max="8479" width="14.42578125" style="161" bestFit="1" customWidth="1"/>
    <col min="8480" max="8480" width="34.7109375" style="161" customWidth="1"/>
    <col min="8481" max="8704" width="9.140625" style="161"/>
    <col min="8705" max="8706" width="10.7109375" style="161" customWidth="1"/>
    <col min="8707" max="8707" width="38.7109375" style="161" customWidth="1"/>
    <col min="8708" max="8708" width="3.7109375" style="161" customWidth="1"/>
    <col min="8709" max="8709" width="5.140625" style="161" customWidth="1"/>
    <col min="8710" max="8710" width="4.5703125" style="161" customWidth="1"/>
    <col min="8711" max="8711" width="17" style="161" customWidth="1"/>
    <col min="8712" max="8712" width="2.7109375" style="161" customWidth="1"/>
    <col min="8713" max="8713" width="17.28515625" style="161" customWidth="1"/>
    <col min="8714" max="8714" width="4.5703125" style="161" customWidth="1"/>
    <col min="8715" max="8715" width="16.28515625" style="161" customWidth="1"/>
    <col min="8716" max="8716" width="2.7109375" style="161" customWidth="1"/>
    <col min="8717" max="8717" width="15.7109375" style="161" customWidth="1"/>
    <col min="8718" max="8718" width="4.5703125" style="161" customWidth="1"/>
    <col min="8719" max="8719" width="15.42578125" style="161" customWidth="1"/>
    <col min="8720" max="8720" width="2.7109375" style="161" customWidth="1"/>
    <col min="8721" max="8721" width="14.5703125" style="161" customWidth="1"/>
    <col min="8722" max="8722" width="3.7109375" style="161" customWidth="1"/>
    <col min="8723" max="8723" width="14.5703125" style="161" bestFit="1" customWidth="1"/>
    <col min="8724" max="8724" width="2.7109375" style="161" customWidth="1"/>
    <col min="8725" max="8725" width="12.85546875" style="161" customWidth="1"/>
    <col min="8726" max="8726" width="3.7109375" style="161" customWidth="1"/>
    <col min="8727" max="8727" width="13.5703125" style="161" customWidth="1"/>
    <col min="8728" max="8728" width="2.7109375" style="161" customWidth="1"/>
    <col min="8729" max="8729" width="12.85546875" style="161" customWidth="1"/>
    <col min="8730" max="8730" width="3.7109375" style="161" customWidth="1"/>
    <col min="8731" max="8731" width="15.7109375" style="161" customWidth="1"/>
    <col min="8732" max="8732" width="2.7109375" style="161" customWidth="1"/>
    <col min="8733" max="8733" width="11.85546875" style="161" customWidth="1"/>
    <col min="8734" max="8734" width="1.7109375" style="161" customWidth="1"/>
    <col min="8735" max="8735" width="14.42578125" style="161" bestFit="1" customWidth="1"/>
    <col min="8736" max="8736" width="34.7109375" style="161" customWidth="1"/>
    <col min="8737" max="8960" width="9.140625" style="161"/>
    <col min="8961" max="8962" width="10.7109375" style="161" customWidth="1"/>
    <col min="8963" max="8963" width="38.7109375" style="161" customWidth="1"/>
    <col min="8964" max="8964" width="3.7109375" style="161" customWidth="1"/>
    <col min="8965" max="8965" width="5.140625" style="161" customWidth="1"/>
    <col min="8966" max="8966" width="4.5703125" style="161" customWidth="1"/>
    <col min="8967" max="8967" width="17" style="161" customWidth="1"/>
    <col min="8968" max="8968" width="2.7109375" style="161" customWidth="1"/>
    <col min="8969" max="8969" width="17.28515625" style="161" customWidth="1"/>
    <col min="8970" max="8970" width="4.5703125" style="161" customWidth="1"/>
    <col min="8971" max="8971" width="16.28515625" style="161" customWidth="1"/>
    <col min="8972" max="8972" width="2.7109375" style="161" customWidth="1"/>
    <col min="8973" max="8973" width="15.7109375" style="161" customWidth="1"/>
    <col min="8974" max="8974" width="4.5703125" style="161" customWidth="1"/>
    <col min="8975" max="8975" width="15.42578125" style="161" customWidth="1"/>
    <col min="8976" max="8976" width="2.7109375" style="161" customWidth="1"/>
    <col min="8977" max="8977" width="14.5703125" style="161" customWidth="1"/>
    <col min="8978" max="8978" width="3.7109375" style="161" customWidth="1"/>
    <col min="8979" max="8979" width="14.5703125" style="161" bestFit="1" customWidth="1"/>
    <col min="8980" max="8980" width="2.7109375" style="161" customWidth="1"/>
    <col min="8981" max="8981" width="12.85546875" style="161" customWidth="1"/>
    <col min="8982" max="8982" width="3.7109375" style="161" customWidth="1"/>
    <col min="8983" max="8983" width="13.5703125" style="161" customWidth="1"/>
    <col min="8984" max="8984" width="2.7109375" style="161" customWidth="1"/>
    <col min="8985" max="8985" width="12.85546875" style="161" customWidth="1"/>
    <col min="8986" max="8986" width="3.7109375" style="161" customWidth="1"/>
    <col min="8987" max="8987" width="15.7109375" style="161" customWidth="1"/>
    <col min="8988" max="8988" width="2.7109375" style="161" customWidth="1"/>
    <col min="8989" max="8989" width="11.85546875" style="161" customWidth="1"/>
    <col min="8990" max="8990" width="1.7109375" style="161" customWidth="1"/>
    <col min="8991" max="8991" width="14.42578125" style="161" bestFit="1" customWidth="1"/>
    <col min="8992" max="8992" width="34.7109375" style="161" customWidth="1"/>
    <col min="8993" max="9216" width="9.140625" style="161"/>
    <col min="9217" max="9218" width="10.7109375" style="161" customWidth="1"/>
    <col min="9219" max="9219" width="38.7109375" style="161" customWidth="1"/>
    <col min="9220" max="9220" width="3.7109375" style="161" customWidth="1"/>
    <col min="9221" max="9221" width="5.140625" style="161" customWidth="1"/>
    <col min="9222" max="9222" width="4.5703125" style="161" customWidth="1"/>
    <col min="9223" max="9223" width="17" style="161" customWidth="1"/>
    <col min="9224" max="9224" width="2.7109375" style="161" customWidth="1"/>
    <col min="9225" max="9225" width="17.28515625" style="161" customWidth="1"/>
    <col min="9226" max="9226" width="4.5703125" style="161" customWidth="1"/>
    <col min="9227" max="9227" width="16.28515625" style="161" customWidth="1"/>
    <col min="9228" max="9228" width="2.7109375" style="161" customWidth="1"/>
    <col min="9229" max="9229" width="15.7109375" style="161" customWidth="1"/>
    <col min="9230" max="9230" width="4.5703125" style="161" customWidth="1"/>
    <col min="9231" max="9231" width="15.42578125" style="161" customWidth="1"/>
    <col min="9232" max="9232" width="2.7109375" style="161" customWidth="1"/>
    <col min="9233" max="9233" width="14.5703125" style="161" customWidth="1"/>
    <col min="9234" max="9234" width="3.7109375" style="161" customWidth="1"/>
    <col min="9235" max="9235" width="14.5703125" style="161" bestFit="1" customWidth="1"/>
    <col min="9236" max="9236" width="2.7109375" style="161" customWidth="1"/>
    <col min="9237" max="9237" width="12.85546875" style="161" customWidth="1"/>
    <col min="9238" max="9238" width="3.7109375" style="161" customWidth="1"/>
    <col min="9239" max="9239" width="13.5703125" style="161" customWidth="1"/>
    <col min="9240" max="9240" width="2.7109375" style="161" customWidth="1"/>
    <col min="9241" max="9241" width="12.85546875" style="161" customWidth="1"/>
    <col min="9242" max="9242" width="3.7109375" style="161" customWidth="1"/>
    <col min="9243" max="9243" width="15.7109375" style="161" customWidth="1"/>
    <col min="9244" max="9244" width="2.7109375" style="161" customWidth="1"/>
    <col min="9245" max="9245" width="11.85546875" style="161" customWidth="1"/>
    <col min="9246" max="9246" width="1.7109375" style="161" customWidth="1"/>
    <col min="9247" max="9247" width="14.42578125" style="161" bestFit="1" customWidth="1"/>
    <col min="9248" max="9248" width="34.7109375" style="161" customWidth="1"/>
    <col min="9249" max="9472" width="9.140625" style="161"/>
    <col min="9473" max="9474" width="10.7109375" style="161" customWidth="1"/>
    <col min="9475" max="9475" width="38.7109375" style="161" customWidth="1"/>
    <col min="9476" max="9476" width="3.7109375" style="161" customWidth="1"/>
    <col min="9477" max="9477" width="5.140625" style="161" customWidth="1"/>
    <col min="9478" max="9478" width="4.5703125" style="161" customWidth="1"/>
    <col min="9479" max="9479" width="17" style="161" customWidth="1"/>
    <col min="9480" max="9480" width="2.7109375" style="161" customWidth="1"/>
    <col min="9481" max="9481" width="17.28515625" style="161" customWidth="1"/>
    <col min="9482" max="9482" width="4.5703125" style="161" customWidth="1"/>
    <col min="9483" max="9483" width="16.28515625" style="161" customWidth="1"/>
    <col min="9484" max="9484" width="2.7109375" style="161" customWidth="1"/>
    <col min="9485" max="9485" width="15.7109375" style="161" customWidth="1"/>
    <col min="9486" max="9486" width="4.5703125" style="161" customWidth="1"/>
    <col min="9487" max="9487" width="15.42578125" style="161" customWidth="1"/>
    <col min="9488" max="9488" width="2.7109375" style="161" customWidth="1"/>
    <col min="9489" max="9489" width="14.5703125" style="161" customWidth="1"/>
    <col min="9490" max="9490" width="3.7109375" style="161" customWidth="1"/>
    <col min="9491" max="9491" width="14.5703125" style="161" bestFit="1" customWidth="1"/>
    <col min="9492" max="9492" width="2.7109375" style="161" customWidth="1"/>
    <col min="9493" max="9493" width="12.85546875" style="161" customWidth="1"/>
    <col min="9494" max="9494" width="3.7109375" style="161" customWidth="1"/>
    <col min="9495" max="9495" width="13.5703125" style="161" customWidth="1"/>
    <col min="9496" max="9496" width="2.7109375" style="161" customWidth="1"/>
    <col min="9497" max="9497" width="12.85546875" style="161" customWidth="1"/>
    <col min="9498" max="9498" width="3.7109375" style="161" customWidth="1"/>
    <col min="9499" max="9499" width="15.7109375" style="161" customWidth="1"/>
    <col min="9500" max="9500" width="2.7109375" style="161" customWidth="1"/>
    <col min="9501" max="9501" width="11.85546875" style="161" customWidth="1"/>
    <col min="9502" max="9502" width="1.7109375" style="161" customWidth="1"/>
    <col min="9503" max="9503" width="14.42578125" style="161" bestFit="1" customWidth="1"/>
    <col min="9504" max="9504" width="34.7109375" style="161" customWidth="1"/>
    <col min="9505" max="9728" width="9.140625" style="161"/>
    <col min="9729" max="9730" width="10.7109375" style="161" customWidth="1"/>
    <col min="9731" max="9731" width="38.7109375" style="161" customWidth="1"/>
    <col min="9732" max="9732" width="3.7109375" style="161" customWidth="1"/>
    <col min="9733" max="9733" width="5.140625" style="161" customWidth="1"/>
    <col min="9734" max="9734" width="4.5703125" style="161" customWidth="1"/>
    <col min="9735" max="9735" width="17" style="161" customWidth="1"/>
    <col min="9736" max="9736" width="2.7109375" style="161" customWidth="1"/>
    <col min="9737" max="9737" width="17.28515625" style="161" customWidth="1"/>
    <col min="9738" max="9738" width="4.5703125" style="161" customWidth="1"/>
    <col min="9739" max="9739" width="16.28515625" style="161" customWidth="1"/>
    <col min="9740" max="9740" width="2.7109375" style="161" customWidth="1"/>
    <col min="9741" max="9741" width="15.7109375" style="161" customWidth="1"/>
    <col min="9742" max="9742" width="4.5703125" style="161" customWidth="1"/>
    <col min="9743" max="9743" width="15.42578125" style="161" customWidth="1"/>
    <col min="9744" max="9744" width="2.7109375" style="161" customWidth="1"/>
    <col min="9745" max="9745" width="14.5703125" style="161" customWidth="1"/>
    <col min="9746" max="9746" width="3.7109375" style="161" customWidth="1"/>
    <col min="9747" max="9747" width="14.5703125" style="161" bestFit="1" customWidth="1"/>
    <col min="9748" max="9748" width="2.7109375" style="161" customWidth="1"/>
    <col min="9749" max="9749" width="12.85546875" style="161" customWidth="1"/>
    <col min="9750" max="9750" width="3.7109375" style="161" customWidth="1"/>
    <col min="9751" max="9751" width="13.5703125" style="161" customWidth="1"/>
    <col min="9752" max="9752" width="2.7109375" style="161" customWidth="1"/>
    <col min="9753" max="9753" width="12.85546875" style="161" customWidth="1"/>
    <col min="9754" max="9754" width="3.7109375" style="161" customWidth="1"/>
    <col min="9755" max="9755" width="15.7109375" style="161" customWidth="1"/>
    <col min="9756" max="9756" width="2.7109375" style="161" customWidth="1"/>
    <col min="9757" max="9757" width="11.85546875" style="161" customWidth="1"/>
    <col min="9758" max="9758" width="1.7109375" style="161" customWidth="1"/>
    <col min="9759" max="9759" width="14.42578125" style="161" bestFit="1" customWidth="1"/>
    <col min="9760" max="9760" width="34.7109375" style="161" customWidth="1"/>
    <col min="9761" max="9984" width="9.140625" style="161"/>
    <col min="9985" max="9986" width="10.7109375" style="161" customWidth="1"/>
    <col min="9987" max="9987" width="38.7109375" style="161" customWidth="1"/>
    <col min="9988" max="9988" width="3.7109375" style="161" customWidth="1"/>
    <col min="9989" max="9989" width="5.140625" style="161" customWidth="1"/>
    <col min="9990" max="9990" width="4.5703125" style="161" customWidth="1"/>
    <col min="9991" max="9991" width="17" style="161" customWidth="1"/>
    <col min="9992" max="9992" width="2.7109375" style="161" customWidth="1"/>
    <col min="9993" max="9993" width="17.28515625" style="161" customWidth="1"/>
    <col min="9994" max="9994" width="4.5703125" style="161" customWidth="1"/>
    <col min="9995" max="9995" width="16.28515625" style="161" customWidth="1"/>
    <col min="9996" max="9996" width="2.7109375" style="161" customWidth="1"/>
    <col min="9997" max="9997" width="15.7109375" style="161" customWidth="1"/>
    <col min="9998" max="9998" width="4.5703125" style="161" customWidth="1"/>
    <col min="9999" max="9999" width="15.42578125" style="161" customWidth="1"/>
    <col min="10000" max="10000" width="2.7109375" style="161" customWidth="1"/>
    <col min="10001" max="10001" width="14.5703125" style="161" customWidth="1"/>
    <col min="10002" max="10002" width="3.7109375" style="161" customWidth="1"/>
    <col min="10003" max="10003" width="14.5703125" style="161" bestFit="1" customWidth="1"/>
    <col min="10004" max="10004" width="2.7109375" style="161" customWidth="1"/>
    <col min="10005" max="10005" width="12.85546875" style="161" customWidth="1"/>
    <col min="10006" max="10006" width="3.7109375" style="161" customWidth="1"/>
    <col min="10007" max="10007" width="13.5703125" style="161" customWidth="1"/>
    <col min="10008" max="10008" width="2.7109375" style="161" customWidth="1"/>
    <col min="10009" max="10009" width="12.85546875" style="161" customWidth="1"/>
    <col min="10010" max="10010" width="3.7109375" style="161" customWidth="1"/>
    <col min="10011" max="10011" width="15.7109375" style="161" customWidth="1"/>
    <col min="10012" max="10012" width="2.7109375" style="161" customWidth="1"/>
    <col min="10013" max="10013" width="11.85546875" style="161" customWidth="1"/>
    <col min="10014" max="10014" width="1.7109375" style="161" customWidth="1"/>
    <col min="10015" max="10015" width="14.42578125" style="161" bestFit="1" customWidth="1"/>
    <col min="10016" max="10016" width="34.7109375" style="161" customWidth="1"/>
    <col min="10017" max="10240" width="9.140625" style="161"/>
    <col min="10241" max="10242" width="10.7109375" style="161" customWidth="1"/>
    <col min="10243" max="10243" width="38.7109375" style="161" customWidth="1"/>
    <col min="10244" max="10244" width="3.7109375" style="161" customWidth="1"/>
    <col min="10245" max="10245" width="5.140625" style="161" customWidth="1"/>
    <col min="10246" max="10246" width="4.5703125" style="161" customWidth="1"/>
    <col min="10247" max="10247" width="17" style="161" customWidth="1"/>
    <col min="10248" max="10248" width="2.7109375" style="161" customWidth="1"/>
    <col min="10249" max="10249" width="17.28515625" style="161" customWidth="1"/>
    <col min="10250" max="10250" width="4.5703125" style="161" customWidth="1"/>
    <col min="10251" max="10251" width="16.28515625" style="161" customWidth="1"/>
    <col min="10252" max="10252" width="2.7109375" style="161" customWidth="1"/>
    <col min="10253" max="10253" width="15.7109375" style="161" customWidth="1"/>
    <col min="10254" max="10254" width="4.5703125" style="161" customWidth="1"/>
    <col min="10255" max="10255" width="15.42578125" style="161" customWidth="1"/>
    <col min="10256" max="10256" width="2.7109375" style="161" customWidth="1"/>
    <col min="10257" max="10257" width="14.5703125" style="161" customWidth="1"/>
    <col min="10258" max="10258" width="3.7109375" style="161" customWidth="1"/>
    <col min="10259" max="10259" width="14.5703125" style="161" bestFit="1" customWidth="1"/>
    <col min="10260" max="10260" width="2.7109375" style="161" customWidth="1"/>
    <col min="10261" max="10261" width="12.85546875" style="161" customWidth="1"/>
    <col min="10262" max="10262" width="3.7109375" style="161" customWidth="1"/>
    <col min="10263" max="10263" width="13.5703125" style="161" customWidth="1"/>
    <col min="10264" max="10264" width="2.7109375" style="161" customWidth="1"/>
    <col min="10265" max="10265" width="12.85546875" style="161" customWidth="1"/>
    <col min="10266" max="10266" width="3.7109375" style="161" customWidth="1"/>
    <col min="10267" max="10267" width="15.7109375" style="161" customWidth="1"/>
    <col min="10268" max="10268" width="2.7109375" style="161" customWidth="1"/>
    <col min="10269" max="10269" width="11.85546875" style="161" customWidth="1"/>
    <col min="10270" max="10270" width="1.7109375" style="161" customWidth="1"/>
    <col min="10271" max="10271" width="14.42578125" style="161" bestFit="1" customWidth="1"/>
    <col min="10272" max="10272" width="34.7109375" style="161" customWidth="1"/>
    <col min="10273" max="10496" width="9.140625" style="161"/>
    <col min="10497" max="10498" width="10.7109375" style="161" customWidth="1"/>
    <col min="10499" max="10499" width="38.7109375" style="161" customWidth="1"/>
    <col min="10500" max="10500" width="3.7109375" style="161" customWidth="1"/>
    <col min="10501" max="10501" width="5.140625" style="161" customWidth="1"/>
    <col min="10502" max="10502" width="4.5703125" style="161" customWidth="1"/>
    <col min="10503" max="10503" width="17" style="161" customWidth="1"/>
    <col min="10504" max="10504" width="2.7109375" style="161" customWidth="1"/>
    <col min="10505" max="10505" width="17.28515625" style="161" customWidth="1"/>
    <col min="10506" max="10506" width="4.5703125" style="161" customWidth="1"/>
    <col min="10507" max="10507" width="16.28515625" style="161" customWidth="1"/>
    <col min="10508" max="10508" width="2.7109375" style="161" customWidth="1"/>
    <col min="10509" max="10509" width="15.7109375" style="161" customWidth="1"/>
    <col min="10510" max="10510" width="4.5703125" style="161" customWidth="1"/>
    <col min="10511" max="10511" width="15.42578125" style="161" customWidth="1"/>
    <col min="10512" max="10512" width="2.7109375" style="161" customWidth="1"/>
    <col min="10513" max="10513" width="14.5703125" style="161" customWidth="1"/>
    <col min="10514" max="10514" width="3.7109375" style="161" customWidth="1"/>
    <col min="10515" max="10515" width="14.5703125" style="161" bestFit="1" customWidth="1"/>
    <col min="10516" max="10516" width="2.7109375" style="161" customWidth="1"/>
    <col min="10517" max="10517" width="12.85546875" style="161" customWidth="1"/>
    <col min="10518" max="10518" width="3.7109375" style="161" customWidth="1"/>
    <col min="10519" max="10519" width="13.5703125" style="161" customWidth="1"/>
    <col min="10520" max="10520" width="2.7109375" style="161" customWidth="1"/>
    <col min="10521" max="10521" width="12.85546875" style="161" customWidth="1"/>
    <col min="10522" max="10522" width="3.7109375" style="161" customWidth="1"/>
    <col min="10523" max="10523" width="15.7109375" style="161" customWidth="1"/>
    <col min="10524" max="10524" width="2.7109375" style="161" customWidth="1"/>
    <col min="10525" max="10525" width="11.85546875" style="161" customWidth="1"/>
    <col min="10526" max="10526" width="1.7109375" style="161" customWidth="1"/>
    <col min="10527" max="10527" width="14.42578125" style="161" bestFit="1" customWidth="1"/>
    <col min="10528" max="10528" width="34.7109375" style="161" customWidth="1"/>
    <col min="10529" max="10752" width="9.140625" style="161"/>
    <col min="10753" max="10754" width="10.7109375" style="161" customWidth="1"/>
    <col min="10755" max="10755" width="38.7109375" style="161" customWidth="1"/>
    <col min="10756" max="10756" width="3.7109375" style="161" customWidth="1"/>
    <col min="10757" max="10757" width="5.140625" style="161" customWidth="1"/>
    <col min="10758" max="10758" width="4.5703125" style="161" customWidth="1"/>
    <col min="10759" max="10759" width="17" style="161" customWidth="1"/>
    <col min="10760" max="10760" width="2.7109375" style="161" customWidth="1"/>
    <col min="10761" max="10761" width="17.28515625" style="161" customWidth="1"/>
    <col min="10762" max="10762" width="4.5703125" style="161" customWidth="1"/>
    <col min="10763" max="10763" width="16.28515625" style="161" customWidth="1"/>
    <col min="10764" max="10764" width="2.7109375" style="161" customWidth="1"/>
    <col min="10765" max="10765" width="15.7109375" style="161" customWidth="1"/>
    <col min="10766" max="10766" width="4.5703125" style="161" customWidth="1"/>
    <col min="10767" max="10767" width="15.42578125" style="161" customWidth="1"/>
    <col min="10768" max="10768" width="2.7109375" style="161" customWidth="1"/>
    <col min="10769" max="10769" width="14.5703125" style="161" customWidth="1"/>
    <col min="10770" max="10770" width="3.7109375" style="161" customWidth="1"/>
    <col min="10771" max="10771" width="14.5703125" style="161" bestFit="1" customWidth="1"/>
    <col min="10772" max="10772" width="2.7109375" style="161" customWidth="1"/>
    <col min="10773" max="10773" width="12.85546875" style="161" customWidth="1"/>
    <col min="10774" max="10774" width="3.7109375" style="161" customWidth="1"/>
    <col min="10775" max="10775" width="13.5703125" style="161" customWidth="1"/>
    <col min="10776" max="10776" width="2.7109375" style="161" customWidth="1"/>
    <col min="10777" max="10777" width="12.85546875" style="161" customWidth="1"/>
    <col min="10778" max="10778" width="3.7109375" style="161" customWidth="1"/>
    <col min="10779" max="10779" width="15.7109375" style="161" customWidth="1"/>
    <col min="10780" max="10780" width="2.7109375" style="161" customWidth="1"/>
    <col min="10781" max="10781" width="11.85546875" style="161" customWidth="1"/>
    <col min="10782" max="10782" width="1.7109375" style="161" customWidth="1"/>
    <col min="10783" max="10783" width="14.42578125" style="161" bestFit="1" customWidth="1"/>
    <col min="10784" max="10784" width="34.7109375" style="161" customWidth="1"/>
    <col min="10785" max="11008" width="9.140625" style="161"/>
    <col min="11009" max="11010" width="10.7109375" style="161" customWidth="1"/>
    <col min="11011" max="11011" width="38.7109375" style="161" customWidth="1"/>
    <col min="11012" max="11012" width="3.7109375" style="161" customWidth="1"/>
    <col min="11013" max="11013" width="5.140625" style="161" customWidth="1"/>
    <col min="11014" max="11014" width="4.5703125" style="161" customWidth="1"/>
    <col min="11015" max="11015" width="17" style="161" customWidth="1"/>
    <col min="11016" max="11016" width="2.7109375" style="161" customWidth="1"/>
    <col min="11017" max="11017" width="17.28515625" style="161" customWidth="1"/>
    <col min="11018" max="11018" width="4.5703125" style="161" customWidth="1"/>
    <col min="11019" max="11019" width="16.28515625" style="161" customWidth="1"/>
    <col min="11020" max="11020" width="2.7109375" style="161" customWidth="1"/>
    <col min="11021" max="11021" width="15.7109375" style="161" customWidth="1"/>
    <col min="11022" max="11022" width="4.5703125" style="161" customWidth="1"/>
    <col min="11023" max="11023" width="15.42578125" style="161" customWidth="1"/>
    <col min="11024" max="11024" width="2.7109375" style="161" customWidth="1"/>
    <col min="11025" max="11025" width="14.5703125" style="161" customWidth="1"/>
    <col min="11026" max="11026" width="3.7109375" style="161" customWidth="1"/>
    <col min="11027" max="11027" width="14.5703125" style="161" bestFit="1" customWidth="1"/>
    <col min="11028" max="11028" width="2.7109375" style="161" customWidth="1"/>
    <col min="11029" max="11029" width="12.85546875" style="161" customWidth="1"/>
    <col min="11030" max="11030" width="3.7109375" style="161" customWidth="1"/>
    <col min="11031" max="11031" width="13.5703125" style="161" customWidth="1"/>
    <col min="11032" max="11032" width="2.7109375" style="161" customWidth="1"/>
    <col min="11033" max="11033" width="12.85546875" style="161" customWidth="1"/>
    <col min="11034" max="11034" width="3.7109375" style="161" customWidth="1"/>
    <col min="11035" max="11035" width="15.7109375" style="161" customWidth="1"/>
    <col min="11036" max="11036" width="2.7109375" style="161" customWidth="1"/>
    <col min="11037" max="11037" width="11.85546875" style="161" customWidth="1"/>
    <col min="11038" max="11038" width="1.7109375" style="161" customWidth="1"/>
    <col min="11039" max="11039" width="14.42578125" style="161" bestFit="1" customWidth="1"/>
    <col min="11040" max="11040" width="34.7109375" style="161" customWidth="1"/>
    <col min="11041" max="11264" width="9.140625" style="161"/>
    <col min="11265" max="11266" width="10.7109375" style="161" customWidth="1"/>
    <col min="11267" max="11267" width="38.7109375" style="161" customWidth="1"/>
    <col min="11268" max="11268" width="3.7109375" style="161" customWidth="1"/>
    <col min="11269" max="11269" width="5.140625" style="161" customWidth="1"/>
    <col min="11270" max="11270" width="4.5703125" style="161" customWidth="1"/>
    <col min="11271" max="11271" width="17" style="161" customWidth="1"/>
    <col min="11272" max="11272" width="2.7109375" style="161" customWidth="1"/>
    <col min="11273" max="11273" width="17.28515625" style="161" customWidth="1"/>
    <col min="11274" max="11274" width="4.5703125" style="161" customWidth="1"/>
    <col min="11275" max="11275" width="16.28515625" style="161" customWidth="1"/>
    <col min="11276" max="11276" width="2.7109375" style="161" customWidth="1"/>
    <col min="11277" max="11277" width="15.7109375" style="161" customWidth="1"/>
    <col min="11278" max="11278" width="4.5703125" style="161" customWidth="1"/>
    <col min="11279" max="11279" width="15.42578125" style="161" customWidth="1"/>
    <col min="11280" max="11280" width="2.7109375" style="161" customWidth="1"/>
    <col min="11281" max="11281" width="14.5703125" style="161" customWidth="1"/>
    <col min="11282" max="11282" width="3.7109375" style="161" customWidth="1"/>
    <col min="11283" max="11283" width="14.5703125" style="161" bestFit="1" customWidth="1"/>
    <col min="11284" max="11284" width="2.7109375" style="161" customWidth="1"/>
    <col min="11285" max="11285" width="12.85546875" style="161" customWidth="1"/>
    <col min="11286" max="11286" width="3.7109375" style="161" customWidth="1"/>
    <col min="11287" max="11287" width="13.5703125" style="161" customWidth="1"/>
    <col min="11288" max="11288" width="2.7109375" style="161" customWidth="1"/>
    <col min="11289" max="11289" width="12.85546875" style="161" customWidth="1"/>
    <col min="11290" max="11290" width="3.7109375" style="161" customWidth="1"/>
    <col min="11291" max="11291" width="15.7109375" style="161" customWidth="1"/>
    <col min="11292" max="11292" width="2.7109375" style="161" customWidth="1"/>
    <col min="11293" max="11293" width="11.85546875" style="161" customWidth="1"/>
    <col min="11294" max="11294" width="1.7109375" style="161" customWidth="1"/>
    <col min="11295" max="11295" width="14.42578125" style="161" bestFit="1" customWidth="1"/>
    <col min="11296" max="11296" width="34.7109375" style="161" customWidth="1"/>
    <col min="11297" max="11520" width="9.140625" style="161"/>
    <col min="11521" max="11522" width="10.7109375" style="161" customWidth="1"/>
    <col min="11523" max="11523" width="38.7109375" style="161" customWidth="1"/>
    <col min="11524" max="11524" width="3.7109375" style="161" customWidth="1"/>
    <col min="11525" max="11525" width="5.140625" style="161" customWidth="1"/>
    <col min="11526" max="11526" width="4.5703125" style="161" customWidth="1"/>
    <col min="11527" max="11527" width="17" style="161" customWidth="1"/>
    <col min="11528" max="11528" width="2.7109375" style="161" customWidth="1"/>
    <col min="11529" max="11529" width="17.28515625" style="161" customWidth="1"/>
    <col min="11530" max="11530" width="4.5703125" style="161" customWidth="1"/>
    <col min="11531" max="11531" width="16.28515625" style="161" customWidth="1"/>
    <col min="11532" max="11532" width="2.7109375" style="161" customWidth="1"/>
    <col min="11533" max="11533" width="15.7109375" style="161" customWidth="1"/>
    <col min="11534" max="11534" width="4.5703125" style="161" customWidth="1"/>
    <col min="11535" max="11535" width="15.42578125" style="161" customWidth="1"/>
    <col min="11536" max="11536" width="2.7109375" style="161" customWidth="1"/>
    <col min="11537" max="11537" width="14.5703125" style="161" customWidth="1"/>
    <col min="11538" max="11538" width="3.7109375" style="161" customWidth="1"/>
    <col min="11539" max="11539" width="14.5703125" style="161" bestFit="1" customWidth="1"/>
    <col min="11540" max="11540" width="2.7109375" style="161" customWidth="1"/>
    <col min="11541" max="11541" width="12.85546875" style="161" customWidth="1"/>
    <col min="11542" max="11542" width="3.7109375" style="161" customWidth="1"/>
    <col min="11543" max="11543" width="13.5703125" style="161" customWidth="1"/>
    <col min="11544" max="11544" width="2.7109375" style="161" customWidth="1"/>
    <col min="11545" max="11545" width="12.85546875" style="161" customWidth="1"/>
    <col min="11546" max="11546" width="3.7109375" style="161" customWidth="1"/>
    <col min="11547" max="11547" width="15.7109375" style="161" customWidth="1"/>
    <col min="11548" max="11548" width="2.7109375" style="161" customWidth="1"/>
    <col min="11549" max="11549" width="11.85546875" style="161" customWidth="1"/>
    <col min="11550" max="11550" width="1.7109375" style="161" customWidth="1"/>
    <col min="11551" max="11551" width="14.42578125" style="161" bestFit="1" customWidth="1"/>
    <col min="11552" max="11552" width="34.7109375" style="161" customWidth="1"/>
    <col min="11553" max="11776" width="9.140625" style="161"/>
    <col min="11777" max="11778" width="10.7109375" style="161" customWidth="1"/>
    <col min="11779" max="11779" width="38.7109375" style="161" customWidth="1"/>
    <col min="11780" max="11780" width="3.7109375" style="161" customWidth="1"/>
    <col min="11781" max="11781" width="5.140625" style="161" customWidth="1"/>
    <col min="11782" max="11782" width="4.5703125" style="161" customWidth="1"/>
    <col min="11783" max="11783" width="17" style="161" customWidth="1"/>
    <col min="11784" max="11784" width="2.7109375" style="161" customWidth="1"/>
    <col min="11785" max="11785" width="17.28515625" style="161" customWidth="1"/>
    <col min="11786" max="11786" width="4.5703125" style="161" customWidth="1"/>
    <col min="11787" max="11787" width="16.28515625" style="161" customWidth="1"/>
    <col min="11788" max="11788" width="2.7109375" style="161" customWidth="1"/>
    <col min="11789" max="11789" width="15.7109375" style="161" customWidth="1"/>
    <col min="11790" max="11790" width="4.5703125" style="161" customWidth="1"/>
    <col min="11791" max="11791" width="15.42578125" style="161" customWidth="1"/>
    <col min="11792" max="11792" width="2.7109375" style="161" customWidth="1"/>
    <col min="11793" max="11793" width="14.5703125" style="161" customWidth="1"/>
    <col min="11794" max="11794" width="3.7109375" style="161" customWidth="1"/>
    <col min="11795" max="11795" width="14.5703125" style="161" bestFit="1" customWidth="1"/>
    <col min="11796" max="11796" width="2.7109375" style="161" customWidth="1"/>
    <col min="11797" max="11797" width="12.85546875" style="161" customWidth="1"/>
    <col min="11798" max="11798" width="3.7109375" style="161" customWidth="1"/>
    <col min="11799" max="11799" width="13.5703125" style="161" customWidth="1"/>
    <col min="11800" max="11800" width="2.7109375" style="161" customWidth="1"/>
    <col min="11801" max="11801" width="12.85546875" style="161" customWidth="1"/>
    <col min="11802" max="11802" width="3.7109375" style="161" customWidth="1"/>
    <col min="11803" max="11803" width="15.7109375" style="161" customWidth="1"/>
    <col min="11804" max="11804" width="2.7109375" style="161" customWidth="1"/>
    <col min="11805" max="11805" width="11.85546875" style="161" customWidth="1"/>
    <col min="11806" max="11806" width="1.7109375" style="161" customWidth="1"/>
    <col min="11807" max="11807" width="14.42578125" style="161" bestFit="1" customWidth="1"/>
    <col min="11808" max="11808" width="34.7109375" style="161" customWidth="1"/>
    <col min="11809" max="12032" width="9.140625" style="161"/>
    <col min="12033" max="12034" width="10.7109375" style="161" customWidth="1"/>
    <col min="12035" max="12035" width="38.7109375" style="161" customWidth="1"/>
    <col min="12036" max="12036" width="3.7109375" style="161" customWidth="1"/>
    <col min="12037" max="12037" width="5.140625" style="161" customWidth="1"/>
    <col min="12038" max="12038" width="4.5703125" style="161" customWidth="1"/>
    <col min="12039" max="12039" width="17" style="161" customWidth="1"/>
    <col min="12040" max="12040" width="2.7109375" style="161" customWidth="1"/>
    <col min="12041" max="12041" width="17.28515625" style="161" customWidth="1"/>
    <col min="12042" max="12042" width="4.5703125" style="161" customWidth="1"/>
    <col min="12043" max="12043" width="16.28515625" style="161" customWidth="1"/>
    <col min="12044" max="12044" width="2.7109375" style="161" customWidth="1"/>
    <col min="12045" max="12045" width="15.7109375" style="161" customWidth="1"/>
    <col min="12046" max="12046" width="4.5703125" style="161" customWidth="1"/>
    <col min="12047" max="12047" width="15.42578125" style="161" customWidth="1"/>
    <col min="12048" max="12048" width="2.7109375" style="161" customWidth="1"/>
    <col min="12049" max="12049" width="14.5703125" style="161" customWidth="1"/>
    <col min="12050" max="12050" width="3.7109375" style="161" customWidth="1"/>
    <col min="12051" max="12051" width="14.5703125" style="161" bestFit="1" customWidth="1"/>
    <col min="12052" max="12052" width="2.7109375" style="161" customWidth="1"/>
    <col min="12053" max="12053" width="12.85546875" style="161" customWidth="1"/>
    <col min="12054" max="12054" width="3.7109375" style="161" customWidth="1"/>
    <col min="12055" max="12055" width="13.5703125" style="161" customWidth="1"/>
    <col min="12056" max="12056" width="2.7109375" style="161" customWidth="1"/>
    <col min="12057" max="12057" width="12.85546875" style="161" customWidth="1"/>
    <col min="12058" max="12058" width="3.7109375" style="161" customWidth="1"/>
    <col min="12059" max="12059" width="15.7109375" style="161" customWidth="1"/>
    <col min="12060" max="12060" width="2.7109375" style="161" customWidth="1"/>
    <col min="12061" max="12061" width="11.85546875" style="161" customWidth="1"/>
    <col min="12062" max="12062" width="1.7109375" style="161" customWidth="1"/>
    <col min="12063" max="12063" width="14.42578125" style="161" bestFit="1" customWidth="1"/>
    <col min="12064" max="12064" width="34.7109375" style="161" customWidth="1"/>
    <col min="12065" max="12288" width="9.140625" style="161"/>
    <col min="12289" max="12290" width="10.7109375" style="161" customWidth="1"/>
    <col min="12291" max="12291" width="38.7109375" style="161" customWidth="1"/>
    <col min="12292" max="12292" width="3.7109375" style="161" customWidth="1"/>
    <col min="12293" max="12293" width="5.140625" style="161" customWidth="1"/>
    <col min="12294" max="12294" width="4.5703125" style="161" customWidth="1"/>
    <col min="12295" max="12295" width="17" style="161" customWidth="1"/>
    <col min="12296" max="12296" width="2.7109375" style="161" customWidth="1"/>
    <col min="12297" max="12297" width="17.28515625" style="161" customWidth="1"/>
    <col min="12298" max="12298" width="4.5703125" style="161" customWidth="1"/>
    <col min="12299" max="12299" width="16.28515625" style="161" customWidth="1"/>
    <col min="12300" max="12300" width="2.7109375" style="161" customWidth="1"/>
    <col min="12301" max="12301" width="15.7109375" style="161" customWidth="1"/>
    <col min="12302" max="12302" width="4.5703125" style="161" customWidth="1"/>
    <col min="12303" max="12303" width="15.42578125" style="161" customWidth="1"/>
    <col min="12304" max="12304" width="2.7109375" style="161" customWidth="1"/>
    <col min="12305" max="12305" width="14.5703125" style="161" customWidth="1"/>
    <col min="12306" max="12306" width="3.7109375" style="161" customWidth="1"/>
    <col min="12307" max="12307" width="14.5703125" style="161" bestFit="1" customWidth="1"/>
    <col min="12308" max="12308" width="2.7109375" style="161" customWidth="1"/>
    <col min="12309" max="12309" width="12.85546875" style="161" customWidth="1"/>
    <col min="12310" max="12310" width="3.7109375" style="161" customWidth="1"/>
    <col min="12311" max="12311" width="13.5703125" style="161" customWidth="1"/>
    <col min="12312" max="12312" width="2.7109375" style="161" customWidth="1"/>
    <col min="12313" max="12313" width="12.85546875" style="161" customWidth="1"/>
    <col min="12314" max="12314" width="3.7109375" style="161" customWidth="1"/>
    <col min="12315" max="12315" width="15.7109375" style="161" customWidth="1"/>
    <col min="12316" max="12316" width="2.7109375" style="161" customWidth="1"/>
    <col min="12317" max="12317" width="11.85546875" style="161" customWidth="1"/>
    <col min="12318" max="12318" width="1.7109375" style="161" customWidth="1"/>
    <col min="12319" max="12319" width="14.42578125" style="161" bestFit="1" customWidth="1"/>
    <col min="12320" max="12320" width="34.7109375" style="161" customWidth="1"/>
    <col min="12321" max="12544" width="9.140625" style="161"/>
    <col min="12545" max="12546" width="10.7109375" style="161" customWidth="1"/>
    <col min="12547" max="12547" width="38.7109375" style="161" customWidth="1"/>
    <col min="12548" max="12548" width="3.7109375" style="161" customWidth="1"/>
    <col min="12549" max="12549" width="5.140625" style="161" customWidth="1"/>
    <col min="12550" max="12550" width="4.5703125" style="161" customWidth="1"/>
    <col min="12551" max="12551" width="17" style="161" customWidth="1"/>
    <col min="12552" max="12552" width="2.7109375" style="161" customWidth="1"/>
    <col min="12553" max="12553" width="17.28515625" style="161" customWidth="1"/>
    <col min="12554" max="12554" width="4.5703125" style="161" customWidth="1"/>
    <col min="12555" max="12555" width="16.28515625" style="161" customWidth="1"/>
    <col min="12556" max="12556" width="2.7109375" style="161" customWidth="1"/>
    <col min="12557" max="12557" width="15.7109375" style="161" customWidth="1"/>
    <col min="12558" max="12558" width="4.5703125" style="161" customWidth="1"/>
    <col min="12559" max="12559" width="15.42578125" style="161" customWidth="1"/>
    <col min="12560" max="12560" width="2.7109375" style="161" customWidth="1"/>
    <col min="12561" max="12561" width="14.5703125" style="161" customWidth="1"/>
    <col min="12562" max="12562" width="3.7109375" style="161" customWidth="1"/>
    <col min="12563" max="12563" width="14.5703125" style="161" bestFit="1" customWidth="1"/>
    <col min="12564" max="12564" width="2.7109375" style="161" customWidth="1"/>
    <col min="12565" max="12565" width="12.85546875" style="161" customWidth="1"/>
    <col min="12566" max="12566" width="3.7109375" style="161" customWidth="1"/>
    <col min="12567" max="12567" width="13.5703125" style="161" customWidth="1"/>
    <col min="12568" max="12568" width="2.7109375" style="161" customWidth="1"/>
    <col min="12569" max="12569" width="12.85546875" style="161" customWidth="1"/>
    <col min="12570" max="12570" width="3.7109375" style="161" customWidth="1"/>
    <col min="12571" max="12571" width="15.7109375" style="161" customWidth="1"/>
    <col min="12572" max="12572" width="2.7109375" style="161" customWidth="1"/>
    <col min="12573" max="12573" width="11.85546875" style="161" customWidth="1"/>
    <col min="12574" max="12574" width="1.7109375" style="161" customWidth="1"/>
    <col min="12575" max="12575" width="14.42578125" style="161" bestFit="1" customWidth="1"/>
    <col min="12576" max="12576" width="34.7109375" style="161" customWidth="1"/>
    <col min="12577" max="12800" width="9.140625" style="161"/>
    <col min="12801" max="12802" width="10.7109375" style="161" customWidth="1"/>
    <col min="12803" max="12803" width="38.7109375" style="161" customWidth="1"/>
    <col min="12804" max="12804" width="3.7109375" style="161" customWidth="1"/>
    <col min="12805" max="12805" width="5.140625" style="161" customWidth="1"/>
    <col min="12806" max="12806" width="4.5703125" style="161" customWidth="1"/>
    <col min="12807" max="12807" width="17" style="161" customWidth="1"/>
    <col min="12808" max="12808" width="2.7109375" style="161" customWidth="1"/>
    <col min="12809" max="12809" width="17.28515625" style="161" customWidth="1"/>
    <col min="12810" max="12810" width="4.5703125" style="161" customWidth="1"/>
    <col min="12811" max="12811" width="16.28515625" style="161" customWidth="1"/>
    <col min="12812" max="12812" width="2.7109375" style="161" customWidth="1"/>
    <col min="12813" max="12813" width="15.7109375" style="161" customWidth="1"/>
    <col min="12814" max="12814" width="4.5703125" style="161" customWidth="1"/>
    <col min="12815" max="12815" width="15.42578125" style="161" customWidth="1"/>
    <col min="12816" max="12816" width="2.7109375" style="161" customWidth="1"/>
    <col min="12817" max="12817" width="14.5703125" style="161" customWidth="1"/>
    <col min="12818" max="12818" width="3.7109375" style="161" customWidth="1"/>
    <col min="12819" max="12819" width="14.5703125" style="161" bestFit="1" customWidth="1"/>
    <col min="12820" max="12820" width="2.7109375" style="161" customWidth="1"/>
    <col min="12821" max="12821" width="12.85546875" style="161" customWidth="1"/>
    <col min="12822" max="12822" width="3.7109375" style="161" customWidth="1"/>
    <col min="12823" max="12823" width="13.5703125" style="161" customWidth="1"/>
    <col min="12824" max="12824" width="2.7109375" style="161" customWidth="1"/>
    <col min="12825" max="12825" width="12.85546875" style="161" customWidth="1"/>
    <col min="12826" max="12826" width="3.7109375" style="161" customWidth="1"/>
    <col min="12827" max="12827" width="15.7109375" style="161" customWidth="1"/>
    <col min="12828" max="12828" width="2.7109375" style="161" customWidth="1"/>
    <col min="12829" max="12829" width="11.85546875" style="161" customWidth="1"/>
    <col min="12830" max="12830" width="1.7109375" style="161" customWidth="1"/>
    <col min="12831" max="12831" width="14.42578125" style="161" bestFit="1" customWidth="1"/>
    <col min="12832" max="12832" width="34.7109375" style="161" customWidth="1"/>
    <col min="12833" max="13056" width="9.140625" style="161"/>
    <col min="13057" max="13058" width="10.7109375" style="161" customWidth="1"/>
    <col min="13059" max="13059" width="38.7109375" style="161" customWidth="1"/>
    <col min="13060" max="13060" width="3.7109375" style="161" customWidth="1"/>
    <col min="13061" max="13061" width="5.140625" style="161" customWidth="1"/>
    <col min="13062" max="13062" width="4.5703125" style="161" customWidth="1"/>
    <col min="13063" max="13063" width="17" style="161" customWidth="1"/>
    <col min="13064" max="13064" width="2.7109375" style="161" customWidth="1"/>
    <col min="13065" max="13065" width="17.28515625" style="161" customWidth="1"/>
    <col min="13066" max="13066" width="4.5703125" style="161" customWidth="1"/>
    <col min="13067" max="13067" width="16.28515625" style="161" customWidth="1"/>
    <col min="13068" max="13068" width="2.7109375" style="161" customWidth="1"/>
    <col min="13069" max="13069" width="15.7109375" style="161" customWidth="1"/>
    <col min="13070" max="13070" width="4.5703125" style="161" customWidth="1"/>
    <col min="13071" max="13071" width="15.42578125" style="161" customWidth="1"/>
    <col min="13072" max="13072" width="2.7109375" style="161" customWidth="1"/>
    <col min="13073" max="13073" width="14.5703125" style="161" customWidth="1"/>
    <col min="13074" max="13074" width="3.7109375" style="161" customWidth="1"/>
    <col min="13075" max="13075" width="14.5703125" style="161" bestFit="1" customWidth="1"/>
    <col min="13076" max="13076" width="2.7109375" style="161" customWidth="1"/>
    <col min="13077" max="13077" width="12.85546875" style="161" customWidth="1"/>
    <col min="13078" max="13078" width="3.7109375" style="161" customWidth="1"/>
    <col min="13079" max="13079" width="13.5703125" style="161" customWidth="1"/>
    <col min="13080" max="13080" width="2.7109375" style="161" customWidth="1"/>
    <col min="13081" max="13081" width="12.85546875" style="161" customWidth="1"/>
    <col min="13082" max="13082" width="3.7109375" style="161" customWidth="1"/>
    <col min="13083" max="13083" width="15.7109375" style="161" customWidth="1"/>
    <col min="13084" max="13084" width="2.7109375" style="161" customWidth="1"/>
    <col min="13085" max="13085" width="11.85546875" style="161" customWidth="1"/>
    <col min="13086" max="13086" width="1.7109375" style="161" customWidth="1"/>
    <col min="13087" max="13087" width="14.42578125" style="161" bestFit="1" customWidth="1"/>
    <col min="13088" max="13088" width="34.7109375" style="161" customWidth="1"/>
    <col min="13089" max="13312" width="9.140625" style="161"/>
    <col min="13313" max="13314" width="10.7109375" style="161" customWidth="1"/>
    <col min="13315" max="13315" width="38.7109375" style="161" customWidth="1"/>
    <col min="13316" max="13316" width="3.7109375" style="161" customWidth="1"/>
    <col min="13317" max="13317" width="5.140625" style="161" customWidth="1"/>
    <col min="13318" max="13318" width="4.5703125" style="161" customWidth="1"/>
    <col min="13319" max="13319" width="17" style="161" customWidth="1"/>
    <col min="13320" max="13320" width="2.7109375" style="161" customWidth="1"/>
    <col min="13321" max="13321" width="17.28515625" style="161" customWidth="1"/>
    <col min="13322" max="13322" width="4.5703125" style="161" customWidth="1"/>
    <col min="13323" max="13323" width="16.28515625" style="161" customWidth="1"/>
    <col min="13324" max="13324" width="2.7109375" style="161" customWidth="1"/>
    <col min="13325" max="13325" width="15.7109375" style="161" customWidth="1"/>
    <col min="13326" max="13326" width="4.5703125" style="161" customWidth="1"/>
    <col min="13327" max="13327" width="15.42578125" style="161" customWidth="1"/>
    <col min="13328" max="13328" width="2.7109375" style="161" customWidth="1"/>
    <col min="13329" max="13329" width="14.5703125" style="161" customWidth="1"/>
    <col min="13330" max="13330" width="3.7109375" style="161" customWidth="1"/>
    <col min="13331" max="13331" width="14.5703125" style="161" bestFit="1" customWidth="1"/>
    <col min="13332" max="13332" width="2.7109375" style="161" customWidth="1"/>
    <col min="13333" max="13333" width="12.85546875" style="161" customWidth="1"/>
    <col min="13334" max="13334" width="3.7109375" style="161" customWidth="1"/>
    <col min="13335" max="13335" width="13.5703125" style="161" customWidth="1"/>
    <col min="13336" max="13336" width="2.7109375" style="161" customWidth="1"/>
    <col min="13337" max="13337" width="12.85546875" style="161" customWidth="1"/>
    <col min="13338" max="13338" width="3.7109375" style="161" customWidth="1"/>
    <col min="13339" max="13339" width="15.7109375" style="161" customWidth="1"/>
    <col min="13340" max="13340" width="2.7109375" style="161" customWidth="1"/>
    <col min="13341" max="13341" width="11.85546875" style="161" customWidth="1"/>
    <col min="13342" max="13342" width="1.7109375" style="161" customWidth="1"/>
    <col min="13343" max="13343" width="14.42578125" style="161" bestFit="1" customWidth="1"/>
    <col min="13344" max="13344" width="34.7109375" style="161" customWidth="1"/>
    <col min="13345" max="13568" width="9.140625" style="161"/>
    <col min="13569" max="13570" width="10.7109375" style="161" customWidth="1"/>
    <col min="13571" max="13571" width="38.7109375" style="161" customWidth="1"/>
    <col min="13572" max="13572" width="3.7109375" style="161" customWidth="1"/>
    <col min="13573" max="13573" width="5.140625" style="161" customWidth="1"/>
    <col min="13574" max="13574" width="4.5703125" style="161" customWidth="1"/>
    <col min="13575" max="13575" width="17" style="161" customWidth="1"/>
    <col min="13576" max="13576" width="2.7109375" style="161" customWidth="1"/>
    <col min="13577" max="13577" width="17.28515625" style="161" customWidth="1"/>
    <col min="13578" max="13578" width="4.5703125" style="161" customWidth="1"/>
    <col min="13579" max="13579" width="16.28515625" style="161" customWidth="1"/>
    <col min="13580" max="13580" width="2.7109375" style="161" customWidth="1"/>
    <col min="13581" max="13581" width="15.7109375" style="161" customWidth="1"/>
    <col min="13582" max="13582" width="4.5703125" style="161" customWidth="1"/>
    <col min="13583" max="13583" width="15.42578125" style="161" customWidth="1"/>
    <col min="13584" max="13584" width="2.7109375" style="161" customWidth="1"/>
    <col min="13585" max="13585" width="14.5703125" style="161" customWidth="1"/>
    <col min="13586" max="13586" width="3.7109375" style="161" customWidth="1"/>
    <col min="13587" max="13587" width="14.5703125" style="161" bestFit="1" customWidth="1"/>
    <col min="13588" max="13588" width="2.7109375" style="161" customWidth="1"/>
    <col min="13589" max="13589" width="12.85546875" style="161" customWidth="1"/>
    <col min="13590" max="13590" width="3.7109375" style="161" customWidth="1"/>
    <col min="13591" max="13591" width="13.5703125" style="161" customWidth="1"/>
    <col min="13592" max="13592" width="2.7109375" style="161" customWidth="1"/>
    <col min="13593" max="13593" width="12.85546875" style="161" customWidth="1"/>
    <col min="13594" max="13594" width="3.7109375" style="161" customWidth="1"/>
    <col min="13595" max="13595" width="15.7109375" style="161" customWidth="1"/>
    <col min="13596" max="13596" width="2.7109375" style="161" customWidth="1"/>
    <col min="13597" max="13597" width="11.85546875" style="161" customWidth="1"/>
    <col min="13598" max="13598" width="1.7109375" style="161" customWidth="1"/>
    <col min="13599" max="13599" width="14.42578125" style="161" bestFit="1" customWidth="1"/>
    <col min="13600" max="13600" width="34.7109375" style="161" customWidth="1"/>
    <col min="13601" max="13824" width="9.140625" style="161"/>
    <col min="13825" max="13826" width="10.7109375" style="161" customWidth="1"/>
    <col min="13827" max="13827" width="38.7109375" style="161" customWidth="1"/>
    <col min="13828" max="13828" width="3.7109375" style="161" customWidth="1"/>
    <col min="13829" max="13829" width="5.140625" style="161" customWidth="1"/>
    <col min="13830" max="13830" width="4.5703125" style="161" customWidth="1"/>
    <col min="13831" max="13831" width="17" style="161" customWidth="1"/>
    <col min="13832" max="13832" width="2.7109375" style="161" customWidth="1"/>
    <col min="13833" max="13833" width="17.28515625" style="161" customWidth="1"/>
    <col min="13834" max="13834" width="4.5703125" style="161" customWidth="1"/>
    <col min="13835" max="13835" width="16.28515625" style="161" customWidth="1"/>
    <col min="13836" max="13836" width="2.7109375" style="161" customWidth="1"/>
    <col min="13837" max="13837" width="15.7109375" style="161" customWidth="1"/>
    <col min="13838" max="13838" width="4.5703125" style="161" customWidth="1"/>
    <col min="13839" max="13839" width="15.42578125" style="161" customWidth="1"/>
    <col min="13840" max="13840" width="2.7109375" style="161" customWidth="1"/>
    <col min="13841" max="13841" width="14.5703125" style="161" customWidth="1"/>
    <col min="13842" max="13842" width="3.7109375" style="161" customWidth="1"/>
    <col min="13843" max="13843" width="14.5703125" style="161" bestFit="1" customWidth="1"/>
    <col min="13844" max="13844" width="2.7109375" style="161" customWidth="1"/>
    <col min="13845" max="13845" width="12.85546875" style="161" customWidth="1"/>
    <col min="13846" max="13846" width="3.7109375" style="161" customWidth="1"/>
    <col min="13847" max="13847" width="13.5703125" style="161" customWidth="1"/>
    <col min="13848" max="13848" width="2.7109375" style="161" customWidth="1"/>
    <col min="13849" max="13849" width="12.85546875" style="161" customWidth="1"/>
    <col min="13850" max="13850" width="3.7109375" style="161" customWidth="1"/>
    <col min="13851" max="13851" width="15.7109375" style="161" customWidth="1"/>
    <col min="13852" max="13852" width="2.7109375" style="161" customWidth="1"/>
    <col min="13853" max="13853" width="11.85546875" style="161" customWidth="1"/>
    <col min="13854" max="13854" width="1.7109375" style="161" customWidth="1"/>
    <col min="13855" max="13855" width="14.42578125" style="161" bestFit="1" customWidth="1"/>
    <col min="13856" max="13856" width="34.7109375" style="161" customWidth="1"/>
    <col min="13857" max="14080" width="9.140625" style="161"/>
    <col min="14081" max="14082" width="10.7109375" style="161" customWidth="1"/>
    <col min="14083" max="14083" width="38.7109375" style="161" customWidth="1"/>
    <col min="14084" max="14084" width="3.7109375" style="161" customWidth="1"/>
    <col min="14085" max="14085" width="5.140625" style="161" customWidth="1"/>
    <col min="14086" max="14086" width="4.5703125" style="161" customWidth="1"/>
    <col min="14087" max="14087" width="17" style="161" customWidth="1"/>
    <col min="14088" max="14088" width="2.7109375" style="161" customWidth="1"/>
    <col min="14089" max="14089" width="17.28515625" style="161" customWidth="1"/>
    <col min="14090" max="14090" width="4.5703125" style="161" customWidth="1"/>
    <col min="14091" max="14091" width="16.28515625" style="161" customWidth="1"/>
    <col min="14092" max="14092" width="2.7109375" style="161" customWidth="1"/>
    <col min="14093" max="14093" width="15.7109375" style="161" customWidth="1"/>
    <col min="14094" max="14094" width="4.5703125" style="161" customWidth="1"/>
    <col min="14095" max="14095" width="15.42578125" style="161" customWidth="1"/>
    <col min="14096" max="14096" width="2.7109375" style="161" customWidth="1"/>
    <col min="14097" max="14097" width="14.5703125" style="161" customWidth="1"/>
    <col min="14098" max="14098" width="3.7109375" style="161" customWidth="1"/>
    <col min="14099" max="14099" width="14.5703125" style="161" bestFit="1" customWidth="1"/>
    <col min="14100" max="14100" width="2.7109375" style="161" customWidth="1"/>
    <col min="14101" max="14101" width="12.85546875" style="161" customWidth="1"/>
    <col min="14102" max="14102" width="3.7109375" style="161" customWidth="1"/>
    <col min="14103" max="14103" width="13.5703125" style="161" customWidth="1"/>
    <col min="14104" max="14104" width="2.7109375" style="161" customWidth="1"/>
    <col min="14105" max="14105" width="12.85546875" style="161" customWidth="1"/>
    <col min="14106" max="14106" width="3.7109375" style="161" customWidth="1"/>
    <col min="14107" max="14107" width="15.7109375" style="161" customWidth="1"/>
    <col min="14108" max="14108" width="2.7109375" style="161" customWidth="1"/>
    <col min="14109" max="14109" width="11.85546875" style="161" customWidth="1"/>
    <col min="14110" max="14110" width="1.7109375" style="161" customWidth="1"/>
    <col min="14111" max="14111" width="14.42578125" style="161" bestFit="1" customWidth="1"/>
    <col min="14112" max="14112" width="34.7109375" style="161" customWidth="1"/>
    <col min="14113" max="14336" width="9.140625" style="161"/>
    <col min="14337" max="14338" width="10.7109375" style="161" customWidth="1"/>
    <col min="14339" max="14339" width="38.7109375" style="161" customWidth="1"/>
    <col min="14340" max="14340" width="3.7109375" style="161" customWidth="1"/>
    <col min="14341" max="14341" width="5.140625" style="161" customWidth="1"/>
    <col min="14342" max="14342" width="4.5703125" style="161" customWidth="1"/>
    <col min="14343" max="14343" width="17" style="161" customWidth="1"/>
    <col min="14344" max="14344" width="2.7109375" style="161" customWidth="1"/>
    <col min="14345" max="14345" width="17.28515625" style="161" customWidth="1"/>
    <col min="14346" max="14346" width="4.5703125" style="161" customWidth="1"/>
    <col min="14347" max="14347" width="16.28515625" style="161" customWidth="1"/>
    <col min="14348" max="14348" width="2.7109375" style="161" customWidth="1"/>
    <col min="14349" max="14349" width="15.7109375" style="161" customWidth="1"/>
    <col min="14350" max="14350" width="4.5703125" style="161" customWidth="1"/>
    <col min="14351" max="14351" width="15.42578125" style="161" customWidth="1"/>
    <col min="14352" max="14352" width="2.7109375" style="161" customWidth="1"/>
    <col min="14353" max="14353" width="14.5703125" style="161" customWidth="1"/>
    <col min="14354" max="14354" width="3.7109375" style="161" customWidth="1"/>
    <col min="14355" max="14355" width="14.5703125" style="161" bestFit="1" customWidth="1"/>
    <col min="14356" max="14356" width="2.7109375" style="161" customWidth="1"/>
    <col min="14357" max="14357" width="12.85546875" style="161" customWidth="1"/>
    <col min="14358" max="14358" width="3.7109375" style="161" customWidth="1"/>
    <col min="14359" max="14359" width="13.5703125" style="161" customWidth="1"/>
    <col min="14360" max="14360" width="2.7109375" style="161" customWidth="1"/>
    <col min="14361" max="14361" width="12.85546875" style="161" customWidth="1"/>
    <col min="14362" max="14362" width="3.7109375" style="161" customWidth="1"/>
    <col min="14363" max="14363" width="15.7109375" style="161" customWidth="1"/>
    <col min="14364" max="14364" width="2.7109375" style="161" customWidth="1"/>
    <col min="14365" max="14365" width="11.85546875" style="161" customWidth="1"/>
    <col min="14366" max="14366" width="1.7109375" style="161" customWidth="1"/>
    <col min="14367" max="14367" width="14.42578125" style="161" bestFit="1" customWidth="1"/>
    <col min="14368" max="14368" width="34.7109375" style="161" customWidth="1"/>
    <col min="14369" max="14592" width="9.140625" style="161"/>
    <col min="14593" max="14594" width="10.7109375" style="161" customWidth="1"/>
    <col min="14595" max="14595" width="38.7109375" style="161" customWidth="1"/>
    <col min="14596" max="14596" width="3.7109375" style="161" customWidth="1"/>
    <col min="14597" max="14597" width="5.140625" style="161" customWidth="1"/>
    <col min="14598" max="14598" width="4.5703125" style="161" customWidth="1"/>
    <col min="14599" max="14599" width="17" style="161" customWidth="1"/>
    <col min="14600" max="14600" width="2.7109375" style="161" customWidth="1"/>
    <col min="14601" max="14601" width="17.28515625" style="161" customWidth="1"/>
    <col min="14602" max="14602" width="4.5703125" style="161" customWidth="1"/>
    <col min="14603" max="14603" width="16.28515625" style="161" customWidth="1"/>
    <col min="14604" max="14604" width="2.7109375" style="161" customWidth="1"/>
    <col min="14605" max="14605" width="15.7109375" style="161" customWidth="1"/>
    <col min="14606" max="14606" width="4.5703125" style="161" customWidth="1"/>
    <col min="14607" max="14607" width="15.42578125" style="161" customWidth="1"/>
    <col min="14608" max="14608" width="2.7109375" style="161" customWidth="1"/>
    <col min="14609" max="14609" width="14.5703125" style="161" customWidth="1"/>
    <col min="14610" max="14610" width="3.7109375" style="161" customWidth="1"/>
    <col min="14611" max="14611" width="14.5703125" style="161" bestFit="1" customWidth="1"/>
    <col min="14612" max="14612" width="2.7109375" style="161" customWidth="1"/>
    <col min="14613" max="14613" width="12.85546875" style="161" customWidth="1"/>
    <col min="14614" max="14614" width="3.7109375" style="161" customWidth="1"/>
    <col min="14615" max="14615" width="13.5703125" style="161" customWidth="1"/>
    <col min="14616" max="14616" width="2.7109375" style="161" customWidth="1"/>
    <col min="14617" max="14617" width="12.85546875" style="161" customWidth="1"/>
    <col min="14618" max="14618" width="3.7109375" style="161" customWidth="1"/>
    <col min="14619" max="14619" width="15.7109375" style="161" customWidth="1"/>
    <col min="14620" max="14620" width="2.7109375" style="161" customWidth="1"/>
    <col min="14621" max="14621" width="11.85546875" style="161" customWidth="1"/>
    <col min="14622" max="14622" width="1.7109375" style="161" customWidth="1"/>
    <col min="14623" max="14623" width="14.42578125" style="161" bestFit="1" customWidth="1"/>
    <col min="14624" max="14624" width="34.7109375" style="161" customWidth="1"/>
    <col min="14625" max="14848" width="9.140625" style="161"/>
    <col min="14849" max="14850" width="10.7109375" style="161" customWidth="1"/>
    <col min="14851" max="14851" width="38.7109375" style="161" customWidth="1"/>
    <col min="14852" max="14852" width="3.7109375" style="161" customWidth="1"/>
    <col min="14853" max="14853" width="5.140625" style="161" customWidth="1"/>
    <col min="14854" max="14854" width="4.5703125" style="161" customWidth="1"/>
    <col min="14855" max="14855" width="17" style="161" customWidth="1"/>
    <col min="14856" max="14856" width="2.7109375" style="161" customWidth="1"/>
    <col min="14857" max="14857" width="17.28515625" style="161" customWidth="1"/>
    <col min="14858" max="14858" width="4.5703125" style="161" customWidth="1"/>
    <col min="14859" max="14859" width="16.28515625" style="161" customWidth="1"/>
    <col min="14860" max="14860" width="2.7109375" style="161" customWidth="1"/>
    <col min="14861" max="14861" width="15.7109375" style="161" customWidth="1"/>
    <col min="14862" max="14862" width="4.5703125" style="161" customWidth="1"/>
    <col min="14863" max="14863" width="15.42578125" style="161" customWidth="1"/>
    <col min="14864" max="14864" width="2.7109375" style="161" customWidth="1"/>
    <col min="14865" max="14865" width="14.5703125" style="161" customWidth="1"/>
    <col min="14866" max="14866" width="3.7109375" style="161" customWidth="1"/>
    <col min="14867" max="14867" width="14.5703125" style="161" bestFit="1" customWidth="1"/>
    <col min="14868" max="14868" width="2.7109375" style="161" customWidth="1"/>
    <col min="14869" max="14869" width="12.85546875" style="161" customWidth="1"/>
    <col min="14870" max="14870" width="3.7109375" style="161" customWidth="1"/>
    <col min="14871" max="14871" width="13.5703125" style="161" customWidth="1"/>
    <col min="14872" max="14872" width="2.7109375" style="161" customWidth="1"/>
    <col min="14873" max="14873" width="12.85546875" style="161" customWidth="1"/>
    <col min="14874" max="14874" width="3.7109375" style="161" customWidth="1"/>
    <col min="14875" max="14875" width="15.7109375" style="161" customWidth="1"/>
    <col min="14876" max="14876" width="2.7109375" style="161" customWidth="1"/>
    <col min="14877" max="14877" width="11.85546875" style="161" customWidth="1"/>
    <col min="14878" max="14878" width="1.7109375" style="161" customWidth="1"/>
    <col min="14879" max="14879" width="14.42578125" style="161" bestFit="1" customWidth="1"/>
    <col min="14880" max="14880" width="34.7109375" style="161" customWidth="1"/>
    <col min="14881" max="15104" width="9.140625" style="161"/>
    <col min="15105" max="15106" width="10.7109375" style="161" customWidth="1"/>
    <col min="15107" max="15107" width="38.7109375" style="161" customWidth="1"/>
    <col min="15108" max="15108" width="3.7109375" style="161" customWidth="1"/>
    <col min="15109" max="15109" width="5.140625" style="161" customWidth="1"/>
    <col min="15110" max="15110" width="4.5703125" style="161" customWidth="1"/>
    <col min="15111" max="15111" width="17" style="161" customWidth="1"/>
    <col min="15112" max="15112" width="2.7109375" style="161" customWidth="1"/>
    <col min="15113" max="15113" width="17.28515625" style="161" customWidth="1"/>
    <col min="15114" max="15114" width="4.5703125" style="161" customWidth="1"/>
    <col min="15115" max="15115" width="16.28515625" style="161" customWidth="1"/>
    <col min="15116" max="15116" width="2.7109375" style="161" customWidth="1"/>
    <col min="15117" max="15117" width="15.7109375" style="161" customWidth="1"/>
    <col min="15118" max="15118" width="4.5703125" style="161" customWidth="1"/>
    <col min="15119" max="15119" width="15.42578125" style="161" customWidth="1"/>
    <col min="15120" max="15120" width="2.7109375" style="161" customWidth="1"/>
    <col min="15121" max="15121" width="14.5703125" style="161" customWidth="1"/>
    <col min="15122" max="15122" width="3.7109375" style="161" customWidth="1"/>
    <col min="15123" max="15123" width="14.5703125" style="161" bestFit="1" customWidth="1"/>
    <col min="15124" max="15124" width="2.7109375" style="161" customWidth="1"/>
    <col min="15125" max="15125" width="12.85546875" style="161" customWidth="1"/>
    <col min="15126" max="15126" width="3.7109375" style="161" customWidth="1"/>
    <col min="15127" max="15127" width="13.5703125" style="161" customWidth="1"/>
    <col min="15128" max="15128" width="2.7109375" style="161" customWidth="1"/>
    <col min="15129" max="15129" width="12.85546875" style="161" customWidth="1"/>
    <col min="15130" max="15130" width="3.7109375" style="161" customWidth="1"/>
    <col min="15131" max="15131" width="15.7109375" style="161" customWidth="1"/>
    <col min="15132" max="15132" width="2.7109375" style="161" customWidth="1"/>
    <col min="15133" max="15133" width="11.85546875" style="161" customWidth="1"/>
    <col min="15134" max="15134" width="1.7109375" style="161" customWidth="1"/>
    <col min="15135" max="15135" width="14.42578125" style="161" bestFit="1" customWidth="1"/>
    <col min="15136" max="15136" width="34.7109375" style="161" customWidth="1"/>
    <col min="15137" max="15360" width="9.140625" style="161"/>
    <col min="15361" max="15362" width="10.7109375" style="161" customWidth="1"/>
    <col min="15363" max="15363" width="38.7109375" style="161" customWidth="1"/>
    <col min="15364" max="15364" width="3.7109375" style="161" customWidth="1"/>
    <col min="15365" max="15365" width="5.140625" style="161" customWidth="1"/>
    <col min="15366" max="15366" width="4.5703125" style="161" customWidth="1"/>
    <col min="15367" max="15367" width="17" style="161" customWidth="1"/>
    <col min="15368" max="15368" width="2.7109375" style="161" customWidth="1"/>
    <col min="15369" max="15369" width="17.28515625" style="161" customWidth="1"/>
    <col min="15370" max="15370" width="4.5703125" style="161" customWidth="1"/>
    <col min="15371" max="15371" width="16.28515625" style="161" customWidth="1"/>
    <col min="15372" max="15372" width="2.7109375" style="161" customWidth="1"/>
    <col min="15373" max="15373" width="15.7109375" style="161" customWidth="1"/>
    <col min="15374" max="15374" width="4.5703125" style="161" customWidth="1"/>
    <col min="15375" max="15375" width="15.42578125" style="161" customWidth="1"/>
    <col min="15376" max="15376" width="2.7109375" style="161" customWidth="1"/>
    <col min="15377" max="15377" width="14.5703125" style="161" customWidth="1"/>
    <col min="15378" max="15378" width="3.7109375" style="161" customWidth="1"/>
    <col min="15379" max="15379" width="14.5703125" style="161" bestFit="1" customWidth="1"/>
    <col min="15380" max="15380" width="2.7109375" style="161" customWidth="1"/>
    <col min="15381" max="15381" width="12.85546875" style="161" customWidth="1"/>
    <col min="15382" max="15382" width="3.7109375" style="161" customWidth="1"/>
    <col min="15383" max="15383" width="13.5703125" style="161" customWidth="1"/>
    <col min="15384" max="15384" width="2.7109375" style="161" customWidth="1"/>
    <col min="15385" max="15385" width="12.85546875" style="161" customWidth="1"/>
    <col min="15386" max="15386" width="3.7109375" style="161" customWidth="1"/>
    <col min="15387" max="15387" width="15.7109375" style="161" customWidth="1"/>
    <col min="15388" max="15388" width="2.7109375" style="161" customWidth="1"/>
    <col min="15389" max="15389" width="11.85546875" style="161" customWidth="1"/>
    <col min="15390" max="15390" width="1.7109375" style="161" customWidth="1"/>
    <col min="15391" max="15391" width="14.42578125" style="161" bestFit="1" customWidth="1"/>
    <col min="15392" max="15392" width="34.7109375" style="161" customWidth="1"/>
    <col min="15393" max="15616" width="9.140625" style="161"/>
    <col min="15617" max="15618" width="10.7109375" style="161" customWidth="1"/>
    <col min="15619" max="15619" width="38.7109375" style="161" customWidth="1"/>
    <col min="15620" max="15620" width="3.7109375" style="161" customWidth="1"/>
    <col min="15621" max="15621" width="5.140625" style="161" customWidth="1"/>
    <col min="15622" max="15622" width="4.5703125" style="161" customWidth="1"/>
    <col min="15623" max="15623" width="17" style="161" customWidth="1"/>
    <col min="15624" max="15624" width="2.7109375" style="161" customWidth="1"/>
    <col min="15625" max="15625" width="17.28515625" style="161" customWidth="1"/>
    <col min="15626" max="15626" width="4.5703125" style="161" customWidth="1"/>
    <col min="15627" max="15627" width="16.28515625" style="161" customWidth="1"/>
    <col min="15628" max="15628" width="2.7109375" style="161" customWidth="1"/>
    <col min="15629" max="15629" width="15.7109375" style="161" customWidth="1"/>
    <col min="15630" max="15630" width="4.5703125" style="161" customWidth="1"/>
    <col min="15631" max="15631" width="15.42578125" style="161" customWidth="1"/>
    <col min="15632" max="15632" width="2.7109375" style="161" customWidth="1"/>
    <col min="15633" max="15633" width="14.5703125" style="161" customWidth="1"/>
    <col min="15634" max="15634" width="3.7109375" style="161" customWidth="1"/>
    <col min="15635" max="15635" width="14.5703125" style="161" bestFit="1" customWidth="1"/>
    <col min="15636" max="15636" width="2.7109375" style="161" customWidth="1"/>
    <col min="15637" max="15637" width="12.85546875" style="161" customWidth="1"/>
    <col min="15638" max="15638" width="3.7109375" style="161" customWidth="1"/>
    <col min="15639" max="15639" width="13.5703125" style="161" customWidth="1"/>
    <col min="15640" max="15640" width="2.7109375" style="161" customWidth="1"/>
    <col min="15641" max="15641" width="12.85546875" style="161" customWidth="1"/>
    <col min="15642" max="15642" width="3.7109375" style="161" customWidth="1"/>
    <col min="15643" max="15643" width="15.7109375" style="161" customWidth="1"/>
    <col min="15644" max="15644" width="2.7109375" style="161" customWidth="1"/>
    <col min="15645" max="15645" width="11.85546875" style="161" customWidth="1"/>
    <col min="15646" max="15646" width="1.7109375" style="161" customWidth="1"/>
    <col min="15647" max="15647" width="14.42578125" style="161" bestFit="1" customWidth="1"/>
    <col min="15648" max="15648" width="34.7109375" style="161" customWidth="1"/>
    <col min="15649" max="15872" width="9.140625" style="161"/>
    <col min="15873" max="15874" width="10.7109375" style="161" customWidth="1"/>
    <col min="15875" max="15875" width="38.7109375" style="161" customWidth="1"/>
    <col min="15876" max="15876" width="3.7109375" style="161" customWidth="1"/>
    <col min="15877" max="15877" width="5.140625" style="161" customWidth="1"/>
    <col min="15878" max="15878" width="4.5703125" style="161" customWidth="1"/>
    <col min="15879" max="15879" width="17" style="161" customWidth="1"/>
    <col min="15880" max="15880" width="2.7109375" style="161" customWidth="1"/>
    <col min="15881" max="15881" width="17.28515625" style="161" customWidth="1"/>
    <col min="15882" max="15882" width="4.5703125" style="161" customWidth="1"/>
    <col min="15883" max="15883" width="16.28515625" style="161" customWidth="1"/>
    <col min="15884" max="15884" width="2.7109375" style="161" customWidth="1"/>
    <col min="15885" max="15885" width="15.7109375" style="161" customWidth="1"/>
    <col min="15886" max="15886" width="4.5703125" style="161" customWidth="1"/>
    <col min="15887" max="15887" width="15.42578125" style="161" customWidth="1"/>
    <col min="15888" max="15888" width="2.7109375" style="161" customWidth="1"/>
    <col min="15889" max="15889" width="14.5703125" style="161" customWidth="1"/>
    <col min="15890" max="15890" width="3.7109375" style="161" customWidth="1"/>
    <col min="15891" max="15891" width="14.5703125" style="161" bestFit="1" customWidth="1"/>
    <col min="15892" max="15892" width="2.7109375" style="161" customWidth="1"/>
    <col min="15893" max="15893" width="12.85546875" style="161" customWidth="1"/>
    <col min="15894" max="15894" width="3.7109375" style="161" customWidth="1"/>
    <col min="15895" max="15895" width="13.5703125" style="161" customWidth="1"/>
    <col min="15896" max="15896" width="2.7109375" style="161" customWidth="1"/>
    <col min="15897" max="15897" width="12.85546875" style="161" customWidth="1"/>
    <col min="15898" max="15898" width="3.7109375" style="161" customWidth="1"/>
    <col min="15899" max="15899" width="15.7109375" style="161" customWidth="1"/>
    <col min="15900" max="15900" width="2.7109375" style="161" customWidth="1"/>
    <col min="15901" max="15901" width="11.85546875" style="161" customWidth="1"/>
    <col min="15902" max="15902" width="1.7109375" style="161" customWidth="1"/>
    <col min="15903" max="15903" width="14.42578125" style="161" bestFit="1" customWidth="1"/>
    <col min="15904" max="15904" width="34.7109375" style="161" customWidth="1"/>
    <col min="15905" max="16128" width="9.140625" style="161"/>
    <col min="16129" max="16130" width="10.7109375" style="161" customWidth="1"/>
    <col min="16131" max="16131" width="38.7109375" style="161" customWidth="1"/>
    <col min="16132" max="16132" width="3.7109375" style="161" customWidth="1"/>
    <col min="16133" max="16133" width="5.140625" style="161" customWidth="1"/>
    <col min="16134" max="16134" width="4.5703125" style="161" customWidth="1"/>
    <col min="16135" max="16135" width="17" style="161" customWidth="1"/>
    <col min="16136" max="16136" width="2.7109375" style="161" customWidth="1"/>
    <col min="16137" max="16137" width="17.28515625" style="161" customWidth="1"/>
    <col min="16138" max="16138" width="4.5703125" style="161" customWidth="1"/>
    <col min="16139" max="16139" width="16.28515625" style="161" customWidth="1"/>
    <col min="16140" max="16140" width="2.7109375" style="161" customWidth="1"/>
    <col min="16141" max="16141" width="15.7109375" style="161" customWidth="1"/>
    <col min="16142" max="16142" width="4.5703125" style="161" customWidth="1"/>
    <col min="16143" max="16143" width="15.42578125" style="161" customWidth="1"/>
    <col min="16144" max="16144" width="2.7109375" style="161" customWidth="1"/>
    <col min="16145" max="16145" width="14.5703125" style="161" customWidth="1"/>
    <col min="16146" max="16146" width="3.7109375" style="161" customWidth="1"/>
    <col min="16147" max="16147" width="14.5703125" style="161" bestFit="1" customWidth="1"/>
    <col min="16148" max="16148" width="2.7109375" style="161" customWidth="1"/>
    <col min="16149" max="16149" width="12.85546875" style="161" customWidth="1"/>
    <col min="16150" max="16150" width="3.7109375" style="161" customWidth="1"/>
    <col min="16151" max="16151" width="13.5703125" style="161" customWidth="1"/>
    <col min="16152" max="16152" width="2.7109375" style="161" customWidth="1"/>
    <col min="16153" max="16153" width="12.85546875" style="161" customWidth="1"/>
    <col min="16154" max="16154" width="3.7109375" style="161" customWidth="1"/>
    <col min="16155" max="16155" width="15.7109375" style="161" customWidth="1"/>
    <col min="16156" max="16156" width="2.7109375" style="161" customWidth="1"/>
    <col min="16157" max="16157" width="11.85546875" style="161" customWidth="1"/>
    <col min="16158" max="16158" width="1.7109375" style="161" customWidth="1"/>
    <col min="16159" max="16159" width="14.42578125" style="161" bestFit="1" customWidth="1"/>
    <col min="16160" max="16160" width="34.7109375" style="161" customWidth="1"/>
    <col min="16161" max="16384" width="9.140625" style="161"/>
  </cols>
  <sheetData>
    <row r="1" spans="1:32"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62"/>
    </row>
    <row r="2" spans="1:32"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63"/>
      <c r="AF2" s="162"/>
    </row>
    <row r="3" spans="1:32" ht="15">
      <c r="A3" s="164" t="s">
        <v>374</v>
      </c>
      <c r="B3" s="164"/>
    </row>
    <row r="4" spans="1:32" ht="15" customHeight="1">
      <c r="A4" s="329" t="s">
        <v>425</v>
      </c>
      <c r="B4" s="164"/>
      <c r="H4" s="166"/>
      <c r="I4" s="167"/>
      <c r="J4" s="167"/>
      <c r="K4" s="168"/>
      <c r="L4" s="168"/>
      <c r="M4" s="168"/>
      <c r="N4" s="168"/>
      <c r="O4" s="168"/>
      <c r="P4" s="168"/>
      <c r="Q4" s="168"/>
      <c r="R4" s="168"/>
      <c r="S4" s="168"/>
      <c r="T4" s="168"/>
      <c r="U4" s="168"/>
      <c r="V4" s="168"/>
      <c r="W4" s="168"/>
      <c r="X4" s="168"/>
      <c r="Y4" s="168"/>
      <c r="Z4" s="168"/>
      <c r="AA4" s="168"/>
      <c r="AB4" s="168"/>
      <c r="AC4" s="168"/>
      <c r="AD4" s="168"/>
      <c r="AE4" s="168"/>
    </row>
    <row r="5" spans="1:32" ht="15" customHeight="1">
      <c r="A5" s="164"/>
      <c r="B5" s="164"/>
      <c r="H5" s="166"/>
      <c r="I5" s="167"/>
      <c r="J5" s="167"/>
      <c r="K5" s="168"/>
      <c r="L5" s="168"/>
      <c r="M5" s="168"/>
      <c r="N5" s="168"/>
      <c r="O5" s="168"/>
      <c r="P5" s="168"/>
      <c r="Q5" s="168"/>
      <c r="R5" s="168"/>
      <c r="S5" s="168"/>
      <c r="T5" s="168"/>
      <c r="U5" s="168"/>
      <c r="V5" s="168"/>
      <c r="W5" s="168"/>
      <c r="X5" s="168"/>
      <c r="Y5" s="168"/>
      <c r="Z5" s="168"/>
      <c r="AA5" s="168"/>
      <c r="AB5" s="168"/>
      <c r="AC5" s="168"/>
      <c r="AD5" s="168"/>
      <c r="AE5" s="168"/>
    </row>
    <row r="6" spans="1:32" ht="15" customHeight="1" thickBot="1">
      <c r="A6" s="349" t="s">
        <v>375</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c r="AD6" s="168"/>
      <c r="AE6" s="168"/>
    </row>
    <row r="7" spans="1:32" ht="15" customHeight="1">
      <c r="A7" s="164"/>
      <c r="B7" s="164"/>
      <c r="W7" s="350" t="s">
        <v>220</v>
      </c>
      <c r="X7" s="350"/>
      <c r="Y7" s="350"/>
    </row>
    <row r="8" spans="1:32" ht="14.25">
      <c r="A8" s="169"/>
      <c r="B8" s="169"/>
      <c r="C8" s="157"/>
      <c r="D8" s="157"/>
      <c r="E8" s="157"/>
      <c r="F8" s="160"/>
      <c r="G8" s="351" t="s">
        <v>221</v>
      </c>
      <c r="H8" s="351"/>
      <c r="I8" s="351"/>
      <c r="J8" s="160"/>
      <c r="K8" s="352" t="s">
        <v>222</v>
      </c>
      <c r="L8" s="352"/>
      <c r="M8" s="352"/>
      <c r="N8" s="160"/>
      <c r="O8" s="352" t="s">
        <v>224</v>
      </c>
      <c r="P8" s="352"/>
      <c r="Q8" s="352"/>
      <c r="R8" s="160"/>
      <c r="S8" s="352" t="s">
        <v>225</v>
      </c>
      <c r="T8" s="352"/>
      <c r="U8" s="352"/>
      <c r="V8" s="299"/>
      <c r="W8" s="352" t="s">
        <v>223</v>
      </c>
      <c r="X8" s="352"/>
      <c r="Y8" s="352"/>
      <c r="Z8" s="160"/>
      <c r="AA8" s="352" t="s">
        <v>376</v>
      </c>
      <c r="AB8" s="352"/>
      <c r="AC8" s="352"/>
    </row>
    <row r="9" spans="1:32">
      <c r="F9" s="165"/>
      <c r="G9" s="171"/>
      <c r="J9" s="165"/>
      <c r="K9" s="171"/>
      <c r="N9" s="165"/>
      <c r="O9" s="171"/>
      <c r="R9" s="165"/>
      <c r="S9" s="171"/>
      <c r="W9" s="171"/>
      <c r="Z9" s="165"/>
      <c r="AA9" s="171"/>
    </row>
    <row r="10" spans="1:32">
      <c r="A10" s="172" t="s">
        <v>228</v>
      </c>
      <c r="B10" s="172" t="s">
        <v>229</v>
      </c>
      <c r="C10" s="300" t="s">
        <v>230</v>
      </c>
      <c r="D10" s="300"/>
      <c r="E10" s="173"/>
      <c r="F10" s="160"/>
      <c r="G10" s="174" t="s">
        <v>377</v>
      </c>
      <c r="H10" s="157"/>
      <c r="I10" s="174" t="s">
        <v>231</v>
      </c>
      <c r="J10" s="160"/>
      <c r="K10" s="175" t="str">
        <f>G10</f>
        <v>2014</v>
      </c>
      <c r="L10" s="157"/>
      <c r="M10" s="175" t="str">
        <f>I10</f>
        <v>2013</v>
      </c>
      <c r="N10" s="160"/>
      <c r="O10" s="175" t="str">
        <f>W10</f>
        <v>2014</v>
      </c>
      <c r="P10" s="157"/>
      <c r="Q10" s="175" t="str">
        <f>Y10</f>
        <v>2013</v>
      </c>
      <c r="R10" s="160"/>
      <c r="S10" s="175" t="str">
        <f>O10</f>
        <v>2014</v>
      </c>
      <c r="T10" s="157"/>
      <c r="U10" s="175" t="str">
        <f>Q10</f>
        <v>2013</v>
      </c>
      <c r="V10" s="301"/>
      <c r="W10" s="175" t="str">
        <f>K10</f>
        <v>2014</v>
      </c>
      <c r="X10" s="157"/>
      <c r="Y10" s="175" t="str">
        <f>M10</f>
        <v>2013</v>
      </c>
      <c r="Z10" s="160"/>
      <c r="AA10" s="175" t="str">
        <f>S10</f>
        <v>2014</v>
      </c>
      <c r="AB10" s="157"/>
      <c r="AC10" s="175" t="str">
        <f>U10</f>
        <v>2013</v>
      </c>
    </row>
    <row r="11" spans="1:32">
      <c r="A11" s="157"/>
      <c r="B11" s="157"/>
      <c r="C11" s="176" t="s">
        <v>233</v>
      </c>
      <c r="D11" s="176"/>
      <c r="F11" s="165"/>
      <c r="G11" s="171" t="s">
        <v>378</v>
      </c>
      <c r="J11" s="165"/>
      <c r="K11" s="171" t="s">
        <v>378</v>
      </c>
      <c r="N11" s="165"/>
      <c r="O11" s="171" t="s">
        <v>378</v>
      </c>
      <c r="R11" s="165"/>
      <c r="S11" s="171" t="s">
        <v>378</v>
      </c>
      <c r="W11" s="171" t="s">
        <v>378</v>
      </c>
      <c r="Z11" s="165"/>
      <c r="AA11" s="171" t="s">
        <v>378</v>
      </c>
    </row>
    <row r="12" spans="1:32" ht="3" customHeight="1">
      <c r="F12" s="165"/>
      <c r="G12" s="161"/>
      <c r="J12" s="165"/>
      <c r="K12" s="161"/>
      <c r="N12" s="165"/>
      <c r="O12" s="177"/>
      <c r="R12" s="165"/>
      <c r="S12" s="161"/>
      <c r="W12" s="161"/>
      <c r="Z12" s="165"/>
      <c r="AA12" s="161"/>
    </row>
    <row r="13" spans="1:32">
      <c r="A13" s="178" t="s">
        <v>234</v>
      </c>
      <c r="B13" s="178"/>
      <c r="C13" s="161" t="s">
        <v>235</v>
      </c>
      <c r="E13" s="161" t="s">
        <v>236</v>
      </c>
      <c r="F13" s="165"/>
      <c r="G13" s="161">
        <f>+K13+O13+S13+W13+AA13</f>
        <v>40395694062</v>
      </c>
      <c r="I13" s="161">
        <f>+M13+Q13+U13+Y13+AC13</f>
        <v>37718349312</v>
      </c>
      <c r="J13" s="171"/>
      <c r="K13" s="179">
        <v>38377551259</v>
      </c>
      <c r="L13" s="180"/>
      <c r="M13" s="179">
        <v>35170746526</v>
      </c>
      <c r="N13" s="181"/>
      <c r="O13" s="182">
        <v>1902686822</v>
      </c>
      <c r="P13" s="180"/>
      <c r="Q13" s="182">
        <v>1854887753</v>
      </c>
      <c r="R13" s="181"/>
      <c r="S13" s="183">
        <v>115356857</v>
      </c>
      <c r="T13" s="180"/>
      <c r="U13" s="183">
        <f>162647974-59156240</f>
        <v>103491734</v>
      </c>
      <c r="V13" s="183"/>
      <c r="W13" s="182">
        <v>0</v>
      </c>
      <c r="X13" s="180"/>
      <c r="Y13" s="182">
        <v>588975391</v>
      </c>
      <c r="Z13" s="181"/>
      <c r="AA13" s="182">
        <v>99124</v>
      </c>
      <c r="AB13" s="180"/>
      <c r="AC13" s="182">
        <v>247908</v>
      </c>
    </row>
    <row r="14" spans="1:32">
      <c r="A14" s="178" t="s">
        <v>237</v>
      </c>
      <c r="B14" s="178"/>
      <c r="C14" s="161" t="s">
        <v>238</v>
      </c>
      <c r="E14" s="161" t="s">
        <v>236</v>
      </c>
      <c r="F14" s="165"/>
      <c r="G14" s="161">
        <f t="shared" ref="G14:I35" si="0">+K14+O14+S14+W14+AA14</f>
        <v>0</v>
      </c>
      <c r="I14" s="161">
        <f t="shared" si="0"/>
        <v>0</v>
      </c>
      <c r="J14" s="165"/>
      <c r="K14" s="184"/>
      <c r="L14" s="180"/>
      <c r="M14" s="184"/>
      <c r="N14" s="181"/>
      <c r="O14" s="185"/>
      <c r="P14" s="180"/>
      <c r="Q14" s="185"/>
      <c r="R14" s="181"/>
      <c r="S14" s="185"/>
      <c r="T14" s="180"/>
      <c r="U14" s="185"/>
      <c r="V14" s="185"/>
      <c r="W14" s="185"/>
      <c r="X14" s="180"/>
      <c r="Y14" s="185"/>
      <c r="Z14" s="181"/>
      <c r="AA14" s="185"/>
      <c r="AB14" s="180"/>
      <c r="AC14" s="185"/>
    </row>
    <row r="15" spans="1:32">
      <c r="A15" s="178">
        <v>105</v>
      </c>
      <c r="B15" s="178"/>
      <c r="C15" s="161" t="s">
        <v>239</v>
      </c>
      <c r="E15" s="161" t="s">
        <v>236</v>
      </c>
      <c r="F15" s="165"/>
      <c r="G15" s="161">
        <f t="shared" si="0"/>
        <v>16261747</v>
      </c>
      <c r="I15" s="161">
        <f t="shared" si="0"/>
        <v>16261747</v>
      </c>
      <c r="J15" s="165"/>
      <c r="K15" s="186">
        <v>16261747</v>
      </c>
      <c r="L15" s="180"/>
      <c r="M15" s="186">
        <v>16261747</v>
      </c>
      <c r="N15" s="181"/>
      <c r="O15" s="185"/>
      <c r="P15" s="180"/>
      <c r="Q15" s="185"/>
      <c r="R15" s="181"/>
      <c r="S15" s="185"/>
      <c r="T15" s="180"/>
      <c r="U15" s="185"/>
      <c r="V15" s="185"/>
      <c r="W15" s="185"/>
      <c r="X15" s="180"/>
      <c r="Y15" s="185"/>
      <c r="Z15" s="181"/>
      <c r="AA15" s="185"/>
      <c r="AB15" s="180"/>
      <c r="AC15" s="185"/>
    </row>
    <row r="16" spans="1:32">
      <c r="A16" s="178" t="s">
        <v>240</v>
      </c>
      <c r="B16" s="178"/>
      <c r="C16" s="161" t="s">
        <v>241</v>
      </c>
      <c r="E16" s="161" t="s">
        <v>236</v>
      </c>
      <c r="F16" s="165"/>
      <c r="G16" s="161">
        <f t="shared" si="0"/>
        <v>3580772761</v>
      </c>
      <c r="I16" s="161">
        <f t="shared" si="0"/>
        <v>3872125455</v>
      </c>
      <c r="J16" s="165"/>
      <c r="K16" s="186">
        <v>3532991204</v>
      </c>
      <c r="L16" s="180"/>
      <c r="M16" s="186">
        <v>3808081128</v>
      </c>
      <c r="N16" s="181"/>
      <c r="O16" s="187">
        <v>32363710</v>
      </c>
      <c r="P16" s="180"/>
      <c r="Q16" s="187">
        <v>46783027</v>
      </c>
      <c r="R16" s="181"/>
      <c r="S16" s="188">
        <v>15312189</v>
      </c>
      <c r="T16" s="180"/>
      <c r="U16" s="188">
        <v>17261300</v>
      </c>
      <c r="V16" s="188"/>
      <c r="W16" s="187"/>
      <c r="X16" s="180"/>
      <c r="Y16" s="187"/>
      <c r="Z16" s="181"/>
      <c r="AA16" s="185">
        <v>105658</v>
      </c>
      <c r="AB16" s="180"/>
      <c r="AC16" s="185"/>
    </row>
    <row r="17" spans="1:29">
      <c r="A17" s="178" t="s">
        <v>242</v>
      </c>
      <c r="B17" s="178"/>
      <c r="C17" s="161" t="s">
        <v>243</v>
      </c>
      <c r="E17" s="161" t="s">
        <v>236</v>
      </c>
      <c r="F17" s="165"/>
      <c r="G17" s="161">
        <f t="shared" si="0"/>
        <v>32358914</v>
      </c>
      <c r="I17" s="161">
        <f t="shared" si="0"/>
        <v>32082421</v>
      </c>
      <c r="J17" s="165"/>
      <c r="K17" s="186">
        <v>32358914</v>
      </c>
      <c r="L17" s="180"/>
      <c r="M17" s="186">
        <v>32082421</v>
      </c>
      <c r="N17" s="181"/>
      <c r="O17" s="185"/>
      <c r="P17" s="180"/>
      <c r="Q17" s="185"/>
      <c r="R17" s="181"/>
      <c r="S17" s="185"/>
      <c r="T17" s="180"/>
      <c r="U17" s="185"/>
      <c r="V17" s="185"/>
      <c r="W17" s="185"/>
      <c r="X17" s="180"/>
      <c r="Y17" s="185"/>
      <c r="Z17" s="181"/>
      <c r="AA17" s="185"/>
      <c r="AB17" s="180"/>
      <c r="AC17" s="185"/>
    </row>
    <row r="18" spans="1:29">
      <c r="A18" s="178" t="s">
        <v>244</v>
      </c>
      <c r="B18" s="178"/>
      <c r="C18" s="161" t="s">
        <v>245</v>
      </c>
      <c r="E18" s="161" t="s">
        <v>236</v>
      </c>
      <c r="F18" s="165"/>
      <c r="G18" s="161">
        <f t="shared" si="0"/>
        <v>143753025</v>
      </c>
      <c r="I18" s="161">
        <f t="shared" si="0"/>
        <v>141178641</v>
      </c>
      <c r="J18" s="165"/>
      <c r="K18" s="189">
        <v>143568730</v>
      </c>
      <c r="L18" s="180"/>
      <c r="M18" s="189">
        <v>140989280</v>
      </c>
      <c r="N18" s="181"/>
      <c r="O18" s="189">
        <v>184295</v>
      </c>
      <c r="P18" s="180"/>
      <c r="Q18" s="189">
        <v>189361</v>
      </c>
      <c r="R18" s="181"/>
      <c r="S18" s="185"/>
      <c r="T18" s="180"/>
      <c r="U18" s="185"/>
      <c r="V18" s="185"/>
      <c r="W18" s="185"/>
      <c r="X18" s="180"/>
      <c r="Y18" s="185"/>
      <c r="Z18" s="181"/>
      <c r="AA18" s="185"/>
      <c r="AB18" s="180"/>
      <c r="AC18" s="185"/>
    </row>
    <row r="19" spans="1:29">
      <c r="A19" s="178" t="s">
        <v>246</v>
      </c>
      <c r="B19" s="178"/>
      <c r="C19" s="161" t="s">
        <v>247</v>
      </c>
      <c r="E19" s="161" t="s">
        <v>236</v>
      </c>
      <c r="F19" s="165"/>
      <c r="G19" s="180">
        <f t="shared" si="0"/>
        <v>-30152477</v>
      </c>
      <c r="I19" s="180">
        <f t="shared" si="0"/>
        <v>-13050446</v>
      </c>
      <c r="J19" s="181"/>
      <c r="K19" s="186">
        <v>-64973777</v>
      </c>
      <c r="L19" s="180"/>
      <c r="M19" s="186">
        <v>-46921121</v>
      </c>
      <c r="N19" s="181"/>
      <c r="O19" s="186">
        <v>34821300</v>
      </c>
      <c r="P19" s="180"/>
      <c r="Q19" s="186">
        <v>33870675</v>
      </c>
      <c r="R19" s="181"/>
      <c r="S19" s="185"/>
      <c r="T19" s="180"/>
      <c r="U19" s="185"/>
      <c r="V19" s="185"/>
      <c r="W19" s="186"/>
      <c r="X19" s="180"/>
      <c r="Y19" s="186"/>
      <c r="Z19" s="181"/>
      <c r="AA19" s="185"/>
      <c r="AB19" s="180"/>
      <c r="AC19" s="185"/>
    </row>
    <row r="20" spans="1:29">
      <c r="A20" s="178" t="s">
        <v>248</v>
      </c>
      <c r="B20" s="178"/>
      <c r="C20" s="161" t="s">
        <v>249</v>
      </c>
      <c r="E20" s="161" t="s">
        <v>236</v>
      </c>
      <c r="F20" s="165"/>
      <c r="G20" s="180">
        <f t="shared" si="0"/>
        <v>-1725704811</v>
      </c>
      <c r="I20" s="180">
        <f t="shared" si="0"/>
        <v>-1737249286</v>
      </c>
      <c r="J20" s="181"/>
      <c r="K20" s="190">
        <v>-1717662021</v>
      </c>
      <c r="L20" s="180"/>
      <c r="M20" s="190">
        <v>-1730837274</v>
      </c>
      <c r="N20" s="181"/>
      <c r="O20" s="185">
        <v>-8042790</v>
      </c>
      <c r="P20" s="180"/>
      <c r="Q20" s="185">
        <v>-6340250</v>
      </c>
      <c r="R20" s="181"/>
      <c r="S20" s="185"/>
      <c r="T20" s="180"/>
      <c r="U20" s="185"/>
      <c r="V20" s="185"/>
      <c r="W20" s="185">
        <v>0</v>
      </c>
      <c r="X20" s="180"/>
      <c r="Y20" s="185">
        <v>-71762</v>
      </c>
      <c r="Z20" s="181"/>
      <c r="AA20" s="185"/>
      <c r="AB20" s="180"/>
      <c r="AC20" s="185"/>
    </row>
    <row r="21" spans="1:29">
      <c r="A21" s="178" t="s">
        <v>250</v>
      </c>
      <c r="B21" s="178"/>
      <c r="C21" s="161" t="s">
        <v>251</v>
      </c>
      <c r="E21" s="161" t="s">
        <v>236</v>
      </c>
      <c r="F21" s="165"/>
      <c r="G21" s="180">
        <f t="shared" si="0"/>
        <v>0</v>
      </c>
      <c r="I21" s="180">
        <f t="shared" si="0"/>
        <v>0</v>
      </c>
      <c r="J21" s="181"/>
      <c r="K21" s="186"/>
      <c r="L21" s="180"/>
      <c r="M21" s="186"/>
      <c r="N21" s="181"/>
      <c r="O21" s="185"/>
      <c r="P21" s="180"/>
      <c r="Q21" s="185"/>
      <c r="R21" s="181"/>
      <c r="S21" s="185"/>
      <c r="T21" s="180"/>
      <c r="U21" s="185"/>
      <c r="V21" s="185"/>
      <c r="W21" s="191"/>
      <c r="X21" s="180"/>
      <c r="Y21" s="191"/>
      <c r="Z21" s="181"/>
      <c r="AA21" s="185"/>
      <c r="AB21" s="180"/>
      <c r="AC21" s="185"/>
    </row>
    <row r="22" spans="1:29">
      <c r="A22" s="178" t="s">
        <v>252</v>
      </c>
      <c r="B22" s="192" t="s">
        <v>253</v>
      </c>
      <c r="C22" s="161" t="s">
        <v>254</v>
      </c>
      <c r="E22" s="161" t="s">
        <v>236</v>
      </c>
      <c r="F22" s="165"/>
      <c r="G22" s="180">
        <f t="shared" si="0"/>
        <v>0</v>
      </c>
      <c r="I22" s="180">
        <f t="shared" si="0"/>
        <v>0</v>
      </c>
      <c r="J22" s="181"/>
      <c r="K22" s="186"/>
      <c r="L22" s="180"/>
      <c r="M22" s="186"/>
      <c r="N22" s="181"/>
      <c r="O22" s="185"/>
      <c r="P22" s="180"/>
      <c r="Q22" s="185"/>
      <c r="R22" s="181"/>
      <c r="S22" s="185"/>
      <c r="T22" s="180"/>
      <c r="U22" s="185"/>
      <c r="V22" s="185"/>
      <c r="W22" s="191"/>
      <c r="X22" s="180"/>
      <c r="Y22" s="191"/>
      <c r="Z22" s="181"/>
      <c r="AA22" s="185"/>
      <c r="AB22" s="180"/>
      <c r="AC22" s="185"/>
    </row>
    <row r="23" spans="1:29">
      <c r="A23" s="178"/>
      <c r="B23" s="192" t="s">
        <v>255</v>
      </c>
      <c r="C23" s="161" t="s">
        <v>256</v>
      </c>
      <c r="E23" s="161" t="s">
        <v>236</v>
      </c>
      <c r="F23" s="165"/>
      <c r="G23" s="180">
        <f t="shared" si="0"/>
        <v>445015909</v>
      </c>
      <c r="I23" s="180">
        <f t="shared" si="0"/>
        <v>318746531</v>
      </c>
      <c r="J23" s="181"/>
      <c r="K23" s="186"/>
      <c r="L23" s="180"/>
      <c r="M23" s="186"/>
      <c r="N23" s="181"/>
      <c r="O23" s="185">
        <v>445015909</v>
      </c>
      <c r="P23" s="180"/>
      <c r="Q23" s="185">
        <v>318746531</v>
      </c>
      <c r="R23" s="181"/>
      <c r="S23" s="185"/>
      <c r="T23" s="180"/>
      <c r="U23" s="185"/>
      <c r="V23" s="185"/>
      <c r="W23" s="191"/>
      <c r="X23" s="180"/>
      <c r="Y23" s="191"/>
      <c r="Z23" s="181"/>
      <c r="AA23" s="186"/>
      <c r="AB23" s="180"/>
      <c r="AC23" s="186"/>
    </row>
    <row r="24" spans="1:29">
      <c r="A24" s="178"/>
      <c r="B24" s="192" t="s">
        <v>257</v>
      </c>
      <c r="C24" s="161" t="s">
        <v>258</v>
      </c>
      <c r="E24" s="161" t="s">
        <v>236</v>
      </c>
      <c r="F24" s="165"/>
      <c r="G24" s="180">
        <f t="shared" si="0"/>
        <v>-391284137</v>
      </c>
      <c r="I24" s="180">
        <f t="shared" si="0"/>
        <v>-263377778</v>
      </c>
      <c r="J24" s="181"/>
      <c r="K24" s="186"/>
      <c r="L24" s="180"/>
      <c r="M24" s="186"/>
      <c r="N24" s="181"/>
      <c r="O24" s="185">
        <v>-391284137</v>
      </c>
      <c r="P24" s="180"/>
      <c r="Q24" s="185">
        <v>-263377778</v>
      </c>
      <c r="R24" s="181"/>
      <c r="S24" s="185"/>
      <c r="T24" s="180"/>
      <c r="U24" s="185"/>
      <c r="V24" s="185"/>
      <c r="W24" s="191"/>
      <c r="X24" s="180"/>
      <c r="Y24" s="191"/>
      <c r="Z24" s="181"/>
      <c r="AA24" s="186"/>
      <c r="AB24" s="180"/>
      <c r="AC24" s="186"/>
    </row>
    <row r="25" spans="1:29">
      <c r="A25" s="178" t="s">
        <v>259</v>
      </c>
      <c r="B25" s="192" t="s">
        <v>260</v>
      </c>
      <c r="C25" s="161" t="s">
        <v>261</v>
      </c>
      <c r="E25" s="161" t="s">
        <v>236</v>
      </c>
      <c r="F25" s="165"/>
      <c r="G25" s="180">
        <f t="shared" si="0"/>
        <v>0</v>
      </c>
      <c r="I25" s="180">
        <f t="shared" si="0"/>
        <v>0</v>
      </c>
      <c r="J25" s="181"/>
      <c r="K25" s="186"/>
      <c r="L25" s="180"/>
      <c r="M25" s="186"/>
      <c r="N25" s="181"/>
      <c r="O25" s="185"/>
      <c r="P25" s="180"/>
      <c r="Q25" s="185"/>
      <c r="R25" s="181"/>
      <c r="S25" s="185"/>
      <c r="T25" s="180"/>
      <c r="U25" s="185"/>
      <c r="V25" s="185"/>
      <c r="W25" s="191"/>
      <c r="X25" s="180"/>
      <c r="Y25" s="191"/>
      <c r="Z25" s="181"/>
      <c r="AA25" s="185"/>
      <c r="AB25" s="180"/>
      <c r="AC25" s="185"/>
    </row>
    <row r="26" spans="1:29">
      <c r="A26" s="178"/>
      <c r="B26" s="192" t="s">
        <v>262</v>
      </c>
      <c r="C26" s="161" t="s">
        <v>263</v>
      </c>
      <c r="F26" s="165"/>
      <c r="G26" s="180">
        <f t="shared" si="0"/>
        <v>15702</v>
      </c>
      <c r="I26" s="180">
        <f t="shared" si="0"/>
        <v>15702</v>
      </c>
      <c r="J26" s="181"/>
      <c r="K26" s="190">
        <v>15702</v>
      </c>
      <c r="L26" s="180"/>
      <c r="M26" s="190">
        <v>15702</v>
      </c>
      <c r="N26" s="181"/>
      <c r="O26" s="185"/>
      <c r="P26" s="180"/>
      <c r="Q26" s="185"/>
      <c r="R26" s="181"/>
      <c r="S26" s="185"/>
      <c r="T26" s="180"/>
      <c r="U26" s="185"/>
      <c r="V26" s="185"/>
      <c r="W26" s="191"/>
      <c r="X26" s="180"/>
      <c r="Y26" s="191"/>
      <c r="Z26" s="181"/>
      <c r="AA26" s="193"/>
      <c r="AB26" s="180"/>
      <c r="AC26" s="193"/>
    </row>
    <row r="27" spans="1:29">
      <c r="A27" s="178" t="s">
        <v>264</v>
      </c>
      <c r="B27" s="192" t="s">
        <v>265</v>
      </c>
      <c r="C27" s="161" t="s">
        <v>266</v>
      </c>
      <c r="E27" s="161" t="s">
        <v>236</v>
      </c>
      <c r="F27" s="165"/>
      <c r="G27" s="180">
        <f t="shared" si="0"/>
        <v>0</v>
      </c>
      <c r="I27" s="180">
        <f t="shared" si="0"/>
        <v>0</v>
      </c>
      <c r="J27" s="181"/>
      <c r="K27" s="185"/>
      <c r="L27" s="180"/>
      <c r="M27" s="185"/>
      <c r="N27" s="181"/>
      <c r="O27" s="185"/>
      <c r="P27" s="180"/>
      <c r="Q27" s="185"/>
      <c r="R27" s="181"/>
      <c r="S27" s="185"/>
      <c r="T27" s="180"/>
      <c r="U27" s="185"/>
      <c r="V27" s="185"/>
      <c r="W27" s="191"/>
      <c r="X27" s="180"/>
      <c r="Y27" s="191"/>
      <c r="Z27" s="181"/>
      <c r="AA27" s="193"/>
      <c r="AB27" s="180"/>
      <c r="AC27" s="193"/>
    </row>
    <row r="28" spans="1:29">
      <c r="A28" s="178" t="s">
        <v>267</v>
      </c>
      <c r="B28" s="192" t="s">
        <v>268</v>
      </c>
      <c r="C28" s="161" t="s">
        <v>269</v>
      </c>
      <c r="E28" s="161" t="s">
        <v>236</v>
      </c>
      <c r="F28" s="165"/>
      <c r="G28" s="180">
        <f t="shared" si="0"/>
        <v>0</v>
      </c>
      <c r="I28" s="180">
        <f t="shared" si="0"/>
        <v>0</v>
      </c>
      <c r="J28" s="181"/>
      <c r="K28" s="180"/>
      <c r="L28" s="180"/>
      <c r="M28" s="180"/>
      <c r="N28" s="181"/>
      <c r="O28" s="185"/>
      <c r="P28" s="180"/>
      <c r="Q28" s="185"/>
      <c r="R28" s="181"/>
      <c r="S28" s="185"/>
      <c r="T28" s="180"/>
      <c r="U28" s="185"/>
      <c r="V28" s="185"/>
      <c r="W28" s="191"/>
      <c r="X28" s="180"/>
      <c r="Y28" s="191"/>
      <c r="Z28" s="181"/>
      <c r="AA28" s="193"/>
      <c r="AB28" s="180"/>
      <c r="AC28" s="193"/>
    </row>
    <row r="29" spans="1:29">
      <c r="A29" s="178" t="s">
        <v>270</v>
      </c>
      <c r="B29" s="192">
        <v>1217010</v>
      </c>
      <c r="C29" s="161" t="s">
        <v>271</v>
      </c>
      <c r="E29" s="161" t="s">
        <v>236</v>
      </c>
      <c r="F29" s="165"/>
      <c r="G29" s="180">
        <f t="shared" si="0"/>
        <v>0</v>
      </c>
      <c r="I29" s="180">
        <f t="shared" si="0"/>
        <v>0</v>
      </c>
      <c r="J29" s="181"/>
      <c r="K29" s="180"/>
      <c r="L29" s="180"/>
      <c r="M29" s="180"/>
      <c r="N29" s="181"/>
      <c r="O29" s="185"/>
      <c r="P29" s="180"/>
      <c r="Q29" s="185"/>
      <c r="R29" s="181"/>
      <c r="S29" s="185"/>
      <c r="T29" s="180"/>
      <c r="U29" s="185"/>
      <c r="V29" s="185"/>
      <c r="W29" s="191"/>
      <c r="X29" s="180"/>
      <c r="Y29" s="191"/>
      <c r="Z29" s="181"/>
      <c r="AA29" s="193"/>
      <c r="AB29" s="180"/>
      <c r="AC29" s="193"/>
    </row>
    <row r="30" spans="1:29">
      <c r="A30" s="178" t="s">
        <v>272</v>
      </c>
      <c r="B30" s="192" t="s">
        <v>273</v>
      </c>
      <c r="C30" s="161" t="s">
        <v>274</v>
      </c>
      <c r="E30" s="161" t="s">
        <v>236</v>
      </c>
      <c r="F30" s="165"/>
      <c r="G30" s="180">
        <f t="shared" si="0"/>
        <v>0</v>
      </c>
      <c r="I30" s="180">
        <f t="shared" si="0"/>
        <v>0</v>
      </c>
      <c r="J30" s="181"/>
      <c r="K30" s="180"/>
      <c r="L30" s="180"/>
      <c r="M30" s="180"/>
      <c r="N30" s="181"/>
      <c r="O30" s="185"/>
      <c r="P30" s="180"/>
      <c r="Q30" s="185"/>
      <c r="R30" s="181"/>
      <c r="S30" s="185"/>
      <c r="T30" s="180"/>
      <c r="U30" s="185"/>
      <c r="V30" s="185"/>
      <c r="W30" s="191"/>
      <c r="X30" s="180"/>
      <c r="Y30" s="191"/>
      <c r="Z30" s="181"/>
      <c r="AA30" s="193"/>
      <c r="AB30" s="180"/>
      <c r="AC30" s="193"/>
    </row>
    <row r="31" spans="1:29">
      <c r="A31" s="178" t="s">
        <v>275</v>
      </c>
      <c r="B31" s="192" t="s">
        <v>276</v>
      </c>
      <c r="C31" s="161" t="s">
        <v>277</v>
      </c>
      <c r="E31" s="161" t="s">
        <v>236</v>
      </c>
      <c r="F31" s="165"/>
      <c r="G31" s="180">
        <f t="shared" si="0"/>
        <v>0</v>
      </c>
      <c r="I31" s="180">
        <f t="shared" si="0"/>
        <v>0</v>
      </c>
      <c r="J31" s="181"/>
      <c r="K31" s="180"/>
      <c r="L31" s="180"/>
      <c r="M31" s="180"/>
      <c r="N31" s="181"/>
      <c r="O31" s="185"/>
      <c r="P31" s="180"/>
      <c r="Q31" s="185"/>
      <c r="R31" s="181"/>
      <c r="S31" s="185"/>
      <c r="T31" s="180"/>
      <c r="U31" s="185"/>
      <c r="V31" s="185"/>
      <c r="W31" s="191"/>
      <c r="X31" s="180"/>
      <c r="Y31" s="191"/>
      <c r="Z31" s="181"/>
      <c r="AA31" s="193"/>
      <c r="AB31" s="180"/>
      <c r="AC31" s="193"/>
    </row>
    <row r="32" spans="1:29">
      <c r="A32" s="178" t="s">
        <v>278</v>
      </c>
      <c r="B32" s="192"/>
      <c r="C32" s="161" t="s">
        <v>279</v>
      </c>
      <c r="E32" s="161" t="s">
        <v>236</v>
      </c>
      <c r="F32" s="165"/>
      <c r="G32" s="180">
        <f t="shared" si="0"/>
        <v>0</v>
      </c>
      <c r="I32" s="180">
        <f t="shared" si="0"/>
        <v>0</v>
      </c>
      <c r="J32" s="181"/>
      <c r="K32" s="180"/>
      <c r="L32" s="180"/>
      <c r="M32" s="180"/>
      <c r="N32" s="181"/>
      <c r="O32" s="185"/>
      <c r="P32" s="180"/>
      <c r="Q32" s="185"/>
      <c r="R32" s="181"/>
      <c r="S32" s="185"/>
      <c r="T32" s="180"/>
      <c r="U32" s="185"/>
      <c r="V32" s="185"/>
      <c r="W32" s="191"/>
      <c r="X32" s="180"/>
      <c r="Y32" s="191"/>
      <c r="Z32" s="181"/>
      <c r="AA32" s="193"/>
      <c r="AB32" s="180"/>
      <c r="AC32" s="193"/>
    </row>
    <row r="33" spans="1:29">
      <c r="A33" s="178" t="s">
        <v>280</v>
      </c>
      <c r="B33" s="192" t="s">
        <v>281</v>
      </c>
      <c r="C33" s="161" t="s">
        <v>282</v>
      </c>
      <c r="E33" s="161" t="s">
        <v>236</v>
      </c>
      <c r="F33" s="165"/>
      <c r="G33" s="180">
        <f t="shared" si="0"/>
        <v>0</v>
      </c>
      <c r="I33" s="180">
        <f t="shared" si="0"/>
        <v>0</v>
      </c>
      <c r="J33" s="181"/>
      <c r="K33" s="180"/>
      <c r="L33" s="180"/>
      <c r="M33" s="180"/>
      <c r="N33" s="181"/>
      <c r="O33" s="185"/>
      <c r="P33" s="180"/>
      <c r="Q33" s="185"/>
      <c r="R33" s="181"/>
      <c r="S33" s="185"/>
      <c r="T33" s="180"/>
      <c r="U33" s="185"/>
      <c r="V33" s="185"/>
      <c r="W33" s="191"/>
      <c r="X33" s="180"/>
      <c r="Y33" s="191"/>
      <c r="Z33" s="181"/>
      <c r="AA33" s="180"/>
      <c r="AB33" s="180"/>
      <c r="AC33" s="180"/>
    </row>
    <row r="34" spans="1:29">
      <c r="A34" s="178" t="s">
        <v>283</v>
      </c>
      <c r="B34" s="192" t="s">
        <v>284</v>
      </c>
      <c r="C34" s="180" t="s">
        <v>285</v>
      </c>
      <c r="E34" s="161" t="s">
        <v>236</v>
      </c>
      <c r="F34" s="217" t="s">
        <v>379</v>
      </c>
      <c r="G34" s="180">
        <f t="shared" si="0"/>
        <v>472018424</v>
      </c>
      <c r="I34" s="180">
        <f t="shared" si="0"/>
        <v>451057314</v>
      </c>
      <c r="J34" s="217" t="s">
        <v>379</v>
      </c>
      <c r="K34" s="185">
        <v>312271232</v>
      </c>
      <c r="L34" s="180"/>
      <c r="M34" s="185">
        <v>310289789</v>
      </c>
      <c r="N34" s="217" t="s">
        <v>379</v>
      </c>
      <c r="O34" s="185">
        <v>159747192</v>
      </c>
      <c r="P34" s="180"/>
      <c r="Q34" s="185">
        <v>140767525</v>
      </c>
      <c r="R34" s="181"/>
      <c r="S34" s="185"/>
      <c r="T34" s="180"/>
      <c r="U34" s="185"/>
      <c r="V34" s="185"/>
      <c r="W34" s="191"/>
      <c r="X34" s="180"/>
      <c r="Y34" s="191"/>
      <c r="Z34" s="181"/>
      <c r="AA34" s="180"/>
      <c r="AB34" s="180"/>
      <c r="AC34" s="180"/>
    </row>
    <row r="35" spans="1:29">
      <c r="A35" s="178"/>
      <c r="B35" s="192"/>
      <c r="C35" s="180" t="s">
        <v>287</v>
      </c>
      <c r="E35" s="161" t="s">
        <v>288</v>
      </c>
      <c r="F35" s="217" t="s">
        <v>380</v>
      </c>
      <c r="G35" s="180">
        <f t="shared" si="0"/>
        <v>305148509</v>
      </c>
      <c r="I35" s="180">
        <f t="shared" si="0"/>
        <v>285629495</v>
      </c>
      <c r="J35" s="217" t="s">
        <v>380</v>
      </c>
      <c r="K35" s="185">
        <v>305148509</v>
      </c>
      <c r="L35" s="180"/>
      <c r="M35" s="185">
        <v>285629495</v>
      </c>
      <c r="N35" s="181"/>
      <c r="O35" s="185"/>
      <c r="P35" s="180"/>
      <c r="Q35" s="191"/>
      <c r="R35" s="181"/>
      <c r="S35" s="180"/>
      <c r="T35" s="180"/>
      <c r="U35" s="191"/>
      <c r="V35" s="191"/>
      <c r="W35" s="180"/>
      <c r="X35" s="180"/>
      <c r="Y35" s="180"/>
      <c r="Z35" s="181"/>
      <c r="AA35" s="180"/>
      <c r="AB35" s="180"/>
      <c r="AC35" s="191"/>
    </row>
    <row r="36" spans="1:29" ht="3.95" customHeight="1">
      <c r="A36" s="157"/>
      <c r="B36" s="157"/>
      <c r="C36" s="157"/>
      <c r="D36" s="157"/>
      <c r="E36" s="157"/>
      <c r="F36" s="160"/>
      <c r="G36" s="173"/>
      <c r="H36" s="157"/>
      <c r="I36" s="194"/>
      <c r="J36" s="160"/>
      <c r="K36" s="173"/>
      <c r="L36" s="157"/>
      <c r="M36" s="302"/>
      <c r="N36" s="160"/>
      <c r="O36" s="173"/>
      <c r="P36" s="157"/>
      <c r="Q36" s="194"/>
      <c r="R36" s="160"/>
      <c r="S36" s="173"/>
      <c r="T36" s="157"/>
      <c r="U36" s="194"/>
      <c r="V36" s="194"/>
      <c r="W36" s="173"/>
      <c r="X36" s="157"/>
      <c r="Y36" s="194"/>
      <c r="Z36" s="160"/>
      <c r="AA36" s="173"/>
      <c r="AB36" s="157"/>
      <c r="AC36" s="194"/>
    </row>
    <row r="37" spans="1:29" ht="13.5" thickBot="1">
      <c r="C37" s="157" t="s">
        <v>381</v>
      </c>
      <c r="D37" s="196"/>
      <c r="F37" s="165"/>
      <c r="G37" s="161">
        <f>SUM(G13:G36)</f>
        <v>43243897628</v>
      </c>
      <c r="H37" s="197"/>
      <c r="I37" s="198">
        <f>SUM(I13:I36)</f>
        <v>40821769108</v>
      </c>
      <c r="J37" s="199"/>
      <c r="K37" s="180">
        <f>SUM(K13:K36)</f>
        <v>40937531499</v>
      </c>
      <c r="M37" s="198">
        <f>SUM(M13:M36)</f>
        <v>37986337693</v>
      </c>
      <c r="N37" s="165"/>
      <c r="O37" s="161">
        <f>SUM(O13:O36)</f>
        <v>2175492301</v>
      </c>
      <c r="Q37" s="198">
        <f>SUM(Q13:Q36)</f>
        <v>2125526844</v>
      </c>
      <c r="R37" s="165"/>
      <c r="S37" s="161">
        <f>SUM(S13:S36)</f>
        <v>130669046</v>
      </c>
      <c r="U37" s="198">
        <f>SUM(U13:U36)</f>
        <v>120753034</v>
      </c>
      <c r="V37" s="216"/>
      <c r="W37" s="161">
        <f>SUM(W13:W36)</f>
        <v>0</v>
      </c>
      <c r="Y37" s="198">
        <f>SUM(Y13:Y36)</f>
        <v>588903629</v>
      </c>
      <c r="Z37" s="165"/>
      <c r="AA37" s="161">
        <f>SUM(AA13:AA36)</f>
        <v>204782</v>
      </c>
      <c r="AC37" s="198">
        <f>SUM(AC13:AC36)</f>
        <v>247908</v>
      </c>
    </row>
    <row r="38" spans="1:29" ht="13.5" thickTop="1">
      <c r="C38" s="157" t="s">
        <v>382</v>
      </c>
      <c r="D38" s="196"/>
      <c r="F38" s="165"/>
      <c r="G38" s="161">
        <f>I37</f>
        <v>40821769108</v>
      </c>
      <c r="J38" s="165"/>
      <c r="K38" s="180">
        <f>M37</f>
        <v>37986337693</v>
      </c>
      <c r="N38" s="165"/>
      <c r="O38" s="161">
        <f>Q37</f>
        <v>2125526844</v>
      </c>
      <c r="R38" s="165"/>
      <c r="S38" s="161">
        <f>U37</f>
        <v>120753034</v>
      </c>
      <c r="W38" s="161">
        <f>Y37</f>
        <v>588903629</v>
      </c>
      <c r="Z38" s="165"/>
      <c r="AA38" s="161">
        <f>AC37</f>
        <v>247908</v>
      </c>
    </row>
    <row r="39" spans="1:29">
      <c r="A39" s="157"/>
      <c r="B39" s="157"/>
      <c r="C39" s="157" t="s">
        <v>383</v>
      </c>
      <c r="D39" s="196"/>
      <c r="E39" s="157"/>
      <c r="F39" s="160"/>
      <c r="G39" s="303">
        <f>SUM(G37:G38)</f>
        <v>84065666736</v>
      </c>
      <c r="H39" s="157"/>
      <c r="I39" s="157"/>
      <c r="J39" s="160"/>
      <c r="K39" s="304">
        <f>SUM(K37:K38)</f>
        <v>78923869192</v>
      </c>
      <c r="L39" s="157"/>
      <c r="M39" s="157"/>
      <c r="N39" s="160"/>
      <c r="O39" s="303">
        <f>SUM(O37:O38)</f>
        <v>4301019145</v>
      </c>
      <c r="P39" s="157"/>
      <c r="Q39" s="157"/>
      <c r="R39" s="160"/>
      <c r="S39" s="303">
        <f>SUM(S37:S38)</f>
        <v>251422080</v>
      </c>
      <c r="T39" s="157"/>
      <c r="U39" s="157"/>
      <c r="V39" s="157"/>
      <c r="W39" s="303">
        <f>SUM(W37:W38)</f>
        <v>588903629</v>
      </c>
      <c r="X39" s="157"/>
      <c r="Y39" s="157"/>
      <c r="Z39" s="160"/>
      <c r="AA39" s="303">
        <f>SUM(AA37:AA38)</f>
        <v>452690</v>
      </c>
      <c r="AB39" s="157"/>
      <c r="AC39" s="157"/>
    </row>
    <row r="40" spans="1:29">
      <c r="A40" s="157"/>
      <c r="B40" s="157"/>
      <c r="C40" s="157" t="s">
        <v>384</v>
      </c>
      <c r="D40" s="196"/>
      <c r="E40" s="157"/>
      <c r="F40" s="160"/>
      <c r="G40" s="194">
        <v>2</v>
      </c>
      <c r="H40" s="157"/>
      <c r="I40" s="157"/>
      <c r="J40" s="160"/>
      <c r="K40" s="194">
        <v>2</v>
      </c>
      <c r="L40" s="157"/>
      <c r="M40" s="157"/>
      <c r="N40" s="160"/>
      <c r="O40" s="194">
        <v>2</v>
      </c>
      <c r="P40" s="157"/>
      <c r="Q40" s="157"/>
      <c r="R40" s="160"/>
      <c r="S40" s="194">
        <v>2</v>
      </c>
      <c r="T40" s="157"/>
      <c r="U40" s="157"/>
      <c r="V40" s="157"/>
      <c r="W40" s="194">
        <v>2</v>
      </c>
      <c r="X40" s="157"/>
      <c r="Y40" s="157"/>
      <c r="Z40" s="160"/>
      <c r="AA40" s="194">
        <v>2</v>
      </c>
      <c r="AB40" s="157"/>
      <c r="AC40" s="157"/>
    </row>
    <row r="41" spans="1:29">
      <c r="A41" s="157"/>
      <c r="B41" s="157"/>
      <c r="C41" s="157" t="s">
        <v>385</v>
      </c>
      <c r="D41" s="196"/>
      <c r="E41" s="157"/>
      <c r="F41" s="160"/>
      <c r="G41" s="303">
        <f>ROUND(G39/G40,0)</f>
        <v>42032833368</v>
      </c>
      <c r="H41" s="157"/>
      <c r="I41" s="157"/>
      <c r="J41" s="160"/>
      <c r="K41" s="303">
        <f>ROUND(K39/K40,0)</f>
        <v>39461934596</v>
      </c>
      <c r="L41" s="157"/>
      <c r="M41" s="157"/>
      <c r="N41" s="160"/>
      <c r="O41" s="303">
        <f>ROUND(O39/O40,0)</f>
        <v>2150509573</v>
      </c>
      <c r="P41" s="157"/>
      <c r="Q41" s="157"/>
      <c r="R41" s="160"/>
      <c r="S41" s="303">
        <f>ROUND(S39/S40,0)</f>
        <v>125711040</v>
      </c>
      <c r="T41" s="157"/>
      <c r="U41" s="157"/>
      <c r="V41" s="157"/>
      <c r="W41" s="303">
        <f>ROUND(W39/W40,0)</f>
        <v>294451815</v>
      </c>
      <c r="X41" s="157"/>
      <c r="Y41" s="157"/>
      <c r="Z41" s="160"/>
      <c r="AA41" s="303">
        <f>ROUND(AA39/AA40,0)</f>
        <v>226345</v>
      </c>
      <c r="AB41" s="157"/>
      <c r="AC41" s="157"/>
    </row>
    <row r="42" spans="1:29">
      <c r="A42" s="157"/>
      <c r="B42" s="157"/>
      <c r="C42" s="203" t="s">
        <v>351</v>
      </c>
      <c r="D42" s="196"/>
      <c r="E42" s="157"/>
      <c r="F42" s="305" t="s">
        <v>386</v>
      </c>
      <c r="G42" s="194">
        <f>+G68</f>
        <v>1007910752</v>
      </c>
      <c r="H42" s="157"/>
      <c r="J42" s="305" t="s">
        <v>387</v>
      </c>
      <c r="K42" s="194">
        <f>+K68</f>
        <v>1002558216</v>
      </c>
      <c r="L42" s="157"/>
      <c r="N42" s="305" t="s">
        <v>354</v>
      </c>
      <c r="O42" s="194">
        <f>+O68</f>
        <v>5042096</v>
      </c>
      <c r="P42" s="208" t="s">
        <v>306</v>
      </c>
      <c r="Q42" s="157"/>
      <c r="R42" s="305" t="s">
        <v>355</v>
      </c>
      <c r="S42" s="194">
        <f>+S68</f>
        <v>0</v>
      </c>
      <c r="T42" s="158"/>
      <c r="V42" s="305" t="s">
        <v>388</v>
      </c>
      <c r="W42" s="194">
        <f>+W68</f>
        <v>0</v>
      </c>
      <c r="X42" s="207" t="s">
        <v>304</v>
      </c>
      <c r="Y42" s="158"/>
      <c r="Z42" s="305" t="s">
        <v>389</v>
      </c>
      <c r="AA42" s="194">
        <f>+AA68</f>
        <v>310440</v>
      </c>
      <c r="AB42" s="209"/>
      <c r="AC42" s="157"/>
    </row>
    <row r="43" spans="1:29">
      <c r="A43" s="157"/>
      <c r="B43" s="157"/>
      <c r="C43" s="203" t="s">
        <v>318</v>
      </c>
      <c r="D43" s="196"/>
      <c r="E43" s="157"/>
      <c r="F43" s="160"/>
      <c r="G43" s="194">
        <v>1</v>
      </c>
      <c r="H43" s="157"/>
      <c r="J43" s="283"/>
      <c r="K43" s="194">
        <v>0</v>
      </c>
      <c r="L43" s="157"/>
      <c r="N43" s="206"/>
      <c r="O43" s="194">
        <v>0</v>
      </c>
      <c r="P43" s="208"/>
      <c r="Q43" s="157"/>
      <c r="R43" s="159"/>
      <c r="S43" s="194">
        <v>0</v>
      </c>
      <c r="T43" s="158"/>
      <c r="V43" s="206"/>
      <c r="W43" s="194">
        <v>0</v>
      </c>
      <c r="X43" s="207"/>
      <c r="Y43" s="158"/>
      <c r="Z43" s="206"/>
      <c r="AA43" s="194">
        <v>0</v>
      </c>
      <c r="AB43" s="209"/>
      <c r="AC43" s="157"/>
    </row>
    <row r="44" spans="1:29" ht="15.75" thickBot="1">
      <c r="A44" s="157"/>
      <c r="B44" s="157"/>
      <c r="C44" s="156" t="s">
        <v>390</v>
      </c>
      <c r="D44" s="196"/>
      <c r="E44" s="163"/>
      <c r="F44" s="160"/>
      <c r="G44" s="306">
        <f>SUM(G41:G43)</f>
        <v>43040744121</v>
      </c>
      <c r="H44" s="156"/>
      <c r="I44" s="156"/>
      <c r="J44" s="160"/>
      <c r="K44" s="306">
        <f>SUM(K41:K42)</f>
        <v>40464492812</v>
      </c>
      <c r="L44" s="156"/>
      <c r="M44" s="156"/>
      <c r="N44" s="160"/>
      <c r="O44" s="306">
        <f>SUM(O41:O42)</f>
        <v>2155551669</v>
      </c>
      <c r="P44" s="156"/>
      <c r="Q44" s="156"/>
      <c r="R44" s="160"/>
      <c r="S44" s="306">
        <f>SUM(S41:S42)</f>
        <v>125711040</v>
      </c>
      <c r="T44" s="156"/>
      <c r="U44" s="156"/>
      <c r="V44" s="156"/>
      <c r="W44" s="306">
        <f>SUM(W41:W42)</f>
        <v>294451815</v>
      </c>
      <c r="X44" s="156"/>
      <c r="Y44" s="156"/>
      <c r="Z44" s="160"/>
      <c r="AA44" s="306">
        <f>SUM(AA41:AA42)</f>
        <v>536785</v>
      </c>
      <c r="AB44" s="156"/>
      <c r="AC44" s="156"/>
    </row>
    <row r="45" spans="1:29" ht="13.5" thickTop="1">
      <c r="D45" s="212"/>
      <c r="F45" s="165"/>
      <c r="G45" s="161"/>
      <c r="J45" s="165"/>
      <c r="K45" s="161"/>
      <c r="N45" s="165"/>
      <c r="O45" s="161"/>
      <c r="R45" s="165"/>
      <c r="S45" s="161"/>
      <c r="W45" s="161"/>
      <c r="Z45" s="165"/>
      <c r="AA45" s="213"/>
    </row>
    <row r="46" spans="1:29">
      <c r="D46" s="212"/>
      <c r="F46" s="165"/>
      <c r="G46" s="161"/>
      <c r="J46" s="165"/>
      <c r="K46" s="161"/>
      <c r="N46" s="165"/>
      <c r="O46" s="161"/>
      <c r="R46" s="165"/>
      <c r="S46" s="161"/>
      <c r="W46" s="161"/>
      <c r="Z46" s="165"/>
      <c r="AA46" s="213"/>
    </row>
    <row r="47" spans="1:29">
      <c r="C47" s="307" t="s">
        <v>391</v>
      </c>
      <c r="D47" s="212"/>
      <c r="F47" s="165"/>
      <c r="G47" s="161"/>
      <c r="J47" s="165"/>
      <c r="K47" s="161"/>
      <c r="N47" s="165"/>
      <c r="O47" s="161"/>
      <c r="R47" s="165"/>
      <c r="S47" s="161"/>
      <c r="W47" s="161"/>
      <c r="Z47" s="165"/>
      <c r="AA47" s="213"/>
    </row>
    <row r="48" spans="1:29">
      <c r="C48" s="308" t="s">
        <v>392</v>
      </c>
      <c r="F48" s="215" t="s">
        <v>378</v>
      </c>
      <c r="G48" s="161">
        <v>42688945478</v>
      </c>
      <c r="J48" s="215" t="s">
        <v>378</v>
      </c>
      <c r="K48" s="161">
        <v>40320111761</v>
      </c>
      <c r="N48" s="215" t="s">
        <v>378</v>
      </c>
      <c r="O48" s="161">
        <v>2206746613</v>
      </c>
      <c r="R48" s="215" t="s">
        <v>378</v>
      </c>
      <c r="S48" s="161">
        <v>161882322</v>
      </c>
      <c r="V48" s="215" t="s">
        <v>378</v>
      </c>
      <c r="W48" s="161">
        <v>0</v>
      </c>
      <c r="Z48" s="215" t="s">
        <v>378</v>
      </c>
      <c r="AA48" s="161">
        <v>204782</v>
      </c>
    </row>
    <row r="49" spans="1:27">
      <c r="C49" s="308" t="s">
        <v>313</v>
      </c>
      <c r="F49" s="215" t="s">
        <v>378</v>
      </c>
      <c r="G49" s="180">
        <v>-31213277</v>
      </c>
      <c r="J49" s="215" t="s">
        <v>378</v>
      </c>
      <c r="K49" s="180">
        <v>0</v>
      </c>
      <c r="N49" s="215" t="s">
        <v>378</v>
      </c>
      <c r="O49" s="180">
        <v>0</v>
      </c>
      <c r="R49" s="215" t="s">
        <v>378</v>
      </c>
      <c r="S49" s="180">
        <v>-31213277</v>
      </c>
      <c r="V49" s="215" t="s">
        <v>378</v>
      </c>
      <c r="W49" s="180">
        <v>0</v>
      </c>
      <c r="Z49" s="215" t="s">
        <v>378</v>
      </c>
      <c r="AA49" s="180">
        <v>0</v>
      </c>
    </row>
    <row r="50" spans="1:27">
      <c r="C50" s="308" t="s">
        <v>314</v>
      </c>
      <c r="F50" s="215" t="s">
        <v>378</v>
      </c>
      <c r="G50" s="180">
        <v>-386830567</v>
      </c>
      <c r="J50" s="215" t="s">
        <v>378</v>
      </c>
      <c r="K50" s="180">
        <v>-195829062</v>
      </c>
      <c r="N50" s="215" t="s">
        <v>378</v>
      </c>
      <c r="O50" s="180">
        <v>-191001505</v>
      </c>
      <c r="R50" s="215" t="s">
        <v>378</v>
      </c>
      <c r="S50" s="180">
        <v>0</v>
      </c>
      <c r="V50" s="215" t="s">
        <v>378</v>
      </c>
      <c r="W50" s="180">
        <v>0</v>
      </c>
      <c r="Z50" s="215" t="s">
        <v>378</v>
      </c>
      <c r="AA50" s="180">
        <v>0</v>
      </c>
    </row>
    <row r="51" spans="1:27">
      <c r="C51" s="308" t="s">
        <v>393</v>
      </c>
      <c r="F51" s="215" t="s">
        <v>378</v>
      </c>
      <c r="G51" s="180">
        <v>195829058</v>
      </c>
      <c r="J51" s="215" t="s">
        <v>378</v>
      </c>
      <c r="K51" s="180">
        <v>195829058</v>
      </c>
      <c r="N51" s="215" t="s">
        <v>378</v>
      </c>
      <c r="O51" s="180">
        <v>0</v>
      </c>
      <c r="R51" s="215" t="s">
        <v>378</v>
      </c>
      <c r="S51" s="180">
        <v>0</v>
      </c>
      <c r="V51" s="215" t="s">
        <v>378</v>
      </c>
      <c r="W51" s="180">
        <v>0</v>
      </c>
      <c r="Z51" s="215" t="s">
        <v>378</v>
      </c>
      <c r="AA51" s="180">
        <v>0</v>
      </c>
    </row>
    <row r="52" spans="1:27">
      <c r="C52" s="308" t="s">
        <v>316</v>
      </c>
      <c r="F52" s="215" t="s">
        <v>379</v>
      </c>
      <c r="G52" s="180">
        <f>G34</f>
        <v>472018424</v>
      </c>
      <c r="J52" s="215" t="s">
        <v>379</v>
      </c>
      <c r="K52" s="180">
        <f>K34</f>
        <v>312271232</v>
      </c>
      <c r="N52" s="215" t="s">
        <v>379</v>
      </c>
      <c r="O52" s="180">
        <f>O34</f>
        <v>159747192</v>
      </c>
      <c r="R52" s="215" t="s">
        <v>379</v>
      </c>
      <c r="S52" s="180">
        <f>S34</f>
        <v>0</v>
      </c>
      <c r="V52" s="215" t="s">
        <v>379</v>
      </c>
      <c r="W52" s="180">
        <f>W34</f>
        <v>0</v>
      </c>
      <c r="Z52" s="215" t="s">
        <v>379</v>
      </c>
      <c r="AA52" s="180">
        <f>AA34</f>
        <v>0</v>
      </c>
    </row>
    <row r="53" spans="1:27">
      <c r="C53" s="308" t="s">
        <v>317</v>
      </c>
      <c r="F53" s="215" t="s">
        <v>380</v>
      </c>
      <c r="G53" s="180">
        <f>G35</f>
        <v>305148509</v>
      </c>
      <c r="J53" s="215" t="s">
        <v>380</v>
      </c>
      <c r="K53" s="180">
        <f>K35</f>
        <v>305148509</v>
      </c>
      <c r="N53" s="215" t="s">
        <v>380</v>
      </c>
      <c r="O53" s="180">
        <f>O35</f>
        <v>0</v>
      </c>
      <c r="R53" s="215" t="s">
        <v>380</v>
      </c>
      <c r="S53" s="180">
        <f>S35</f>
        <v>0</v>
      </c>
      <c r="V53" s="215" t="s">
        <v>380</v>
      </c>
      <c r="W53" s="180">
        <f>W35</f>
        <v>0</v>
      </c>
      <c r="Z53" s="215" t="s">
        <v>380</v>
      </c>
      <c r="AA53" s="180">
        <f>AA35</f>
        <v>0</v>
      </c>
    </row>
    <row r="54" spans="1:27">
      <c r="C54" s="308" t="s">
        <v>318</v>
      </c>
      <c r="F54" s="217"/>
      <c r="G54" s="180">
        <v>3</v>
      </c>
      <c r="J54" s="217"/>
      <c r="K54" s="180">
        <v>1</v>
      </c>
      <c r="N54" s="217"/>
      <c r="O54" s="180">
        <v>1</v>
      </c>
      <c r="R54" s="217"/>
      <c r="S54" s="180">
        <v>1</v>
      </c>
      <c r="V54" s="217"/>
      <c r="W54" s="180">
        <v>0</v>
      </c>
      <c r="Z54" s="217"/>
      <c r="AA54" s="180">
        <v>0</v>
      </c>
    </row>
    <row r="55" spans="1:27">
      <c r="C55" s="308" t="s">
        <v>394</v>
      </c>
      <c r="E55" s="197"/>
      <c r="F55" s="212"/>
      <c r="G55" s="309">
        <f>SUM(G48:G54)</f>
        <v>43243897628</v>
      </c>
      <c r="J55" s="212"/>
      <c r="K55" s="309">
        <f>SUM(K48:K54)</f>
        <v>40937531499</v>
      </c>
      <c r="N55" s="212"/>
      <c r="O55" s="309">
        <f>SUM(O48:O54)</f>
        <v>2175492301</v>
      </c>
      <c r="R55" s="212"/>
      <c r="S55" s="309">
        <f>SUM(S48:S54)</f>
        <v>130669046</v>
      </c>
      <c r="V55" s="212"/>
      <c r="W55" s="309">
        <f>SUM(W48:W54)</f>
        <v>0</v>
      </c>
      <c r="Z55" s="212"/>
      <c r="AA55" s="309">
        <f>SUM(AA48:AA54)</f>
        <v>204782</v>
      </c>
    </row>
    <row r="56" spans="1:27">
      <c r="C56" s="308" t="s">
        <v>395</v>
      </c>
      <c r="G56" s="161">
        <f>G37</f>
        <v>43243897628</v>
      </c>
      <c r="K56" s="161">
        <f>K37</f>
        <v>40937531499</v>
      </c>
      <c r="O56" s="161">
        <f>O37</f>
        <v>2175492301</v>
      </c>
      <c r="S56" s="161">
        <f>S37</f>
        <v>130669046</v>
      </c>
      <c r="W56" s="161">
        <f>W37</f>
        <v>0</v>
      </c>
      <c r="AA56" s="161">
        <f>AA37</f>
        <v>204782</v>
      </c>
    </row>
    <row r="57" spans="1:27" ht="13.5" thickBot="1">
      <c r="C57" s="308" t="s">
        <v>396</v>
      </c>
      <c r="E57" s="216"/>
      <c r="F57" s="216"/>
      <c r="G57" s="219">
        <f>G55-G56</f>
        <v>0</v>
      </c>
      <c r="H57" s="216"/>
      <c r="I57" s="216"/>
      <c r="J57" s="216"/>
      <c r="K57" s="219">
        <f>K55-K56</f>
        <v>0</v>
      </c>
      <c r="L57" s="216"/>
      <c r="M57" s="216"/>
      <c r="N57" s="216"/>
      <c r="O57" s="219">
        <f>O55-O56</f>
        <v>0</v>
      </c>
      <c r="R57" s="216"/>
      <c r="S57" s="219">
        <f>S55-S56</f>
        <v>0</v>
      </c>
      <c r="V57" s="216"/>
      <c r="W57" s="219">
        <f>W55-W56</f>
        <v>0</v>
      </c>
      <c r="Z57" s="216"/>
      <c r="AA57" s="219">
        <f>AA55-AA56</f>
        <v>0</v>
      </c>
    </row>
    <row r="58" spans="1:27" ht="13.5" thickTop="1">
      <c r="C58" s="214"/>
      <c r="D58" s="216"/>
      <c r="E58" s="216"/>
      <c r="F58" s="275"/>
      <c r="G58" s="216"/>
      <c r="H58" s="216"/>
      <c r="I58" s="216"/>
      <c r="J58" s="275"/>
      <c r="K58" s="216"/>
      <c r="L58" s="216"/>
      <c r="M58" s="216"/>
      <c r="N58" s="165"/>
      <c r="O58" s="161"/>
      <c r="R58" s="165"/>
      <c r="S58" s="161"/>
      <c r="W58" s="161"/>
      <c r="Z58" s="165"/>
      <c r="AA58" s="161"/>
    </row>
    <row r="59" spans="1:27">
      <c r="C59" s="214"/>
      <c r="D59" s="216"/>
      <c r="E59" s="216"/>
      <c r="F59" s="275"/>
      <c r="G59" s="216"/>
      <c r="H59" s="216"/>
      <c r="I59" s="216"/>
      <c r="J59" s="275"/>
      <c r="K59" s="216"/>
      <c r="L59" s="216"/>
      <c r="M59" s="216"/>
      <c r="N59" s="165"/>
      <c r="O59" s="161"/>
      <c r="R59" s="165"/>
      <c r="S59" s="161"/>
      <c r="W59" s="161"/>
      <c r="Z59" s="165"/>
      <c r="AA59" s="161"/>
    </row>
    <row r="60" spans="1:27">
      <c r="A60" s="310" t="s">
        <v>397</v>
      </c>
      <c r="C60" s="214"/>
      <c r="D60" s="216"/>
      <c r="E60" s="216"/>
      <c r="F60" s="275"/>
      <c r="G60" s="216"/>
      <c r="H60" s="216"/>
      <c r="I60" s="216"/>
      <c r="J60" s="275"/>
      <c r="K60" s="216"/>
      <c r="L60" s="216"/>
      <c r="M60" s="216"/>
      <c r="N60" s="165"/>
      <c r="O60" s="161"/>
      <c r="R60" s="165"/>
      <c r="S60" s="161"/>
      <c r="W60" s="161"/>
      <c r="Z60" s="165"/>
      <c r="AA60" s="161"/>
    </row>
    <row r="61" spans="1:27">
      <c r="A61" s="161" t="s">
        <v>398</v>
      </c>
      <c r="C61" s="214"/>
      <c r="D61" s="216"/>
      <c r="E61" s="216"/>
      <c r="F61" s="196" t="s">
        <v>399</v>
      </c>
      <c r="G61" s="180">
        <f>+K61+O61+S61+W61+AA61</f>
        <v>13582</v>
      </c>
      <c r="H61" s="216"/>
      <c r="I61" s="216"/>
      <c r="J61" s="275"/>
      <c r="K61" s="216"/>
      <c r="L61" s="216"/>
      <c r="M61" s="216"/>
      <c r="N61" s="165"/>
      <c r="O61" s="161"/>
      <c r="R61" s="165"/>
      <c r="S61" s="161"/>
      <c r="W61" s="161"/>
      <c r="Z61" s="196" t="s">
        <v>399</v>
      </c>
      <c r="AA61" s="161">
        <v>13582</v>
      </c>
    </row>
    <row r="62" spans="1:27">
      <c r="A62" s="161" t="s">
        <v>400</v>
      </c>
      <c r="C62" s="214"/>
      <c r="D62" s="216"/>
      <c r="E62" s="216"/>
      <c r="F62" s="196" t="s">
        <v>399</v>
      </c>
      <c r="G62" s="180">
        <f>+K62+O62+S62+W62+AA62</f>
        <v>25223</v>
      </c>
      <c r="H62" s="216"/>
      <c r="I62" s="216"/>
      <c r="J62" s="275"/>
      <c r="K62" s="216"/>
      <c r="L62" s="216"/>
      <c r="M62" s="216"/>
      <c r="N62" s="165"/>
      <c r="O62" s="161"/>
      <c r="R62" s="165"/>
      <c r="S62" s="161"/>
      <c r="W62" s="161"/>
      <c r="Z62" s="196" t="s">
        <v>399</v>
      </c>
      <c r="AA62" s="161">
        <v>25223</v>
      </c>
    </row>
    <row r="63" spans="1:27">
      <c r="A63" s="157" t="s">
        <v>401</v>
      </c>
      <c r="C63" s="214"/>
      <c r="D63" s="216"/>
      <c r="E63" s="216"/>
      <c r="F63" s="196" t="s">
        <v>402</v>
      </c>
      <c r="G63" s="180">
        <f>+K63+O63+S63+W63+AA63</f>
        <v>630262</v>
      </c>
      <c r="H63" s="216"/>
      <c r="I63" s="216"/>
      <c r="J63" s="275"/>
      <c r="K63" s="216"/>
      <c r="L63" s="216"/>
      <c r="M63" s="216"/>
      <c r="N63" s="196" t="s">
        <v>402</v>
      </c>
      <c r="O63" s="161">
        <v>630262</v>
      </c>
      <c r="R63" s="165"/>
      <c r="S63" s="161"/>
      <c r="W63" s="161"/>
      <c r="Z63" s="165"/>
      <c r="AA63" s="161"/>
    </row>
    <row r="64" spans="1:27">
      <c r="A64" s="157" t="s">
        <v>403</v>
      </c>
      <c r="C64" s="214"/>
      <c r="D64" s="216"/>
      <c r="E64" s="216"/>
      <c r="F64" s="275"/>
      <c r="G64" s="180">
        <f>+K64+O64+S64+W64+AA64</f>
        <v>0</v>
      </c>
      <c r="H64" s="216"/>
      <c r="I64" s="216"/>
      <c r="J64" s="275"/>
      <c r="K64" s="216"/>
      <c r="L64" s="216"/>
      <c r="M64" s="216"/>
      <c r="N64" s="165"/>
      <c r="O64" s="161"/>
      <c r="R64" s="165"/>
      <c r="S64" s="161"/>
      <c r="W64" s="161">
        <v>0</v>
      </c>
      <c r="Z64" s="165"/>
      <c r="AA64" s="161"/>
    </row>
    <row r="65" spans="1:30">
      <c r="A65" s="203" t="s">
        <v>404</v>
      </c>
      <c r="C65" s="214"/>
      <c r="D65" s="216"/>
      <c r="E65" s="216"/>
      <c r="F65" s="196" t="s">
        <v>405</v>
      </c>
      <c r="G65" s="311">
        <f>+K65+O65+S65+W65+AA65</f>
        <v>125319777</v>
      </c>
      <c r="H65" s="216"/>
      <c r="I65" s="216"/>
      <c r="J65" s="196" t="s">
        <v>405</v>
      </c>
      <c r="K65" s="241">
        <v>125319777</v>
      </c>
      <c r="L65" s="216"/>
      <c r="M65" s="216"/>
      <c r="N65" s="165"/>
      <c r="O65" s="241"/>
      <c r="R65" s="165"/>
      <c r="S65" s="241"/>
      <c r="W65" s="241"/>
      <c r="Z65" s="165"/>
      <c r="AA65" s="241"/>
    </row>
    <row r="66" spans="1:30">
      <c r="A66" s="203" t="s">
        <v>406</v>
      </c>
      <c r="C66" s="214"/>
      <c r="D66" s="216"/>
      <c r="E66" s="216"/>
      <c r="F66" s="275"/>
      <c r="G66" s="270">
        <f>SUM(G61:G65)</f>
        <v>125988844</v>
      </c>
      <c r="H66" s="216"/>
      <c r="I66" s="216"/>
      <c r="J66" s="275"/>
      <c r="K66" s="270">
        <f>SUM(K61:K65)</f>
        <v>125319777</v>
      </c>
      <c r="L66" s="216"/>
      <c r="M66" s="216"/>
      <c r="N66" s="165"/>
      <c r="O66" s="270">
        <f>SUM(O61:O65)</f>
        <v>630262</v>
      </c>
      <c r="R66" s="165"/>
      <c r="S66" s="270">
        <f>SUM(S61:S65)</f>
        <v>0</v>
      </c>
      <c r="W66" s="270">
        <f>SUM(W61:W65)</f>
        <v>0</v>
      </c>
      <c r="Z66" s="165"/>
      <c r="AA66" s="270">
        <f>SUM(AA61:AA65)</f>
        <v>38805</v>
      </c>
    </row>
    <row r="67" spans="1:30">
      <c r="A67" s="203" t="s">
        <v>407</v>
      </c>
      <c r="C67" s="214"/>
      <c r="D67" s="216"/>
      <c r="E67" s="216"/>
      <c r="F67" s="275"/>
      <c r="G67" s="216">
        <v>8</v>
      </c>
      <c r="H67" s="216"/>
      <c r="I67" s="216"/>
      <c r="J67" s="275"/>
      <c r="K67" s="216">
        <v>8</v>
      </c>
      <c r="L67" s="216"/>
      <c r="M67" s="216"/>
      <c r="N67" s="165"/>
      <c r="O67" s="161">
        <v>8</v>
      </c>
      <c r="R67" s="165"/>
      <c r="S67" s="161">
        <v>8</v>
      </c>
      <c r="W67" s="161">
        <v>8</v>
      </c>
      <c r="Z67" s="165"/>
      <c r="AA67" s="161">
        <v>8</v>
      </c>
    </row>
    <row r="68" spans="1:30" ht="13.5" thickBot="1">
      <c r="A68" s="203" t="s">
        <v>351</v>
      </c>
      <c r="C68" s="214"/>
      <c r="D68" s="216"/>
      <c r="E68" s="216"/>
      <c r="F68" s="275"/>
      <c r="G68" s="219">
        <f>G66*G67</f>
        <v>1007910752</v>
      </c>
      <c r="H68" s="312" t="s">
        <v>408</v>
      </c>
      <c r="I68" s="216"/>
      <c r="J68" s="275"/>
      <c r="K68" s="219">
        <f>K66*K67</f>
        <v>1002558216</v>
      </c>
      <c r="L68" s="312" t="s">
        <v>409</v>
      </c>
      <c r="M68" s="216"/>
      <c r="N68" s="165"/>
      <c r="O68" s="219">
        <f>O66*O67</f>
        <v>5042096</v>
      </c>
      <c r="P68" s="312" t="s">
        <v>410</v>
      </c>
      <c r="R68" s="165"/>
      <c r="S68" s="219">
        <f>S66*S67</f>
        <v>0</v>
      </c>
      <c r="T68" s="312" t="s">
        <v>411</v>
      </c>
      <c r="W68" s="219">
        <f>W66*W67</f>
        <v>0</v>
      </c>
      <c r="X68" s="312" t="s">
        <v>412</v>
      </c>
      <c r="Z68" s="165"/>
      <c r="AA68" s="219">
        <f>AA66*AA67</f>
        <v>310440</v>
      </c>
      <c r="AB68" s="312" t="s">
        <v>413</v>
      </c>
    </row>
    <row r="69" spans="1:30" ht="13.5" thickTop="1">
      <c r="C69" s="218"/>
      <c r="D69" s="212"/>
      <c r="E69" s="313"/>
      <c r="F69" s="197"/>
      <c r="AB69" s="213"/>
    </row>
    <row r="70" spans="1:30">
      <c r="D70" s="178"/>
      <c r="E70" s="216"/>
      <c r="AB70" s="213"/>
    </row>
    <row r="71" spans="1:30" ht="15">
      <c r="A71" s="220" t="s">
        <v>320</v>
      </c>
      <c r="D71" s="178"/>
      <c r="AB71" s="213"/>
    </row>
    <row r="72" spans="1:30" ht="15">
      <c r="A72" s="220" t="s">
        <v>321</v>
      </c>
      <c r="D72" s="178"/>
      <c r="AB72" s="213"/>
    </row>
    <row r="73" spans="1:30" ht="15">
      <c r="A73" s="220"/>
      <c r="D73" s="178"/>
      <c r="AB73" s="213"/>
    </row>
    <row r="74" spans="1:30" ht="15">
      <c r="A74" s="220"/>
      <c r="D74" s="178"/>
      <c r="AB74" s="213"/>
    </row>
    <row r="75" spans="1:30" s="314" customFormat="1" ht="15.75" thickBot="1">
      <c r="A75" s="347" t="s">
        <v>414</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row>
    <row r="76" spans="1:30" ht="15.75" thickBot="1">
      <c r="A76" s="315"/>
      <c r="B76" s="194"/>
      <c r="C76" s="316"/>
      <c r="D76" s="216"/>
      <c r="E76" s="317"/>
      <c r="F76" s="318" t="s">
        <v>415</v>
      </c>
      <c r="G76" s="319">
        <f>K76+O76+S76+W76+AA76</f>
        <v>1744401364</v>
      </c>
      <c r="H76" s="316"/>
      <c r="I76" s="316"/>
      <c r="J76" s="318" t="s">
        <v>415</v>
      </c>
      <c r="K76" s="320">
        <v>1742296518</v>
      </c>
      <c r="L76" s="321"/>
      <c r="M76" s="321"/>
      <c r="N76" s="318" t="s">
        <v>415</v>
      </c>
      <c r="O76" s="320">
        <v>0</v>
      </c>
      <c r="P76" s="321"/>
      <c r="Q76" s="321"/>
      <c r="R76" s="318" t="s">
        <v>415</v>
      </c>
      <c r="S76" s="320">
        <v>2054299</v>
      </c>
      <c r="T76" s="321"/>
      <c r="U76" s="321"/>
      <c r="V76" s="318" t="s">
        <v>415</v>
      </c>
      <c r="W76" s="320">
        <v>0</v>
      </c>
      <c r="X76" s="321"/>
      <c r="Y76" s="321"/>
      <c r="Z76" s="318" t="s">
        <v>415</v>
      </c>
      <c r="AA76" s="320">
        <v>50547</v>
      </c>
      <c r="AB76" s="216"/>
      <c r="AD76" s="194"/>
    </row>
    <row r="77" spans="1:30" ht="13.5" thickTop="1">
      <c r="A77" s="157"/>
      <c r="B77" s="157"/>
      <c r="C77" s="157"/>
      <c r="D77" s="233"/>
      <c r="E77" s="157"/>
      <c r="F77" s="157"/>
      <c r="G77" s="157"/>
      <c r="H77" s="157"/>
      <c r="I77" s="157"/>
      <c r="J77" s="157"/>
      <c r="K77" s="157"/>
      <c r="L77" s="157"/>
      <c r="M77" s="157"/>
      <c r="N77" s="157"/>
      <c r="O77" s="157"/>
      <c r="P77" s="157"/>
      <c r="Q77" s="157"/>
      <c r="R77" s="157"/>
      <c r="S77" s="157"/>
      <c r="T77" s="157"/>
      <c r="U77" s="157"/>
      <c r="V77" s="157"/>
      <c r="W77" s="157"/>
      <c r="X77" s="157"/>
      <c r="Y77" s="157"/>
      <c r="Z77" s="157"/>
      <c r="AA77" s="163"/>
      <c r="AB77" s="234"/>
      <c r="AC77" s="235"/>
    </row>
    <row r="78" spans="1:30">
      <c r="A78" s="157"/>
      <c r="B78" s="157"/>
      <c r="C78" s="157"/>
      <c r="D78" s="233"/>
      <c r="E78" s="157"/>
      <c r="F78" s="157"/>
      <c r="G78" s="157"/>
      <c r="H78" s="157"/>
      <c r="I78" s="157"/>
      <c r="J78" s="157"/>
      <c r="K78" s="157"/>
      <c r="L78" s="157"/>
      <c r="M78" s="157"/>
      <c r="N78" s="157"/>
      <c r="O78" s="157"/>
      <c r="P78" s="157"/>
      <c r="Q78" s="157"/>
      <c r="R78" s="157"/>
      <c r="S78" s="157"/>
      <c r="T78" s="157"/>
      <c r="U78" s="157"/>
      <c r="V78" s="157"/>
      <c r="W78" s="157"/>
      <c r="X78" s="157"/>
      <c r="Y78" s="157"/>
      <c r="Z78" s="157"/>
      <c r="AA78" s="163"/>
      <c r="AB78" s="234"/>
      <c r="AC78" s="235"/>
    </row>
    <row r="79" spans="1:30">
      <c r="A79" s="157"/>
      <c r="B79" s="157"/>
      <c r="C79" s="157"/>
      <c r="D79" s="233"/>
      <c r="E79" s="157"/>
      <c r="F79" s="157"/>
      <c r="G79" s="157"/>
      <c r="H79" s="157"/>
      <c r="I79" s="157"/>
      <c r="J79" s="157"/>
      <c r="K79" s="157"/>
      <c r="L79" s="157"/>
      <c r="M79" s="157"/>
      <c r="N79" s="157"/>
      <c r="O79" s="157"/>
      <c r="P79" s="157"/>
      <c r="Q79" s="157"/>
      <c r="R79" s="157"/>
      <c r="S79" s="157"/>
      <c r="T79" s="157"/>
      <c r="U79" s="157"/>
      <c r="V79" s="157"/>
      <c r="W79" s="157"/>
      <c r="X79" s="157"/>
      <c r="Y79" s="157"/>
      <c r="Z79" s="157"/>
      <c r="AA79" s="163"/>
      <c r="AB79" s="234"/>
      <c r="AC79" s="235"/>
    </row>
    <row r="80" spans="1:30" s="314" customFormat="1" ht="15.75" thickBot="1">
      <c r="A80" s="347" t="s">
        <v>416</v>
      </c>
      <c r="B80" s="347"/>
      <c r="C80" s="347"/>
      <c r="D80" s="347"/>
      <c r="E80" s="347"/>
      <c r="F80" s="347"/>
      <c r="G80" s="347"/>
      <c r="H80" s="347"/>
      <c r="I80" s="347"/>
      <c r="J80" s="347"/>
      <c r="K80" s="347"/>
      <c r="L80" s="347"/>
      <c r="M80" s="347"/>
      <c r="N80" s="347"/>
      <c r="O80" s="347"/>
      <c r="P80" s="347"/>
      <c r="Q80" s="347"/>
      <c r="R80" s="347"/>
      <c r="S80" s="347"/>
      <c r="T80" s="347"/>
      <c r="U80" s="347"/>
      <c r="V80" s="347"/>
      <c r="W80" s="347"/>
      <c r="X80" s="347"/>
      <c r="Y80" s="347"/>
      <c r="Z80" s="347"/>
      <c r="AA80" s="347"/>
      <c r="AB80" s="347"/>
      <c r="AC80" s="347"/>
    </row>
    <row r="81" spans="1:29">
      <c r="A81" s="176" t="s">
        <v>366</v>
      </c>
      <c r="G81" s="238"/>
      <c r="K81" s="238"/>
      <c r="L81" s="180"/>
      <c r="O81" s="161"/>
      <c r="S81" s="161"/>
      <c r="W81" s="161"/>
      <c r="AA81" s="161"/>
      <c r="AB81" s="216"/>
    </row>
    <row r="82" spans="1:29">
      <c r="A82" s="161" t="s">
        <v>2</v>
      </c>
      <c r="B82" s="178"/>
      <c r="F82" s="238" t="s">
        <v>417</v>
      </c>
      <c r="G82" s="161">
        <f>SUM(K82:AA82)</f>
        <v>4980927339</v>
      </c>
      <c r="J82" s="238" t="s">
        <v>417</v>
      </c>
      <c r="K82" s="185">
        <v>4980927339</v>
      </c>
      <c r="N82" s="238" t="s">
        <v>327</v>
      </c>
      <c r="O82" s="177">
        <v>0</v>
      </c>
      <c r="R82" s="238" t="s">
        <v>327</v>
      </c>
      <c r="S82" s="177">
        <v>0</v>
      </c>
      <c r="W82" s="161">
        <v>0</v>
      </c>
      <c r="AA82" s="239">
        <v>0</v>
      </c>
    </row>
    <row r="83" spans="1:29">
      <c r="A83" s="161" t="s">
        <v>328</v>
      </c>
      <c r="B83" s="178"/>
      <c r="F83" s="238" t="s">
        <v>336</v>
      </c>
      <c r="G83" s="161">
        <f t="shared" ref="G83:G89" si="1">SUM(K83:W83)</f>
        <v>0</v>
      </c>
      <c r="J83" s="238" t="s">
        <v>336</v>
      </c>
      <c r="K83" s="185">
        <v>0</v>
      </c>
      <c r="O83" s="161"/>
      <c r="S83" s="161"/>
      <c r="W83" s="161">
        <v>0</v>
      </c>
      <c r="AA83" s="161"/>
    </row>
    <row r="84" spans="1:29">
      <c r="A84" s="161" t="s">
        <v>329</v>
      </c>
      <c r="F84" s="216"/>
      <c r="G84" s="161">
        <f t="shared" si="1"/>
        <v>6889660</v>
      </c>
      <c r="K84" s="185">
        <v>6889660</v>
      </c>
      <c r="O84" s="161"/>
      <c r="S84" s="161"/>
      <c r="W84" s="161"/>
      <c r="AA84" s="161"/>
    </row>
    <row r="85" spans="1:29">
      <c r="A85" s="161" t="s">
        <v>330</v>
      </c>
      <c r="F85" s="216"/>
      <c r="G85" s="161">
        <f t="shared" si="1"/>
        <v>39568</v>
      </c>
      <c r="K85" s="185">
        <v>39568</v>
      </c>
      <c r="O85" s="161"/>
      <c r="S85" s="161"/>
      <c r="W85" s="161"/>
      <c r="AA85" s="161"/>
    </row>
    <row r="86" spans="1:29">
      <c r="A86" s="161" t="s">
        <v>331</v>
      </c>
      <c r="B86" s="178"/>
      <c r="F86" s="216"/>
      <c r="G86" s="161">
        <f t="shared" si="1"/>
        <v>3541680</v>
      </c>
      <c r="K86" s="185">
        <v>3541680</v>
      </c>
      <c r="O86" s="185">
        <v>0</v>
      </c>
      <c r="S86" s="161"/>
      <c r="W86" s="161"/>
      <c r="AA86" s="161"/>
    </row>
    <row r="87" spans="1:29">
      <c r="A87" s="161" t="s">
        <v>332</v>
      </c>
      <c r="F87" s="216"/>
      <c r="G87" s="161">
        <f t="shared" si="1"/>
        <v>0</v>
      </c>
      <c r="K87" s="185">
        <v>0</v>
      </c>
      <c r="O87" s="161">
        <v>0</v>
      </c>
      <c r="S87" s="161"/>
      <c r="W87" s="161"/>
      <c r="AA87" s="161"/>
    </row>
    <row r="88" spans="1:29">
      <c r="A88" s="161" t="s">
        <v>333</v>
      </c>
      <c r="F88" s="216"/>
      <c r="G88" s="216">
        <f t="shared" si="1"/>
        <v>81641092</v>
      </c>
      <c r="H88" s="216"/>
      <c r="I88" s="216"/>
      <c r="J88" s="216"/>
      <c r="K88" s="240">
        <v>81641092</v>
      </c>
      <c r="L88" s="216"/>
      <c r="O88" s="216"/>
      <c r="P88" s="216"/>
      <c r="Q88" s="216"/>
      <c r="R88" s="216"/>
      <c r="S88" s="216"/>
      <c r="T88" s="216"/>
      <c r="U88" s="216"/>
      <c r="V88" s="216"/>
      <c r="W88" s="216"/>
      <c r="X88" s="216"/>
      <c r="Y88" s="216"/>
      <c r="Z88" s="216"/>
      <c r="AA88" s="216"/>
      <c r="AC88" s="216"/>
    </row>
    <row r="89" spans="1:29">
      <c r="F89" s="216"/>
      <c r="G89" s="241">
        <f t="shared" si="1"/>
        <v>0</v>
      </c>
      <c r="H89" s="216"/>
      <c r="I89" s="216"/>
      <c r="J89" s="216"/>
      <c r="K89" s="242"/>
      <c r="L89" s="216"/>
      <c r="O89" s="241"/>
      <c r="S89" s="241"/>
      <c r="W89" s="241"/>
      <c r="AA89" s="241"/>
    </row>
    <row r="90" spans="1:29">
      <c r="A90" s="243" t="s">
        <v>334</v>
      </c>
      <c r="F90" s="216"/>
      <c r="G90" s="243">
        <f>SUM(G82:G89)</f>
        <v>5073039339</v>
      </c>
      <c r="K90" s="243">
        <f>SUM(K82:K89)</f>
        <v>5073039339</v>
      </c>
      <c r="O90" s="243">
        <f>SUM(O82:O89)</f>
        <v>0</v>
      </c>
      <c r="S90" s="243">
        <f>SUM(S82:S89)</f>
        <v>0</v>
      </c>
      <c r="W90" s="243">
        <f>SUM(W82:W89)</f>
        <v>0</v>
      </c>
      <c r="AA90" s="243">
        <f>SUM(AA82:AA89)</f>
        <v>0</v>
      </c>
    </row>
    <row r="91" spans="1:29">
      <c r="A91" s="157"/>
      <c r="B91" s="157"/>
      <c r="D91" s="157"/>
      <c r="E91" s="157"/>
      <c r="F91" s="208"/>
      <c r="G91" s="243"/>
      <c r="K91" s="161"/>
      <c r="O91" s="161"/>
      <c r="S91" s="161"/>
      <c r="W91" s="161"/>
      <c r="AA91" s="161"/>
    </row>
    <row r="92" spans="1:29" ht="15.75">
      <c r="A92" s="157" t="s">
        <v>335</v>
      </c>
      <c r="B92" s="157"/>
      <c r="D92" s="157"/>
      <c r="E92" s="157"/>
      <c r="F92" s="238" t="s">
        <v>336</v>
      </c>
      <c r="G92" s="161">
        <v>71816</v>
      </c>
      <c r="K92" s="161"/>
      <c r="L92" s="238" t="s">
        <v>417</v>
      </c>
      <c r="O92" s="161"/>
      <c r="S92" s="161"/>
      <c r="W92" s="250" t="s">
        <v>343</v>
      </c>
      <c r="X92" s="216"/>
      <c r="Y92" s="161">
        <f>+AA37</f>
        <v>204782</v>
      </c>
      <c r="AB92" s="161" t="s">
        <v>418</v>
      </c>
    </row>
    <row r="93" spans="1:29">
      <c r="A93" s="157" t="s">
        <v>337</v>
      </c>
      <c r="B93" s="157"/>
      <c r="D93" s="157"/>
      <c r="E93" s="157"/>
      <c r="F93" s="238" t="s">
        <v>419</v>
      </c>
      <c r="G93" s="161">
        <v>7786520972</v>
      </c>
      <c r="K93" s="244" t="s">
        <v>367</v>
      </c>
      <c r="M93" s="161">
        <f>G93+G82</f>
        <v>12767448311</v>
      </c>
      <c r="O93" s="161"/>
      <c r="S93" s="161"/>
      <c r="W93" s="216"/>
      <c r="X93" s="216"/>
      <c r="Y93" s="161">
        <f>+AC37</f>
        <v>247908</v>
      </c>
      <c r="AB93" s="157" t="s">
        <v>344</v>
      </c>
    </row>
    <row r="94" spans="1:29" ht="15.75" thickBot="1">
      <c r="A94" s="156" t="s">
        <v>339</v>
      </c>
      <c r="B94" s="157"/>
      <c r="D94" s="157"/>
      <c r="E94" s="157"/>
      <c r="F94" s="208"/>
      <c r="G94" s="245">
        <f>G90+G92+G93</f>
        <v>12859632127</v>
      </c>
      <c r="I94" s="161" t="s">
        <v>340</v>
      </c>
      <c r="K94" s="161"/>
      <c r="M94" s="161">
        <f>G93+K82</f>
        <v>12767448311</v>
      </c>
      <c r="O94" s="161"/>
      <c r="S94" s="161"/>
      <c r="W94" s="216"/>
      <c r="X94" s="216"/>
      <c r="Y94" s="322">
        <f>SUM(Y92:Y93)</f>
        <v>452690</v>
      </c>
      <c r="Z94" s="216"/>
      <c r="AA94" s="161">
        <f>Y94/2</f>
        <v>226345</v>
      </c>
      <c r="AB94" s="161" t="s">
        <v>349</v>
      </c>
    </row>
    <row r="95" spans="1:29" ht="15.75" thickTop="1">
      <c r="A95" s="156"/>
      <c r="B95" s="157"/>
      <c r="D95" s="157"/>
      <c r="E95" s="157"/>
      <c r="F95" s="208"/>
      <c r="G95" s="285"/>
      <c r="K95" s="161"/>
      <c r="O95" s="161"/>
      <c r="S95" s="161"/>
      <c r="W95" s="216"/>
      <c r="X95" s="216"/>
      <c r="Y95" s="194"/>
      <c r="Z95" s="194"/>
      <c r="AA95" s="161">
        <f>+AA68</f>
        <v>310440</v>
      </c>
      <c r="AB95" s="161" t="s">
        <v>351</v>
      </c>
    </row>
    <row r="96" spans="1:29" ht="15.75" thickBot="1">
      <c r="A96" s="156"/>
      <c r="B96" s="157"/>
      <c r="D96" s="157"/>
      <c r="E96" s="157"/>
      <c r="F96" s="208"/>
      <c r="G96" s="285"/>
      <c r="K96" s="161"/>
      <c r="O96" s="161"/>
      <c r="S96" s="161"/>
      <c r="W96" s="216"/>
      <c r="X96" s="216"/>
      <c r="Z96" s="216"/>
      <c r="AA96" s="323">
        <f>SUM(AA94:AA95)</f>
        <v>536785</v>
      </c>
      <c r="AB96" s="243" t="s">
        <v>37</v>
      </c>
    </row>
    <row r="97" spans="1:29" ht="16.5" thickTop="1">
      <c r="A97" s="286" t="s">
        <v>360</v>
      </c>
      <c r="B97" s="157"/>
      <c r="D97" s="269"/>
      <c r="E97" s="269"/>
      <c r="F97" s="271"/>
      <c r="G97" s="216"/>
      <c r="H97" s="216"/>
      <c r="K97" s="161"/>
      <c r="O97" s="161"/>
      <c r="S97" s="161"/>
      <c r="U97" s="216"/>
      <c r="V97" s="216"/>
      <c r="Y97" s="157" t="s">
        <v>348</v>
      </c>
      <c r="Z97" s="194"/>
      <c r="AA97" s="157"/>
      <c r="AB97" s="163"/>
    </row>
    <row r="98" spans="1:29">
      <c r="A98" s="180"/>
      <c r="B98" s="157"/>
      <c r="D98" s="270"/>
      <c r="E98" s="270"/>
      <c r="F98" s="270"/>
      <c r="G98" s="287" t="s">
        <v>377</v>
      </c>
      <c r="H98" s="272"/>
      <c r="I98" s="287" t="s">
        <v>231</v>
      </c>
      <c r="K98" s="161"/>
      <c r="O98" s="161"/>
      <c r="S98" s="161"/>
      <c r="U98" s="216"/>
      <c r="V98" s="216"/>
      <c r="Y98" s="161" t="s">
        <v>15</v>
      </c>
      <c r="Z98" s="216"/>
      <c r="AA98" s="288">
        <f>ROUND(+AA96/G44,6)</f>
        <v>1.2E-5</v>
      </c>
      <c r="AC98" s="289"/>
    </row>
    <row r="99" spans="1:29">
      <c r="A99" s="180"/>
      <c r="B99" s="157"/>
      <c r="D99" s="270"/>
      <c r="E99" s="253" t="s">
        <v>5</v>
      </c>
      <c r="F99" s="270"/>
      <c r="G99" s="256">
        <f>ROUND(K90/G90,6)</f>
        <v>1</v>
      </c>
      <c r="H99" s="253"/>
      <c r="I99" s="256">
        <v>1</v>
      </c>
      <c r="K99" s="161"/>
      <c r="O99" s="161"/>
      <c r="S99" s="161"/>
      <c r="U99" s="216"/>
      <c r="V99" s="216"/>
      <c r="Y99" s="161" t="s">
        <v>84</v>
      </c>
      <c r="Z99" s="262"/>
      <c r="AA99" s="288">
        <f>ROUND(+AA76/G76,6)</f>
        <v>2.9E-5</v>
      </c>
    </row>
    <row r="100" spans="1:29" ht="15">
      <c r="A100" s="156"/>
      <c r="B100" s="157"/>
      <c r="D100" s="157"/>
      <c r="E100" s="157"/>
      <c r="F100" s="208"/>
      <c r="G100" s="285"/>
      <c r="K100" s="161"/>
      <c r="O100" s="161"/>
      <c r="S100" s="161"/>
      <c r="U100" s="216"/>
      <c r="V100" s="216"/>
      <c r="Y100" s="161" t="s">
        <v>5</v>
      </c>
      <c r="Z100" s="262"/>
      <c r="AA100" s="288">
        <f>ROUND(AA90/G90,6)</f>
        <v>0</v>
      </c>
    </row>
    <row r="101" spans="1:29" ht="15">
      <c r="A101" s="156"/>
      <c r="B101" s="157"/>
      <c r="D101" s="157"/>
      <c r="E101" s="157"/>
      <c r="F101" s="208"/>
      <c r="G101" s="285"/>
      <c r="K101" s="161"/>
      <c r="O101" s="161"/>
      <c r="S101" s="161"/>
      <c r="U101" s="216"/>
      <c r="V101" s="216"/>
      <c r="Y101" s="161" t="s">
        <v>5</v>
      </c>
      <c r="Z101" s="262"/>
      <c r="AA101" s="324">
        <f>+AA100</f>
        <v>0</v>
      </c>
    </row>
    <row r="102" spans="1:29" ht="15">
      <c r="A102" s="156"/>
      <c r="B102" s="157"/>
      <c r="D102" s="157"/>
      <c r="E102" s="157"/>
      <c r="F102" s="208"/>
      <c r="G102" s="285"/>
      <c r="K102" s="161"/>
      <c r="O102" s="161"/>
      <c r="S102" s="161"/>
      <c r="U102" s="216"/>
      <c r="V102" s="216"/>
      <c r="Y102" s="161" t="s">
        <v>47</v>
      </c>
      <c r="AA102" s="288">
        <f>SUM(AA98:AA101)</f>
        <v>4.1E-5</v>
      </c>
      <c r="AB102" s="267"/>
      <c r="AC102" s="268" t="s">
        <v>359</v>
      </c>
    </row>
    <row r="103" spans="1:29" ht="15">
      <c r="A103" s="156"/>
      <c r="B103" s="157"/>
      <c r="D103" s="157"/>
      <c r="E103" s="157"/>
      <c r="F103" s="208"/>
      <c r="G103" s="285"/>
      <c r="K103" s="161"/>
      <c r="O103" s="161"/>
      <c r="S103" s="161"/>
      <c r="V103" s="165"/>
      <c r="W103" s="161"/>
      <c r="Y103" s="161" t="s">
        <v>420</v>
      </c>
      <c r="Z103" s="165"/>
      <c r="AA103" s="161">
        <v>4</v>
      </c>
    </row>
    <row r="104" spans="1:29" ht="15.75" thickBot="1">
      <c r="A104" s="156"/>
      <c r="B104" s="157"/>
      <c r="D104" s="157"/>
      <c r="E104" s="157"/>
      <c r="F104" s="208"/>
      <c r="G104" s="285"/>
      <c r="K104" s="161"/>
      <c r="O104" s="161"/>
      <c r="S104" s="161"/>
      <c r="W104" s="161"/>
      <c r="Y104" s="161" t="s">
        <v>358</v>
      </c>
      <c r="Z104" s="216"/>
      <c r="AA104" s="325">
        <f>ROUND(AA102/AA103,8)</f>
        <v>1.025E-5</v>
      </c>
    </row>
    <row r="105" spans="1:29" s="243" customFormat="1" ht="13.9" hidden="1" customHeight="1" thickTop="1">
      <c r="A105" s="326" t="s">
        <v>421</v>
      </c>
      <c r="B105" s="246"/>
      <c r="F105" s="238"/>
      <c r="J105" s="238"/>
      <c r="K105" s="327"/>
      <c r="AA105" s="249"/>
    </row>
    <row r="106" spans="1:29" ht="13.15" hidden="1" customHeight="1">
      <c r="A106" s="161" t="s">
        <v>2</v>
      </c>
      <c r="B106" s="157"/>
      <c r="F106" s="238" t="s">
        <v>327</v>
      </c>
      <c r="G106" s="161">
        <f>SUM(K106:AA106)</f>
        <v>4980927339.0000019</v>
      </c>
      <c r="J106" s="238" t="s">
        <v>327</v>
      </c>
      <c r="K106" s="185">
        <v>4625973577.7252159</v>
      </c>
      <c r="N106" s="238" t="s">
        <v>327</v>
      </c>
      <c r="O106" s="177">
        <v>180806473.76632088</v>
      </c>
      <c r="R106" s="238" t="s">
        <v>327</v>
      </c>
      <c r="S106" s="177">
        <v>174147287.50846443</v>
      </c>
      <c r="W106" s="161">
        <v>0</v>
      </c>
      <c r="AA106" s="239">
        <v>0</v>
      </c>
    </row>
    <row r="107" spans="1:29" ht="13.15" hidden="1" customHeight="1">
      <c r="A107" s="161" t="s">
        <v>328</v>
      </c>
      <c r="B107" s="157"/>
      <c r="G107" s="161">
        <f t="shared" ref="G107:G113" si="2">SUM(K107:W107)</f>
        <v>0</v>
      </c>
      <c r="K107" s="185">
        <v>0</v>
      </c>
      <c r="O107" s="161"/>
      <c r="S107" s="161"/>
      <c r="W107" s="161">
        <v>0</v>
      </c>
      <c r="AA107" s="161"/>
    </row>
    <row r="108" spans="1:29" ht="13.15" hidden="1" customHeight="1">
      <c r="A108" s="161" t="s">
        <v>329</v>
      </c>
      <c r="B108" s="157"/>
      <c r="F108" s="216"/>
      <c r="G108" s="161">
        <f t="shared" si="2"/>
        <v>6889660</v>
      </c>
      <c r="K108" s="185">
        <v>6889660</v>
      </c>
      <c r="O108" s="161"/>
      <c r="S108" s="161"/>
      <c r="W108" s="161"/>
      <c r="AA108" s="161"/>
    </row>
    <row r="109" spans="1:29" ht="13.15" hidden="1" customHeight="1">
      <c r="A109" s="161" t="s">
        <v>330</v>
      </c>
      <c r="B109" s="157"/>
      <c r="F109" s="216"/>
      <c r="G109" s="161">
        <f t="shared" si="2"/>
        <v>39568</v>
      </c>
      <c r="K109" s="185">
        <v>39568</v>
      </c>
      <c r="O109" s="161"/>
      <c r="S109" s="161"/>
      <c r="W109" s="161"/>
      <c r="AA109" s="161"/>
    </row>
    <row r="110" spans="1:29" ht="13.15" hidden="1" customHeight="1">
      <c r="A110" s="161" t="s">
        <v>331</v>
      </c>
      <c r="B110" s="157"/>
      <c r="F110" s="216"/>
      <c r="G110" s="161">
        <f t="shared" si="2"/>
        <v>3541680</v>
      </c>
      <c r="K110" s="185">
        <v>3541680</v>
      </c>
      <c r="O110" s="291">
        <v>0</v>
      </c>
      <c r="S110" s="161"/>
      <c r="W110" s="161"/>
      <c r="AA110" s="161"/>
    </row>
    <row r="111" spans="1:29" ht="13.15" hidden="1" customHeight="1">
      <c r="A111" s="161" t="s">
        <v>332</v>
      </c>
      <c r="B111" s="157"/>
      <c r="F111" s="216"/>
      <c r="G111" s="161">
        <f t="shared" si="2"/>
        <v>0</v>
      </c>
      <c r="K111" s="185">
        <v>0</v>
      </c>
      <c r="O111" s="291">
        <v>0</v>
      </c>
      <c r="S111" s="161"/>
      <c r="W111" s="161"/>
      <c r="AA111" s="161"/>
    </row>
    <row r="112" spans="1:29" ht="13.15" hidden="1" customHeight="1">
      <c r="A112" s="161" t="s">
        <v>333</v>
      </c>
      <c r="B112" s="157"/>
      <c r="F112" s="216"/>
      <c r="G112" s="216">
        <f t="shared" si="2"/>
        <v>81641092</v>
      </c>
      <c r="H112" s="216"/>
      <c r="I112" s="216"/>
      <c r="J112" s="216"/>
      <c r="K112" s="240">
        <v>81641092</v>
      </c>
      <c r="L112" s="216"/>
      <c r="O112" s="216"/>
      <c r="P112" s="216"/>
      <c r="Q112" s="216"/>
      <c r="R112" s="216"/>
      <c r="S112" s="216"/>
      <c r="T112" s="216"/>
      <c r="U112" s="216"/>
      <c r="V112" s="216"/>
      <c r="W112" s="216"/>
      <c r="X112" s="216"/>
      <c r="Y112" s="216"/>
      <c r="Z112" s="216"/>
      <c r="AA112" s="216"/>
    </row>
    <row r="113" spans="1:27" ht="13.15" hidden="1" customHeight="1">
      <c r="B113" s="157"/>
      <c r="F113" s="216"/>
      <c r="G113" s="216">
        <f t="shared" si="2"/>
        <v>0</v>
      </c>
      <c r="H113" s="216"/>
      <c r="I113" s="216"/>
      <c r="J113" s="216"/>
      <c r="K113" s="242"/>
      <c r="L113" s="216"/>
      <c r="O113" s="241"/>
      <c r="S113" s="241"/>
      <c r="W113" s="241"/>
      <c r="AA113" s="241"/>
    </row>
    <row r="114" spans="1:27" ht="13.9" hidden="1" customHeight="1" thickBot="1">
      <c r="A114" s="243" t="s">
        <v>334</v>
      </c>
      <c r="B114" s="157"/>
      <c r="F114" s="216"/>
      <c r="G114" s="292">
        <f>SUM(G106:G113)</f>
        <v>5073039339.0000019</v>
      </c>
      <c r="K114" s="292">
        <f>SUM(K106:K113)</f>
        <v>4718085577.7252159</v>
      </c>
      <c r="O114" s="292">
        <f>SUM(O106:O113)</f>
        <v>180806473.76632088</v>
      </c>
      <c r="S114" s="292">
        <f>SUM(S106:S113)</f>
        <v>174147287.50846443</v>
      </c>
      <c r="W114" s="292">
        <f>SUM(W106:W113)</f>
        <v>0</v>
      </c>
      <c r="AA114" s="292">
        <f>SUM(AA106:AA113)</f>
        <v>0</v>
      </c>
    </row>
    <row r="115" spans="1:27" ht="14.45" hidden="1" customHeight="1" thickTop="1">
      <c r="A115" s="156"/>
      <c r="B115" s="157"/>
      <c r="D115" s="157"/>
      <c r="E115" s="157"/>
      <c r="F115" s="157"/>
      <c r="G115" s="208"/>
      <c r="H115" s="285"/>
      <c r="K115" s="161"/>
      <c r="O115" s="161"/>
      <c r="S115" s="161"/>
      <c r="W115" s="161"/>
      <c r="AA115" s="161"/>
    </row>
    <row r="116" spans="1:27" ht="10.5" hidden="1" customHeight="1">
      <c r="A116" s="156"/>
      <c r="B116" s="157"/>
      <c r="D116" s="157"/>
      <c r="E116" s="157"/>
      <c r="F116" s="157"/>
      <c r="G116" s="208"/>
      <c r="K116" s="161"/>
      <c r="O116" s="161"/>
      <c r="S116" s="161"/>
      <c r="W116" s="161"/>
      <c r="AA116" s="161"/>
    </row>
    <row r="117" spans="1:27" ht="15.6" hidden="1" customHeight="1">
      <c r="A117" s="286" t="s">
        <v>422</v>
      </c>
      <c r="B117" s="157"/>
      <c r="D117" s="157"/>
      <c r="E117" s="157"/>
      <c r="F117" s="157"/>
      <c r="H117" s="157"/>
      <c r="K117" s="161"/>
      <c r="L117" s="280"/>
      <c r="O117" s="161"/>
      <c r="P117" s="249"/>
      <c r="Q117" s="216"/>
      <c r="R117" s="216"/>
      <c r="S117" s="216"/>
      <c r="T117" s="216"/>
      <c r="U117" s="216"/>
    </row>
    <row r="118" spans="1:27" ht="13.15" hidden="1" customHeight="1">
      <c r="A118" s="157"/>
      <c r="B118" s="157"/>
      <c r="D118" s="157"/>
      <c r="E118" s="157"/>
      <c r="F118" s="165"/>
      <c r="G118" s="287" t="s">
        <v>231</v>
      </c>
      <c r="H118" s="208"/>
      <c r="I118" s="287" t="s">
        <v>232</v>
      </c>
      <c r="K118" s="287" t="s">
        <v>346</v>
      </c>
      <c r="O118" s="161"/>
      <c r="P118" s="252"/>
      <c r="Q118" s="216"/>
      <c r="R118" s="252"/>
      <c r="S118" s="216"/>
      <c r="T118" s="223"/>
      <c r="U118" s="216"/>
    </row>
    <row r="119" spans="1:27" ht="13.15" hidden="1" customHeight="1">
      <c r="A119" s="157"/>
      <c r="B119" s="157"/>
      <c r="C119" s="157"/>
      <c r="D119" s="157"/>
      <c r="E119" s="157"/>
      <c r="F119" s="253" t="s">
        <v>348</v>
      </c>
      <c r="G119" s="178"/>
      <c r="I119" s="157"/>
      <c r="K119" s="161"/>
      <c r="O119" s="161"/>
      <c r="P119" s="254"/>
      <c r="Q119" s="216"/>
      <c r="R119" s="216"/>
      <c r="S119" s="216"/>
      <c r="T119" s="216"/>
      <c r="U119" s="216"/>
    </row>
    <row r="120" spans="1:27" ht="13.15" hidden="1" customHeight="1">
      <c r="A120" s="157"/>
      <c r="B120" s="157"/>
      <c r="C120" s="157"/>
      <c r="D120" s="157"/>
      <c r="E120" s="157"/>
      <c r="F120" s="253" t="s">
        <v>350</v>
      </c>
      <c r="G120" s="256">
        <f>ROUND(K44/G44,6)</f>
        <v>0.94014399999999998</v>
      </c>
      <c r="I120" s="256">
        <v>0.91518600000000006</v>
      </c>
      <c r="J120" s="157"/>
      <c r="K120" s="256">
        <f>+G120-I120</f>
        <v>2.4957999999999925E-2</v>
      </c>
      <c r="M120" s="157"/>
      <c r="O120" s="157" t="s">
        <v>369</v>
      </c>
      <c r="P120" s="157"/>
      <c r="Q120" s="157"/>
      <c r="R120" s="157"/>
      <c r="S120" s="293">
        <f>G93</f>
        <v>7786520972</v>
      </c>
    </row>
    <row r="121" spans="1:27" ht="13.15" hidden="1" customHeight="1">
      <c r="A121" s="157"/>
      <c r="B121" s="157"/>
      <c r="C121" s="157"/>
      <c r="D121" s="157"/>
      <c r="E121" s="157"/>
      <c r="F121" s="253" t="s">
        <v>352</v>
      </c>
      <c r="G121" s="256">
        <f>K76/G76</f>
        <v>0.99879337058349149</v>
      </c>
      <c r="I121" s="256">
        <v>0.96192599999999995</v>
      </c>
      <c r="K121" s="256">
        <f>+G121-I121</f>
        <v>3.6867370583491543E-2</v>
      </c>
      <c r="O121" s="161"/>
      <c r="P121" s="254"/>
      <c r="Q121" s="216"/>
      <c r="R121" s="216"/>
      <c r="S121" s="216"/>
      <c r="T121" s="216"/>
      <c r="U121" s="216"/>
    </row>
    <row r="122" spans="1:27" ht="13.15" hidden="1" customHeight="1">
      <c r="A122" s="157"/>
      <c r="B122" s="157"/>
      <c r="C122" s="157"/>
      <c r="D122" s="157"/>
      <c r="E122" s="157"/>
      <c r="F122" s="253" t="s">
        <v>353</v>
      </c>
      <c r="G122" s="294">
        <f>K114/G114</f>
        <v>0.93003134067066895</v>
      </c>
      <c r="I122" s="294">
        <v>0.94698800000000005</v>
      </c>
      <c r="J122" s="157"/>
      <c r="K122" s="294">
        <f>+G122-I122</f>
        <v>-1.6956659329331103E-2</v>
      </c>
      <c r="M122" s="157"/>
      <c r="O122" s="157"/>
      <c r="P122" s="252"/>
      <c r="Q122" s="244" t="s">
        <v>367</v>
      </c>
      <c r="R122" s="216"/>
      <c r="S122" s="223">
        <f>S120+G106</f>
        <v>12767448311.000002</v>
      </c>
      <c r="U122" s="216"/>
    </row>
    <row r="123" spans="1:27" ht="13.15" hidden="1" customHeight="1">
      <c r="A123" s="157"/>
      <c r="B123" s="157"/>
      <c r="C123" s="157"/>
      <c r="D123" s="157"/>
      <c r="E123" s="157"/>
      <c r="F123" s="157"/>
      <c r="G123" s="256">
        <f>SUM(G120:G122)</f>
        <v>2.8689687112541606</v>
      </c>
      <c r="H123" s="254"/>
      <c r="I123" s="256">
        <f>SUM(I120:I122)</f>
        <v>2.8241000000000001</v>
      </c>
      <c r="J123" s="157"/>
      <c r="K123" s="256">
        <f>SUM(K120:K122)</f>
        <v>4.4868711254160365E-2</v>
      </c>
      <c r="M123" s="157"/>
      <c r="Q123" s="214" t="s">
        <v>340</v>
      </c>
      <c r="R123" s="216"/>
      <c r="S123" s="223">
        <f>S120+K106</f>
        <v>12412494549.725216</v>
      </c>
      <c r="U123" s="216"/>
    </row>
    <row r="124" spans="1:27" ht="13.15" hidden="1" customHeight="1">
      <c r="A124" s="157"/>
      <c r="B124" s="157"/>
      <c r="C124" s="157"/>
      <c r="D124" s="157"/>
      <c r="E124" s="157"/>
      <c r="F124" s="157"/>
      <c r="G124" s="263" t="s">
        <v>354</v>
      </c>
      <c r="H124" s="257"/>
      <c r="I124" s="263" t="s">
        <v>354</v>
      </c>
      <c r="K124" s="263" t="s">
        <v>354</v>
      </c>
      <c r="O124" s="161"/>
      <c r="P124" s="254"/>
      <c r="Q124" s="216"/>
      <c r="R124" s="216"/>
      <c r="S124" s="216"/>
      <c r="T124" s="216"/>
      <c r="U124" s="216"/>
    </row>
    <row r="125" spans="1:27" ht="13.9" hidden="1" customHeight="1" thickBot="1">
      <c r="A125" s="157"/>
      <c r="B125" s="157"/>
      <c r="C125" s="157"/>
      <c r="D125" s="157"/>
      <c r="E125" s="157"/>
      <c r="F125" s="208"/>
      <c r="G125" s="328">
        <f>G123/3</f>
        <v>0.95632290375138684</v>
      </c>
      <c r="H125" s="254"/>
      <c r="I125" s="328">
        <f>I123/3</f>
        <v>0.94136666666666668</v>
      </c>
      <c r="K125" s="328">
        <f>K123/3</f>
        <v>1.4956237084720122E-2</v>
      </c>
      <c r="O125" s="161"/>
      <c r="P125" s="252"/>
      <c r="Q125" s="216"/>
      <c r="R125" s="252"/>
      <c r="S125" s="216"/>
      <c r="T125" s="223"/>
      <c r="U125" s="216"/>
    </row>
    <row r="126" spans="1:27" ht="13.9" hidden="1" customHeight="1" thickTop="1">
      <c r="A126" s="157"/>
      <c r="B126" s="157"/>
      <c r="C126" s="158"/>
      <c r="D126" s="158"/>
      <c r="E126" s="158"/>
      <c r="F126" s="181"/>
      <c r="G126" s="178" t="s">
        <v>356</v>
      </c>
      <c r="I126" s="178" t="s">
        <v>356</v>
      </c>
      <c r="K126" s="178" t="s">
        <v>356</v>
      </c>
      <c r="O126" s="161"/>
      <c r="P126" s="254"/>
      <c r="Q126" s="216"/>
      <c r="R126" s="216"/>
      <c r="S126" s="216"/>
      <c r="T126" s="216"/>
      <c r="U126" s="216"/>
    </row>
    <row r="127" spans="1:27" ht="1.5" hidden="1" customHeight="1" thickTop="1">
      <c r="A127" s="157"/>
      <c r="B127" s="157"/>
      <c r="C127" s="158"/>
      <c r="D127" s="269"/>
      <c r="E127" s="270"/>
      <c r="F127" s="269"/>
      <c r="G127" s="271"/>
      <c r="H127" s="216"/>
      <c r="I127" s="216"/>
      <c r="J127" s="328">
        <f>I125/3</f>
        <v>0.31378888888888889</v>
      </c>
      <c r="K127" s="216"/>
      <c r="L127" s="223"/>
      <c r="M127" s="216"/>
      <c r="N127" s="216"/>
      <c r="O127" s="216"/>
      <c r="P127" s="252"/>
      <c r="Q127" s="216"/>
      <c r="R127" s="252"/>
      <c r="S127" s="216"/>
      <c r="T127" s="223"/>
      <c r="U127" s="216"/>
    </row>
    <row r="128" spans="1:27" ht="13.5" thickTop="1">
      <c r="A128" s="157"/>
      <c r="B128" s="157"/>
      <c r="K128" s="216"/>
      <c r="L128" s="216"/>
      <c r="M128" s="216"/>
      <c r="N128" s="216"/>
      <c r="O128" s="216"/>
      <c r="P128" s="254"/>
      <c r="Q128" s="216"/>
      <c r="R128" s="216"/>
      <c r="S128" s="216"/>
      <c r="T128" s="216"/>
      <c r="U128" s="216"/>
      <c r="V128" s="216"/>
      <c r="W128" s="216"/>
      <c r="X128" s="216"/>
      <c r="AA128" s="216"/>
    </row>
    <row r="129" spans="1:27" s="274" customFormat="1" ht="48" customHeight="1">
      <c r="A129" s="348" t="s">
        <v>423</v>
      </c>
      <c r="B129" s="348"/>
      <c r="C129" s="348"/>
      <c r="D129" s="348"/>
      <c r="E129" s="348"/>
      <c r="F129" s="348"/>
      <c r="G129" s="348"/>
      <c r="H129" s="348"/>
      <c r="I129" s="348"/>
      <c r="J129" s="348"/>
      <c r="K129" s="348"/>
      <c r="L129" s="348"/>
      <c r="M129" s="348"/>
      <c r="N129" s="348"/>
      <c r="O129" s="348"/>
      <c r="P129" s="348"/>
      <c r="Q129" s="348"/>
      <c r="R129" s="348"/>
      <c r="S129" s="348"/>
      <c r="T129" s="348"/>
      <c r="U129" s="348"/>
      <c r="V129" s="348"/>
      <c r="W129" s="348"/>
      <c r="X129" s="348"/>
      <c r="Y129" s="348"/>
      <c r="Z129" s="348"/>
      <c r="AA129" s="348"/>
    </row>
    <row r="130" spans="1:27">
      <c r="A130" s="158"/>
      <c r="B130" s="269"/>
      <c r="C130" s="269"/>
      <c r="D130" s="269"/>
      <c r="E130" s="269"/>
      <c r="F130" s="194"/>
      <c r="G130" s="194"/>
      <c r="H130" s="216"/>
      <c r="I130" s="194"/>
      <c r="J130" s="216"/>
      <c r="K130" s="194"/>
      <c r="L130" s="216"/>
      <c r="M130" s="194"/>
      <c r="N130" s="252"/>
      <c r="O130" s="216"/>
      <c r="P130" s="252"/>
      <c r="Q130" s="216"/>
      <c r="R130" s="223"/>
      <c r="S130" s="216"/>
      <c r="T130" s="216"/>
      <c r="U130" s="216"/>
      <c r="V130" s="216"/>
      <c r="W130" s="161"/>
      <c r="Y130" s="216"/>
      <c r="AA130" s="161"/>
    </row>
    <row r="131" spans="1:27" s="274" customFormat="1" ht="24.6" customHeight="1">
      <c r="A131" s="348" t="s">
        <v>424</v>
      </c>
      <c r="B131" s="348"/>
      <c r="C131" s="348"/>
      <c r="D131" s="348"/>
      <c r="E131" s="348"/>
      <c r="F131" s="348"/>
      <c r="G131" s="348"/>
      <c r="H131" s="348"/>
      <c r="I131" s="348"/>
      <c r="J131" s="348"/>
      <c r="K131" s="348"/>
      <c r="L131" s="348"/>
      <c r="M131" s="348"/>
      <c r="N131" s="348"/>
      <c r="O131" s="348"/>
      <c r="P131" s="348"/>
      <c r="Q131" s="348"/>
      <c r="R131" s="348"/>
      <c r="S131" s="348"/>
      <c r="T131" s="348"/>
      <c r="U131" s="348"/>
      <c r="V131" s="348"/>
      <c r="W131" s="348"/>
      <c r="X131" s="348"/>
      <c r="Y131" s="348"/>
      <c r="Z131" s="348"/>
      <c r="AA131" s="348"/>
    </row>
    <row r="132" spans="1:27">
      <c r="C132" s="180"/>
      <c r="D132" s="270"/>
      <c r="E132" s="270"/>
      <c r="F132" s="270"/>
      <c r="G132" s="271"/>
      <c r="H132" s="216"/>
      <c r="I132" s="216"/>
      <c r="J132" s="270"/>
      <c r="K132" s="275"/>
      <c r="L132" s="216"/>
      <c r="M132" s="216"/>
      <c r="N132" s="216"/>
      <c r="O132" s="275"/>
      <c r="P132" s="252"/>
      <c r="Q132" s="216"/>
      <c r="R132" s="252"/>
      <c r="S132" s="216"/>
      <c r="T132" s="223"/>
      <c r="U132" s="216"/>
      <c r="V132" s="216"/>
      <c r="W132" s="216"/>
      <c r="X132" s="216"/>
      <c r="AA132" s="216"/>
    </row>
    <row r="133" spans="1:27">
      <c r="D133" s="216"/>
      <c r="E133" s="216"/>
      <c r="F133" s="216"/>
      <c r="G133" s="275"/>
      <c r="H133" s="216"/>
      <c r="I133" s="216"/>
      <c r="J133" s="270"/>
      <c r="K133" s="275"/>
      <c r="L133" s="270"/>
      <c r="M133" s="216"/>
      <c r="N133" s="216"/>
      <c r="O133" s="275"/>
      <c r="P133" s="254"/>
      <c r="Q133" s="216"/>
      <c r="R133" s="216"/>
      <c r="S133" s="216"/>
      <c r="T133" s="216"/>
      <c r="U133" s="216"/>
      <c r="V133" s="216"/>
      <c r="W133" s="216"/>
      <c r="X133" s="216"/>
      <c r="AA133" s="216"/>
    </row>
    <row r="134" spans="1:27">
      <c r="D134" s="216"/>
      <c r="E134" s="216"/>
      <c r="F134" s="216"/>
      <c r="G134" s="275"/>
      <c r="H134" s="216"/>
      <c r="I134" s="216"/>
      <c r="J134" s="254"/>
      <c r="K134" s="275"/>
      <c r="L134" s="270"/>
      <c r="M134" s="216"/>
      <c r="N134" s="270"/>
      <c r="O134" s="275"/>
      <c r="P134" s="252"/>
      <c r="Q134" s="216"/>
      <c r="R134" s="252"/>
      <c r="S134" s="216"/>
      <c r="T134" s="223"/>
      <c r="U134" s="216"/>
      <c r="V134" s="216"/>
      <c r="W134" s="216"/>
      <c r="X134" s="216"/>
      <c r="AA134" s="216"/>
    </row>
    <row r="135" spans="1:27">
      <c r="D135" s="216"/>
      <c r="E135" s="216"/>
      <c r="F135" s="216"/>
      <c r="G135" s="275"/>
      <c r="H135" s="216"/>
      <c r="I135" s="216"/>
      <c r="J135" s="270"/>
      <c r="K135" s="275"/>
      <c r="L135" s="270"/>
      <c r="M135" s="216"/>
      <c r="N135" s="270"/>
      <c r="O135" s="275"/>
      <c r="P135" s="254"/>
      <c r="Q135" s="216"/>
      <c r="R135" s="216"/>
      <c r="S135" s="216"/>
      <c r="T135" s="216"/>
      <c r="U135" s="216"/>
      <c r="V135" s="216"/>
      <c r="W135" s="216"/>
      <c r="X135" s="216"/>
      <c r="AA135" s="216"/>
    </row>
    <row r="136" spans="1:27">
      <c r="D136" s="216"/>
      <c r="E136" s="216"/>
      <c r="F136" s="216"/>
      <c r="G136" s="275"/>
      <c r="H136" s="216"/>
      <c r="I136" s="216"/>
      <c r="J136" s="270"/>
      <c r="K136" s="275"/>
      <c r="L136" s="270"/>
      <c r="M136" s="216"/>
      <c r="N136" s="270"/>
      <c r="O136" s="275"/>
      <c r="P136" s="252"/>
      <c r="Q136" s="216"/>
      <c r="R136" s="252"/>
      <c r="S136" s="216"/>
      <c r="T136" s="223"/>
      <c r="U136" s="216"/>
      <c r="V136" s="216"/>
      <c r="W136" s="216"/>
      <c r="X136" s="216"/>
      <c r="AA136" s="216"/>
    </row>
    <row r="137" spans="1:27">
      <c r="D137" s="216"/>
      <c r="E137" s="216"/>
      <c r="F137" s="216"/>
      <c r="G137" s="275"/>
      <c r="H137" s="216"/>
      <c r="I137" s="216"/>
      <c r="J137" s="270"/>
      <c r="K137" s="275"/>
      <c r="L137" s="270"/>
      <c r="M137" s="216"/>
      <c r="N137" s="270"/>
      <c r="O137" s="275"/>
      <c r="P137" s="254"/>
      <c r="Q137" s="216"/>
      <c r="R137" s="216"/>
      <c r="S137" s="216"/>
      <c r="T137" s="216"/>
      <c r="U137" s="216"/>
      <c r="V137" s="216"/>
      <c r="W137" s="216"/>
      <c r="X137" s="216"/>
      <c r="AA137" s="216"/>
    </row>
    <row r="138" spans="1:27">
      <c r="D138" s="216"/>
      <c r="E138" s="216"/>
      <c r="F138" s="216"/>
      <c r="G138" s="275"/>
      <c r="H138" s="216"/>
      <c r="I138" s="216"/>
      <c r="J138" s="270"/>
      <c r="K138" s="275"/>
      <c r="L138" s="216"/>
      <c r="M138" s="216"/>
      <c r="N138" s="270"/>
      <c r="O138" s="275"/>
      <c r="P138" s="252"/>
      <c r="Q138" s="216"/>
      <c r="R138" s="252"/>
      <c r="S138" s="216"/>
      <c r="T138" s="223"/>
      <c r="U138" s="216"/>
      <c r="V138" s="216"/>
      <c r="W138" s="216"/>
      <c r="X138" s="216"/>
      <c r="AA138" s="216"/>
    </row>
    <row r="139" spans="1:27">
      <c r="D139" s="216"/>
      <c r="E139" s="216"/>
      <c r="F139" s="216"/>
      <c r="G139" s="275"/>
      <c r="H139" s="216"/>
      <c r="I139" s="216"/>
      <c r="J139" s="270"/>
      <c r="K139" s="275"/>
      <c r="L139" s="270"/>
      <c r="M139" s="216"/>
      <c r="N139" s="270"/>
      <c r="O139" s="275"/>
      <c r="P139" s="254"/>
      <c r="Q139" s="216"/>
      <c r="R139" s="216"/>
      <c r="S139" s="216"/>
      <c r="T139" s="216"/>
      <c r="U139" s="216"/>
      <c r="V139" s="216"/>
      <c r="W139" s="216"/>
      <c r="X139" s="216"/>
      <c r="AA139" s="216"/>
    </row>
    <row r="140" spans="1:27">
      <c r="D140" s="216"/>
      <c r="E140" s="216"/>
      <c r="F140" s="216"/>
      <c r="G140" s="275"/>
      <c r="H140" s="216"/>
      <c r="I140" s="216"/>
      <c r="J140" s="270"/>
      <c r="K140" s="275"/>
      <c r="L140" s="270"/>
      <c r="M140" s="216"/>
      <c r="N140" s="270"/>
      <c r="O140" s="275"/>
      <c r="P140" s="254"/>
      <c r="Q140" s="216"/>
      <c r="R140" s="252"/>
      <c r="S140" s="216"/>
      <c r="T140" s="223"/>
      <c r="U140" s="216"/>
      <c r="V140" s="216"/>
      <c r="W140" s="216"/>
      <c r="X140" s="216"/>
      <c r="AA140" s="216"/>
    </row>
    <row r="141" spans="1:27">
      <c r="D141" s="216"/>
      <c r="E141" s="216"/>
      <c r="F141" s="216"/>
      <c r="G141" s="275"/>
      <c r="H141" s="216"/>
      <c r="I141" s="216"/>
      <c r="J141" s="270"/>
      <c r="K141" s="275"/>
      <c r="L141" s="270"/>
      <c r="M141" s="216"/>
      <c r="N141" s="270"/>
      <c r="O141" s="275"/>
      <c r="P141" s="254"/>
      <c r="Q141" s="270"/>
      <c r="R141" s="270"/>
      <c r="S141" s="270"/>
      <c r="T141" s="270"/>
      <c r="U141" s="270"/>
      <c r="V141" s="270"/>
      <c r="W141" s="270"/>
      <c r="X141" s="216"/>
      <c r="AA141" s="216"/>
    </row>
    <row r="142" spans="1:27">
      <c r="D142" s="216"/>
      <c r="E142" s="216"/>
      <c r="F142" s="216"/>
      <c r="G142" s="275"/>
      <c r="H142" s="216"/>
      <c r="I142" s="216"/>
      <c r="J142" s="270"/>
      <c r="K142" s="275"/>
      <c r="L142" s="270"/>
      <c r="M142" s="216"/>
      <c r="N142" s="270"/>
      <c r="O142" s="275"/>
      <c r="P142" s="254"/>
      <c r="Q142" s="270"/>
      <c r="R142" s="276"/>
      <c r="S142" s="270"/>
      <c r="T142" s="277"/>
      <c r="U142" s="270"/>
      <c r="V142" s="270"/>
      <c r="W142" s="270"/>
      <c r="X142" s="216"/>
      <c r="AA142" s="216"/>
    </row>
    <row r="143" spans="1:27">
      <c r="D143" s="216"/>
      <c r="E143" s="216"/>
      <c r="F143" s="216"/>
      <c r="G143" s="275"/>
      <c r="H143" s="216"/>
      <c r="I143" s="216"/>
      <c r="J143" s="216"/>
      <c r="K143" s="275"/>
      <c r="L143" s="241"/>
      <c r="M143" s="216"/>
      <c r="N143" s="241"/>
      <c r="O143" s="275"/>
      <c r="P143" s="254"/>
      <c r="Q143" s="270"/>
      <c r="R143" s="270"/>
      <c r="S143" s="270"/>
      <c r="T143" s="270"/>
      <c r="U143" s="270"/>
      <c r="V143" s="270"/>
      <c r="W143" s="270"/>
      <c r="X143" s="216"/>
      <c r="AA143" s="216"/>
    </row>
    <row r="144" spans="1:27">
      <c r="D144" s="216"/>
      <c r="E144" s="216"/>
      <c r="F144" s="216"/>
      <c r="G144" s="275"/>
      <c r="H144" s="216"/>
      <c r="I144" s="216"/>
      <c r="J144" s="216"/>
      <c r="K144" s="275"/>
      <c r="L144" s="216"/>
      <c r="M144" s="216"/>
      <c r="N144" s="216"/>
      <c r="O144" s="275"/>
      <c r="P144" s="254"/>
      <c r="X144" s="216"/>
    </row>
    <row r="145" spans="4:24">
      <c r="D145" s="216"/>
      <c r="E145" s="216"/>
      <c r="F145" s="216"/>
      <c r="G145" s="275"/>
      <c r="H145" s="216"/>
      <c r="I145" s="216"/>
      <c r="J145" s="216"/>
      <c r="K145" s="275"/>
      <c r="L145" s="216"/>
      <c r="M145" s="216"/>
      <c r="N145" s="216"/>
      <c r="O145" s="275"/>
      <c r="P145" s="254"/>
      <c r="X145" s="216"/>
    </row>
    <row r="146" spans="4:24">
      <c r="D146" s="216"/>
      <c r="E146" s="216"/>
      <c r="F146" s="216"/>
      <c r="G146" s="275"/>
      <c r="H146" s="216"/>
      <c r="I146" s="216"/>
      <c r="J146" s="270"/>
      <c r="K146" s="275"/>
      <c r="L146" s="270"/>
      <c r="M146" s="216"/>
      <c r="N146" s="216"/>
      <c r="O146" s="275"/>
      <c r="X146" s="216"/>
    </row>
    <row r="147" spans="4:24">
      <c r="D147" s="216"/>
      <c r="E147" s="216"/>
      <c r="F147" s="216"/>
      <c r="G147" s="275"/>
      <c r="H147" s="216"/>
      <c r="I147" s="216"/>
      <c r="J147" s="270"/>
      <c r="K147" s="275"/>
      <c r="L147" s="216"/>
      <c r="M147" s="216"/>
      <c r="N147" s="216"/>
      <c r="O147" s="275"/>
      <c r="X147" s="216"/>
    </row>
    <row r="148" spans="4:24">
      <c r="D148" s="216"/>
      <c r="E148" s="216"/>
      <c r="F148" s="216"/>
      <c r="G148" s="275"/>
      <c r="H148" s="216"/>
      <c r="I148" s="216"/>
      <c r="J148" s="270"/>
      <c r="K148" s="275"/>
      <c r="L148" s="216"/>
      <c r="M148" s="216"/>
      <c r="N148" s="216"/>
      <c r="O148" s="275"/>
      <c r="X148" s="216"/>
    </row>
    <row r="149" spans="4:24">
      <c r="D149" s="216"/>
      <c r="E149" s="216"/>
      <c r="F149" s="216"/>
      <c r="G149" s="275"/>
      <c r="H149" s="216"/>
      <c r="I149" s="216"/>
      <c r="J149" s="270"/>
      <c r="K149" s="275"/>
      <c r="L149" s="216"/>
      <c r="M149" s="216"/>
      <c r="N149" s="270"/>
      <c r="O149" s="275"/>
      <c r="X149" s="216"/>
    </row>
    <row r="150" spans="4:24">
      <c r="D150" s="216"/>
      <c r="E150" s="216"/>
      <c r="F150" s="216"/>
      <c r="G150" s="275"/>
      <c r="H150" s="216"/>
      <c r="I150" s="216"/>
      <c r="J150" s="270"/>
      <c r="K150" s="275"/>
      <c r="L150" s="270"/>
      <c r="M150" s="216"/>
      <c r="N150" s="270"/>
      <c r="O150" s="275"/>
    </row>
    <row r="151" spans="4:24">
      <c r="D151" s="216"/>
      <c r="E151" s="216"/>
      <c r="F151" s="216"/>
      <c r="G151" s="275"/>
      <c r="H151" s="216"/>
      <c r="I151" s="216"/>
      <c r="J151" s="216"/>
      <c r="K151" s="275"/>
      <c r="L151" s="241"/>
      <c r="M151" s="216"/>
      <c r="N151" s="241"/>
      <c r="O151" s="275"/>
    </row>
    <row r="152" spans="4:24">
      <c r="D152" s="216"/>
      <c r="E152" s="216"/>
      <c r="F152" s="216"/>
      <c r="G152" s="275"/>
      <c r="H152" s="216"/>
      <c r="I152" s="216"/>
      <c r="J152" s="216"/>
      <c r="K152" s="275"/>
      <c r="L152" s="216"/>
      <c r="M152" s="216"/>
      <c r="N152" s="216"/>
      <c r="O152" s="275"/>
    </row>
    <row r="153" spans="4:24">
      <c r="D153" s="216"/>
      <c r="E153" s="216"/>
      <c r="F153" s="216"/>
      <c r="G153" s="275"/>
      <c r="H153" s="216"/>
      <c r="I153" s="216"/>
      <c r="J153" s="216"/>
      <c r="K153" s="275"/>
      <c r="L153" s="216"/>
      <c r="M153" s="216"/>
      <c r="N153" s="216"/>
      <c r="O153" s="275"/>
    </row>
    <row r="157" spans="4:24">
      <c r="L157" s="216"/>
    </row>
    <row r="158" spans="4:24">
      <c r="L158" s="216"/>
    </row>
    <row r="159" spans="4:24">
      <c r="L159" s="241"/>
    </row>
  </sheetData>
  <mergeCells count="12">
    <mergeCell ref="A75:AC75"/>
    <mergeCell ref="A80:AC80"/>
    <mergeCell ref="A129:AA129"/>
    <mergeCell ref="A131:AA131"/>
    <mergeCell ref="A6:AC6"/>
    <mergeCell ref="W7:Y7"/>
    <mergeCell ref="G8:I8"/>
    <mergeCell ref="K8:M8"/>
    <mergeCell ref="O8:Q8"/>
    <mergeCell ref="S8:U8"/>
    <mergeCell ref="W8:Y8"/>
    <mergeCell ref="AA8:AC8"/>
  </mergeCells>
  <printOptions horizontalCentered="1"/>
  <pageMargins left="0" right="0" top="0" bottom="0" header="0.5" footer="0.3"/>
  <pageSetup scale="42" orientation="landscape" r:id="rId1"/>
  <headerFooter alignWithMargins="0">
    <oddFooter>&amp;L&amp;"Arial MT,Bold"&amp;16&amp;KFF0000A1&amp;CPage &amp;P of &amp;N&amp;R&amp;Z&amp;F&amp;A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G136"/>
  <sheetViews>
    <sheetView defaultGridColor="0" topLeftCell="A22" colorId="22" zoomScale="85" zoomScaleNormal="85" workbookViewId="0">
      <selection activeCell="AA44" sqref="AA44"/>
    </sheetView>
  </sheetViews>
  <sheetFormatPr defaultRowHeight="12.75"/>
  <cols>
    <col min="1" max="2" width="10.7109375" style="161" customWidth="1"/>
    <col min="3" max="3" width="27.42578125" style="161" customWidth="1"/>
    <col min="4" max="4" width="5.5703125" style="161" customWidth="1"/>
    <col min="5" max="5" width="14.5703125" style="161" bestFit="1" customWidth="1"/>
    <col min="6" max="6" width="6.42578125" style="161" bestFit="1" customWidth="1"/>
    <col min="7" max="7" width="3.5703125" style="165" customWidth="1"/>
    <col min="8" max="8" width="17" style="161" customWidth="1"/>
    <col min="9" max="9" width="3.42578125" style="161" customWidth="1"/>
    <col min="10" max="10" width="18.28515625" style="161" bestFit="1" customWidth="1"/>
    <col min="11" max="11" width="3.140625" style="165" customWidth="1"/>
    <col min="12" max="12" width="16.28515625" style="161" customWidth="1"/>
    <col min="13" max="13" width="1.28515625" style="161" customWidth="1"/>
    <col min="14" max="14" width="15.5703125" style="161" bestFit="1" customWidth="1"/>
    <col min="15" max="15" width="1.42578125" style="165" customWidth="1"/>
    <col min="16" max="16" width="15" style="161" customWidth="1"/>
    <col min="17" max="17" width="1.7109375" style="161" customWidth="1"/>
    <col min="18" max="18" width="12.85546875" style="161" bestFit="1" customWidth="1"/>
    <col min="19" max="19" width="2.85546875" style="165" customWidth="1"/>
    <col min="20" max="20" width="15.42578125" style="161" bestFit="1" customWidth="1"/>
    <col min="21" max="21" width="1.7109375" style="161" customWidth="1"/>
    <col min="22" max="22" width="14.5703125" style="161" bestFit="1" customWidth="1"/>
    <col min="23" max="23" width="1.5703125" style="165" customWidth="1"/>
    <col min="24" max="24" width="16" style="161" bestFit="1" customWidth="1"/>
    <col min="25" max="25" width="3" style="161" customWidth="1"/>
    <col min="26" max="26" width="15.85546875" style="161" bestFit="1" customWidth="1"/>
    <col min="27" max="27" width="1.85546875" style="165" customWidth="1"/>
    <col min="28" max="28" width="15.28515625" style="161" customWidth="1"/>
    <col min="29" max="29" width="1.7109375" style="161" customWidth="1"/>
    <col min="30" max="30" width="11.85546875" style="161" bestFit="1" customWidth="1"/>
    <col min="31" max="31" width="1.7109375" style="161" customWidth="1"/>
    <col min="32" max="32" width="14.42578125" style="161" bestFit="1" customWidth="1"/>
    <col min="33" max="33" width="34.7109375" style="161" customWidth="1"/>
    <col min="34" max="256" width="9.140625" style="161"/>
    <col min="257" max="258" width="10.7109375" style="161" customWidth="1"/>
    <col min="259" max="259" width="27.42578125" style="161" customWidth="1"/>
    <col min="260" max="260" width="5.5703125" style="161" customWidth="1"/>
    <col min="261" max="261" width="14.5703125" style="161" bestFit="1" customWidth="1"/>
    <col min="262" max="262" width="6.42578125" style="161" bestFit="1" customWidth="1"/>
    <col min="263" max="263" width="3.5703125" style="161" customWidth="1"/>
    <col min="264" max="264" width="17" style="161" customWidth="1"/>
    <col min="265" max="265" width="3.42578125" style="161" customWidth="1"/>
    <col min="266" max="266" width="18.28515625" style="161" bestFit="1" customWidth="1"/>
    <col min="267" max="267" width="3.140625" style="161" customWidth="1"/>
    <col min="268" max="268" width="16.28515625" style="161" customWidth="1"/>
    <col min="269" max="269" width="1.28515625" style="161" customWidth="1"/>
    <col min="270" max="270" width="15.5703125" style="161" bestFit="1" customWidth="1"/>
    <col min="271" max="271" width="1.42578125" style="161" customWidth="1"/>
    <col min="272" max="272" width="15" style="161" customWidth="1"/>
    <col min="273" max="273" width="1.7109375" style="161" customWidth="1"/>
    <col min="274" max="274" width="12.85546875" style="161" bestFit="1" customWidth="1"/>
    <col min="275" max="275" width="2.85546875" style="161" customWidth="1"/>
    <col min="276" max="276" width="15.42578125" style="161" bestFit="1" customWidth="1"/>
    <col min="277" max="277" width="1.7109375" style="161" customWidth="1"/>
    <col min="278" max="278" width="14.5703125" style="161" bestFit="1" customWidth="1"/>
    <col min="279" max="279" width="1.5703125" style="161" customWidth="1"/>
    <col min="280" max="280" width="16" style="161" bestFit="1" customWidth="1"/>
    <col min="281" max="281" width="3" style="161" customWidth="1"/>
    <col min="282" max="282" width="15.85546875" style="161" bestFit="1" customWidth="1"/>
    <col min="283" max="283" width="1.85546875" style="161" customWidth="1"/>
    <col min="284" max="284" width="15.28515625" style="161" customWidth="1"/>
    <col min="285" max="285" width="1.7109375" style="161" customWidth="1"/>
    <col min="286" max="286" width="11.85546875" style="161" bestFit="1" customWidth="1"/>
    <col min="287" max="287" width="1.7109375" style="161" customWidth="1"/>
    <col min="288" max="288" width="14.42578125" style="161" bestFit="1" customWidth="1"/>
    <col min="289" max="289" width="34.7109375" style="161" customWidth="1"/>
    <col min="290" max="512" width="9.140625" style="161"/>
    <col min="513" max="514" width="10.7109375" style="161" customWidth="1"/>
    <col min="515" max="515" width="27.42578125" style="161" customWidth="1"/>
    <col min="516" max="516" width="5.5703125" style="161" customWidth="1"/>
    <col min="517" max="517" width="14.5703125" style="161" bestFit="1" customWidth="1"/>
    <col min="518" max="518" width="6.42578125" style="161" bestFit="1" customWidth="1"/>
    <col min="519" max="519" width="3.5703125" style="161" customWidth="1"/>
    <col min="520" max="520" width="17" style="161" customWidth="1"/>
    <col min="521" max="521" width="3.42578125" style="161" customWidth="1"/>
    <col min="522" max="522" width="18.28515625" style="161" bestFit="1" customWidth="1"/>
    <col min="523" max="523" width="3.140625" style="161" customWidth="1"/>
    <col min="524" max="524" width="16.28515625" style="161" customWidth="1"/>
    <col min="525" max="525" width="1.28515625" style="161" customWidth="1"/>
    <col min="526" max="526" width="15.5703125" style="161" bestFit="1" customWidth="1"/>
    <col min="527" max="527" width="1.42578125" style="161" customWidth="1"/>
    <col min="528" max="528" width="15" style="161" customWidth="1"/>
    <col min="529" max="529" width="1.7109375" style="161" customWidth="1"/>
    <col min="530" max="530" width="12.85546875" style="161" bestFit="1" customWidth="1"/>
    <col min="531" max="531" width="2.85546875" style="161" customWidth="1"/>
    <col min="532" max="532" width="15.42578125" style="161" bestFit="1" customWidth="1"/>
    <col min="533" max="533" width="1.7109375" style="161" customWidth="1"/>
    <col min="534" max="534" width="14.5703125" style="161" bestFit="1" customWidth="1"/>
    <col min="535" max="535" width="1.5703125" style="161" customWidth="1"/>
    <col min="536" max="536" width="16" style="161" bestFit="1" customWidth="1"/>
    <col min="537" max="537" width="3" style="161" customWidth="1"/>
    <col min="538" max="538" width="15.85546875" style="161" bestFit="1" customWidth="1"/>
    <col min="539" max="539" width="1.85546875" style="161" customWidth="1"/>
    <col min="540" max="540" width="15.28515625" style="161" customWidth="1"/>
    <col min="541" max="541" width="1.7109375" style="161" customWidth="1"/>
    <col min="542" max="542" width="11.85546875" style="161" bestFit="1" customWidth="1"/>
    <col min="543" max="543" width="1.7109375" style="161" customWidth="1"/>
    <col min="544" max="544" width="14.42578125" style="161" bestFit="1" customWidth="1"/>
    <col min="545" max="545" width="34.7109375" style="161" customWidth="1"/>
    <col min="546" max="768" width="9.140625" style="161"/>
    <col min="769" max="770" width="10.7109375" style="161" customWidth="1"/>
    <col min="771" max="771" width="27.42578125" style="161" customWidth="1"/>
    <col min="772" max="772" width="5.5703125" style="161" customWidth="1"/>
    <col min="773" max="773" width="14.5703125" style="161" bestFit="1" customWidth="1"/>
    <col min="774" max="774" width="6.42578125" style="161" bestFit="1" customWidth="1"/>
    <col min="775" max="775" width="3.5703125" style="161" customWidth="1"/>
    <col min="776" max="776" width="17" style="161" customWidth="1"/>
    <col min="777" max="777" width="3.42578125" style="161" customWidth="1"/>
    <col min="778" max="778" width="18.28515625" style="161" bestFit="1" customWidth="1"/>
    <col min="779" max="779" width="3.140625" style="161" customWidth="1"/>
    <col min="780" max="780" width="16.28515625" style="161" customWidth="1"/>
    <col min="781" max="781" width="1.28515625" style="161" customWidth="1"/>
    <col min="782" max="782" width="15.5703125" style="161" bestFit="1" customWidth="1"/>
    <col min="783" max="783" width="1.42578125" style="161" customWidth="1"/>
    <col min="784" max="784" width="15" style="161" customWidth="1"/>
    <col min="785" max="785" width="1.7109375" style="161" customWidth="1"/>
    <col min="786" max="786" width="12.85546875" style="161" bestFit="1" customWidth="1"/>
    <col min="787" max="787" width="2.85546875" style="161" customWidth="1"/>
    <col min="788" max="788" width="15.42578125" style="161" bestFit="1" customWidth="1"/>
    <col min="789" max="789" width="1.7109375" style="161" customWidth="1"/>
    <col min="790" max="790" width="14.5703125" style="161" bestFit="1" customWidth="1"/>
    <col min="791" max="791" width="1.5703125" style="161" customWidth="1"/>
    <col min="792" max="792" width="16" style="161" bestFit="1" customWidth="1"/>
    <col min="793" max="793" width="3" style="161" customWidth="1"/>
    <col min="794" max="794" width="15.85546875" style="161" bestFit="1" customWidth="1"/>
    <col min="795" max="795" width="1.85546875" style="161" customWidth="1"/>
    <col min="796" max="796" width="15.28515625" style="161" customWidth="1"/>
    <col min="797" max="797" width="1.7109375" style="161" customWidth="1"/>
    <col min="798" max="798" width="11.85546875" style="161" bestFit="1" customWidth="1"/>
    <col min="799" max="799" width="1.7109375" style="161" customWidth="1"/>
    <col min="800" max="800" width="14.42578125" style="161" bestFit="1" customWidth="1"/>
    <col min="801" max="801" width="34.7109375" style="161" customWidth="1"/>
    <col min="802" max="1024" width="9.140625" style="161"/>
    <col min="1025" max="1026" width="10.7109375" style="161" customWidth="1"/>
    <col min="1027" max="1027" width="27.42578125" style="161" customWidth="1"/>
    <col min="1028" max="1028" width="5.5703125" style="161" customWidth="1"/>
    <col min="1029" max="1029" width="14.5703125" style="161" bestFit="1" customWidth="1"/>
    <col min="1030" max="1030" width="6.42578125" style="161" bestFit="1" customWidth="1"/>
    <col min="1031" max="1031" width="3.5703125" style="161" customWidth="1"/>
    <col min="1032" max="1032" width="17" style="161" customWidth="1"/>
    <col min="1033" max="1033" width="3.42578125" style="161" customWidth="1"/>
    <col min="1034" max="1034" width="18.28515625" style="161" bestFit="1" customWidth="1"/>
    <col min="1035" max="1035" width="3.140625" style="161" customWidth="1"/>
    <col min="1036" max="1036" width="16.28515625" style="161" customWidth="1"/>
    <col min="1037" max="1037" width="1.28515625" style="161" customWidth="1"/>
    <col min="1038" max="1038" width="15.5703125" style="161" bestFit="1" customWidth="1"/>
    <col min="1039" max="1039" width="1.42578125" style="161" customWidth="1"/>
    <col min="1040" max="1040" width="15" style="161" customWidth="1"/>
    <col min="1041" max="1041" width="1.7109375" style="161" customWidth="1"/>
    <col min="1042" max="1042" width="12.85546875" style="161" bestFit="1" customWidth="1"/>
    <col min="1043" max="1043" width="2.85546875" style="161" customWidth="1"/>
    <col min="1044" max="1044" width="15.42578125" style="161" bestFit="1" customWidth="1"/>
    <col min="1045" max="1045" width="1.7109375" style="161" customWidth="1"/>
    <col min="1046" max="1046" width="14.5703125" style="161" bestFit="1" customWidth="1"/>
    <col min="1047" max="1047" width="1.5703125" style="161" customWidth="1"/>
    <col min="1048" max="1048" width="16" style="161" bestFit="1" customWidth="1"/>
    <col min="1049" max="1049" width="3" style="161" customWidth="1"/>
    <col min="1050" max="1050" width="15.85546875" style="161" bestFit="1" customWidth="1"/>
    <col min="1051" max="1051" width="1.85546875" style="161" customWidth="1"/>
    <col min="1052" max="1052" width="15.28515625" style="161" customWidth="1"/>
    <col min="1053" max="1053" width="1.7109375" style="161" customWidth="1"/>
    <col min="1054" max="1054" width="11.85546875" style="161" bestFit="1" customWidth="1"/>
    <col min="1055" max="1055" width="1.7109375" style="161" customWidth="1"/>
    <col min="1056" max="1056" width="14.42578125" style="161" bestFit="1" customWidth="1"/>
    <col min="1057" max="1057" width="34.7109375" style="161" customWidth="1"/>
    <col min="1058" max="1280" width="9.140625" style="161"/>
    <col min="1281" max="1282" width="10.7109375" style="161" customWidth="1"/>
    <col min="1283" max="1283" width="27.42578125" style="161" customWidth="1"/>
    <col min="1284" max="1284" width="5.5703125" style="161" customWidth="1"/>
    <col min="1285" max="1285" width="14.5703125" style="161" bestFit="1" customWidth="1"/>
    <col min="1286" max="1286" width="6.42578125" style="161" bestFit="1" customWidth="1"/>
    <col min="1287" max="1287" width="3.5703125" style="161" customWidth="1"/>
    <col min="1288" max="1288" width="17" style="161" customWidth="1"/>
    <col min="1289" max="1289" width="3.42578125" style="161" customWidth="1"/>
    <col min="1290" max="1290" width="18.28515625" style="161" bestFit="1" customWidth="1"/>
    <col min="1291" max="1291" width="3.140625" style="161" customWidth="1"/>
    <col min="1292" max="1292" width="16.28515625" style="161" customWidth="1"/>
    <col min="1293" max="1293" width="1.28515625" style="161" customWidth="1"/>
    <col min="1294" max="1294" width="15.5703125" style="161" bestFit="1" customWidth="1"/>
    <col min="1295" max="1295" width="1.42578125" style="161" customWidth="1"/>
    <col min="1296" max="1296" width="15" style="161" customWidth="1"/>
    <col min="1297" max="1297" width="1.7109375" style="161" customWidth="1"/>
    <col min="1298" max="1298" width="12.85546875" style="161" bestFit="1" customWidth="1"/>
    <col min="1299" max="1299" width="2.85546875" style="161" customWidth="1"/>
    <col min="1300" max="1300" width="15.42578125" style="161" bestFit="1" customWidth="1"/>
    <col min="1301" max="1301" width="1.7109375" style="161" customWidth="1"/>
    <col min="1302" max="1302" width="14.5703125" style="161" bestFit="1" customWidth="1"/>
    <col min="1303" max="1303" width="1.5703125" style="161" customWidth="1"/>
    <col min="1304" max="1304" width="16" style="161" bestFit="1" customWidth="1"/>
    <col min="1305" max="1305" width="3" style="161" customWidth="1"/>
    <col min="1306" max="1306" width="15.85546875" style="161" bestFit="1" customWidth="1"/>
    <col min="1307" max="1307" width="1.85546875" style="161" customWidth="1"/>
    <col min="1308" max="1308" width="15.28515625" style="161" customWidth="1"/>
    <col min="1309" max="1309" width="1.7109375" style="161" customWidth="1"/>
    <col min="1310" max="1310" width="11.85546875" style="161" bestFit="1" customWidth="1"/>
    <col min="1311" max="1311" width="1.7109375" style="161" customWidth="1"/>
    <col min="1312" max="1312" width="14.42578125" style="161" bestFit="1" customWidth="1"/>
    <col min="1313" max="1313" width="34.7109375" style="161" customWidth="1"/>
    <col min="1314" max="1536" width="9.140625" style="161"/>
    <col min="1537" max="1538" width="10.7109375" style="161" customWidth="1"/>
    <col min="1539" max="1539" width="27.42578125" style="161" customWidth="1"/>
    <col min="1540" max="1540" width="5.5703125" style="161" customWidth="1"/>
    <col min="1541" max="1541" width="14.5703125" style="161" bestFit="1" customWidth="1"/>
    <col min="1542" max="1542" width="6.42578125" style="161" bestFit="1" customWidth="1"/>
    <col min="1543" max="1543" width="3.5703125" style="161" customWidth="1"/>
    <col min="1544" max="1544" width="17" style="161" customWidth="1"/>
    <col min="1545" max="1545" width="3.42578125" style="161" customWidth="1"/>
    <col min="1546" max="1546" width="18.28515625" style="161" bestFit="1" customWidth="1"/>
    <col min="1547" max="1547" width="3.140625" style="161" customWidth="1"/>
    <col min="1548" max="1548" width="16.28515625" style="161" customWidth="1"/>
    <col min="1549" max="1549" width="1.28515625" style="161" customWidth="1"/>
    <col min="1550" max="1550" width="15.5703125" style="161" bestFit="1" customWidth="1"/>
    <col min="1551" max="1551" width="1.42578125" style="161" customWidth="1"/>
    <col min="1552" max="1552" width="15" style="161" customWidth="1"/>
    <col min="1553" max="1553" width="1.7109375" style="161" customWidth="1"/>
    <col min="1554" max="1554" width="12.85546875" style="161" bestFit="1" customWidth="1"/>
    <col min="1555" max="1555" width="2.85546875" style="161" customWidth="1"/>
    <col min="1556" max="1556" width="15.42578125" style="161" bestFit="1" customWidth="1"/>
    <col min="1557" max="1557" width="1.7109375" style="161" customWidth="1"/>
    <col min="1558" max="1558" width="14.5703125" style="161" bestFit="1" customWidth="1"/>
    <col min="1559" max="1559" width="1.5703125" style="161" customWidth="1"/>
    <col min="1560" max="1560" width="16" style="161" bestFit="1" customWidth="1"/>
    <col min="1561" max="1561" width="3" style="161" customWidth="1"/>
    <col min="1562" max="1562" width="15.85546875" style="161" bestFit="1" customWidth="1"/>
    <col min="1563" max="1563" width="1.85546875" style="161" customWidth="1"/>
    <col min="1564" max="1564" width="15.28515625" style="161" customWidth="1"/>
    <col min="1565" max="1565" width="1.7109375" style="161" customWidth="1"/>
    <col min="1566" max="1566" width="11.85546875" style="161" bestFit="1" customWidth="1"/>
    <col min="1567" max="1567" width="1.7109375" style="161" customWidth="1"/>
    <col min="1568" max="1568" width="14.42578125" style="161" bestFit="1" customWidth="1"/>
    <col min="1569" max="1569" width="34.7109375" style="161" customWidth="1"/>
    <col min="1570" max="1792" width="9.140625" style="161"/>
    <col min="1793" max="1794" width="10.7109375" style="161" customWidth="1"/>
    <col min="1795" max="1795" width="27.42578125" style="161" customWidth="1"/>
    <col min="1796" max="1796" width="5.5703125" style="161" customWidth="1"/>
    <col min="1797" max="1797" width="14.5703125" style="161" bestFit="1" customWidth="1"/>
    <col min="1798" max="1798" width="6.42578125" style="161" bestFit="1" customWidth="1"/>
    <col min="1799" max="1799" width="3.5703125" style="161" customWidth="1"/>
    <col min="1800" max="1800" width="17" style="161" customWidth="1"/>
    <col min="1801" max="1801" width="3.42578125" style="161" customWidth="1"/>
    <col min="1802" max="1802" width="18.28515625" style="161" bestFit="1" customWidth="1"/>
    <col min="1803" max="1803" width="3.140625" style="161" customWidth="1"/>
    <col min="1804" max="1804" width="16.28515625" style="161" customWidth="1"/>
    <col min="1805" max="1805" width="1.28515625" style="161" customWidth="1"/>
    <col min="1806" max="1806" width="15.5703125" style="161" bestFit="1" customWidth="1"/>
    <col min="1807" max="1807" width="1.42578125" style="161" customWidth="1"/>
    <col min="1808" max="1808" width="15" style="161" customWidth="1"/>
    <col min="1809" max="1809" width="1.7109375" style="161" customWidth="1"/>
    <col min="1810" max="1810" width="12.85546875" style="161" bestFit="1" customWidth="1"/>
    <col min="1811" max="1811" width="2.85546875" style="161" customWidth="1"/>
    <col min="1812" max="1812" width="15.42578125" style="161" bestFit="1" customWidth="1"/>
    <col min="1813" max="1813" width="1.7109375" style="161" customWidth="1"/>
    <col min="1814" max="1814" width="14.5703125" style="161" bestFit="1" customWidth="1"/>
    <col min="1815" max="1815" width="1.5703125" style="161" customWidth="1"/>
    <col min="1816" max="1816" width="16" style="161" bestFit="1" customWidth="1"/>
    <col min="1817" max="1817" width="3" style="161" customWidth="1"/>
    <col min="1818" max="1818" width="15.85546875" style="161" bestFit="1" customWidth="1"/>
    <col min="1819" max="1819" width="1.85546875" style="161" customWidth="1"/>
    <col min="1820" max="1820" width="15.28515625" style="161" customWidth="1"/>
    <col min="1821" max="1821" width="1.7109375" style="161" customWidth="1"/>
    <col min="1822" max="1822" width="11.85546875" style="161" bestFit="1" customWidth="1"/>
    <col min="1823" max="1823" width="1.7109375" style="161" customWidth="1"/>
    <col min="1824" max="1824" width="14.42578125" style="161" bestFit="1" customWidth="1"/>
    <col min="1825" max="1825" width="34.7109375" style="161" customWidth="1"/>
    <col min="1826" max="2048" width="9.140625" style="161"/>
    <col min="2049" max="2050" width="10.7109375" style="161" customWidth="1"/>
    <col min="2051" max="2051" width="27.42578125" style="161" customWidth="1"/>
    <col min="2052" max="2052" width="5.5703125" style="161" customWidth="1"/>
    <col min="2053" max="2053" width="14.5703125" style="161" bestFit="1" customWidth="1"/>
    <col min="2054" max="2054" width="6.42578125" style="161" bestFit="1" customWidth="1"/>
    <col min="2055" max="2055" width="3.5703125" style="161" customWidth="1"/>
    <col min="2056" max="2056" width="17" style="161" customWidth="1"/>
    <col min="2057" max="2057" width="3.42578125" style="161" customWidth="1"/>
    <col min="2058" max="2058" width="18.28515625" style="161" bestFit="1" customWidth="1"/>
    <col min="2059" max="2059" width="3.140625" style="161" customWidth="1"/>
    <col min="2060" max="2060" width="16.28515625" style="161" customWidth="1"/>
    <col min="2061" max="2061" width="1.28515625" style="161" customWidth="1"/>
    <col min="2062" max="2062" width="15.5703125" style="161" bestFit="1" customWidth="1"/>
    <col min="2063" max="2063" width="1.42578125" style="161" customWidth="1"/>
    <col min="2064" max="2064" width="15" style="161" customWidth="1"/>
    <col min="2065" max="2065" width="1.7109375" style="161" customWidth="1"/>
    <col min="2066" max="2066" width="12.85546875" style="161" bestFit="1" customWidth="1"/>
    <col min="2067" max="2067" width="2.85546875" style="161" customWidth="1"/>
    <col min="2068" max="2068" width="15.42578125" style="161" bestFit="1" customWidth="1"/>
    <col min="2069" max="2069" width="1.7109375" style="161" customWidth="1"/>
    <col min="2070" max="2070" width="14.5703125" style="161" bestFit="1" customWidth="1"/>
    <col min="2071" max="2071" width="1.5703125" style="161" customWidth="1"/>
    <col min="2072" max="2072" width="16" style="161" bestFit="1" customWidth="1"/>
    <col min="2073" max="2073" width="3" style="161" customWidth="1"/>
    <col min="2074" max="2074" width="15.85546875" style="161" bestFit="1" customWidth="1"/>
    <col min="2075" max="2075" width="1.85546875" style="161" customWidth="1"/>
    <col min="2076" max="2076" width="15.28515625" style="161" customWidth="1"/>
    <col min="2077" max="2077" width="1.7109375" style="161" customWidth="1"/>
    <col min="2078" max="2078" width="11.85546875" style="161" bestFit="1" customWidth="1"/>
    <col min="2079" max="2079" width="1.7109375" style="161" customWidth="1"/>
    <col min="2080" max="2080" width="14.42578125" style="161" bestFit="1" customWidth="1"/>
    <col min="2081" max="2081" width="34.7109375" style="161" customWidth="1"/>
    <col min="2082" max="2304" width="9.140625" style="161"/>
    <col min="2305" max="2306" width="10.7109375" style="161" customWidth="1"/>
    <col min="2307" max="2307" width="27.42578125" style="161" customWidth="1"/>
    <col min="2308" max="2308" width="5.5703125" style="161" customWidth="1"/>
    <col min="2309" max="2309" width="14.5703125" style="161" bestFit="1" customWidth="1"/>
    <col min="2310" max="2310" width="6.42578125" style="161" bestFit="1" customWidth="1"/>
    <col min="2311" max="2311" width="3.5703125" style="161" customWidth="1"/>
    <col min="2312" max="2312" width="17" style="161" customWidth="1"/>
    <col min="2313" max="2313" width="3.42578125" style="161" customWidth="1"/>
    <col min="2314" max="2314" width="18.28515625" style="161" bestFit="1" customWidth="1"/>
    <col min="2315" max="2315" width="3.140625" style="161" customWidth="1"/>
    <col min="2316" max="2316" width="16.28515625" style="161" customWidth="1"/>
    <col min="2317" max="2317" width="1.28515625" style="161" customWidth="1"/>
    <col min="2318" max="2318" width="15.5703125" style="161" bestFit="1" customWidth="1"/>
    <col min="2319" max="2319" width="1.42578125" style="161" customWidth="1"/>
    <col min="2320" max="2320" width="15" style="161" customWidth="1"/>
    <col min="2321" max="2321" width="1.7109375" style="161" customWidth="1"/>
    <col min="2322" max="2322" width="12.85546875" style="161" bestFit="1" customWidth="1"/>
    <col min="2323" max="2323" width="2.85546875" style="161" customWidth="1"/>
    <col min="2324" max="2324" width="15.42578125" style="161" bestFit="1" customWidth="1"/>
    <col min="2325" max="2325" width="1.7109375" style="161" customWidth="1"/>
    <col min="2326" max="2326" width="14.5703125" style="161" bestFit="1" customWidth="1"/>
    <col min="2327" max="2327" width="1.5703125" style="161" customWidth="1"/>
    <col min="2328" max="2328" width="16" style="161" bestFit="1" customWidth="1"/>
    <col min="2329" max="2329" width="3" style="161" customWidth="1"/>
    <col min="2330" max="2330" width="15.85546875" style="161" bestFit="1" customWidth="1"/>
    <col min="2331" max="2331" width="1.85546875" style="161" customWidth="1"/>
    <col min="2332" max="2332" width="15.28515625" style="161" customWidth="1"/>
    <col min="2333" max="2333" width="1.7109375" style="161" customWidth="1"/>
    <col min="2334" max="2334" width="11.85546875" style="161" bestFit="1" customWidth="1"/>
    <col min="2335" max="2335" width="1.7109375" style="161" customWidth="1"/>
    <col min="2336" max="2336" width="14.42578125" style="161" bestFit="1" customWidth="1"/>
    <col min="2337" max="2337" width="34.7109375" style="161" customWidth="1"/>
    <col min="2338" max="2560" width="9.140625" style="161"/>
    <col min="2561" max="2562" width="10.7109375" style="161" customWidth="1"/>
    <col min="2563" max="2563" width="27.42578125" style="161" customWidth="1"/>
    <col min="2564" max="2564" width="5.5703125" style="161" customWidth="1"/>
    <col min="2565" max="2565" width="14.5703125" style="161" bestFit="1" customWidth="1"/>
    <col min="2566" max="2566" width="6.42578125" style="161" bestFit="1" customWidth="1"/>
    <col min="2567" max="2567" width="3.5703125" style="161" customWidth="1"/>
    <col min="2568" max="2568" width="17" style="161" customWidth="1"/>
    <col min="2569" max="2569" width="3.42578125" style="161" customWidth="1"/>
    <col min="2570" max="2570" width="18.28515625" style="161" bestFit="1" customWidth="1"/>
    <col min="2571" max="2571" width="3.140625" style="161" customWidth="1"/>
    <col min="2572" max="2572" width="16.28515625" style="161" customWidth="1"/>
    <col min="2573" max="2573" width="1.28515625" style="161" customWidth="1"/>
    <col min="2574" max="2574" width="15.5703125" style="161" bestFit="1" customWidth="1"/>
    <col min="2575" max="2575" width="1.42578125" style="161" customWidth="1"/>
    <col min="2576" max="2576" width="15" style="161" customWidth="1"/>
    <col min="2577" max="2577" width="1.7109375" style="161" customWidth="1"/>
    <col min="2578" max="2578" width="12.85546875" style="161" bestFit="1" customWidth="1"/>
    <col min="2579" max="2579" width="2.85546875" style="161" customWidth="1"/>
    <col min="2580" max="2580" width="15.42578125" style="161" bestFit="1" customWidth="1"/>
    <col min="2581" max="2581" width="1.7109375" style="161" customWidth="1"/>
    <col min="2582" max="2582" width="14.5703125" style="161" bestFit="1" customWidth="1"/>
    <col min="2583" max="2583" width="1.5703125" style="161" customWidth="1"/>
    <col min="2584" max="2584" width="16" style="161" bestFit="1" customWidth="1"/>
    <col min="2585" max="2585" width="3" style="161" customWidth="1"/>
    <col min="2586" max="2586" width="15.85546875" style="161" bestFit="1" customWidth="1"/>
    <col min="2587" max="2587" width="1.85546875" style="161" customWidth="1"/>
    <col min="2588" max="2588" width="15.28515625" style="161" customWidth="1"/>
    <col min="2589" max="2589" width="1.7109375" style="161" customWidth="1"/>
    <col min="2590" max="2590" width="11.85546875" style="161" bestFit="1" customWidth="1"/>
    <col min="2591" max="2591" width="1.7109375" style="161" customWidth="1"/>
    <col min="2592" max="2592" width="14.42578125" style="161" bestFit="1" customWidth="1"/>
    <col min="2593" max="2593" width="34.7109375" style="161" customWidth="1"/>
    <col min="2594" max="2816" width="9.140625" style="161"/>
    <col min="2817" max="2818" width="10.7109375" style="161" customWidth="1"/>
    <col min="2819" max="2819" width="27.42578125" style="161" customWidth="1"/>
    <col min="2820" max="2820" width="5.5703125" style="161" customWidth="1"/>
    <col min="2821" max="2821" width="14.5703125" style="161" bestFit="1" customWidth="1"/>
    <col min="2822" max="2822" width="6.42578125" style="161" bestFit="1" customWidth="1"/>
    <col min="2823" max="2823" width="3.5703125" style="161" customWidth="1"/>
    <col min="2824" max="2824" width="17" style="161" customWidth="1"/>
    <col min="2825" max="2825" width="3.42578125" style="161" customWidth="1"/>
    <col min="2826" max="2826" width="18.28515625" style="161" bestFit="1" customWidth="1"/>
    <col min="2827" max="2827" width="3.140625" style="161" customWidth="1"/>
    <col min="2828" max="2828" width="16.28515625" style="161" customWidth="1"/>
    <col min="2829" max="2829" width="1.28515625" style="161" customWidth="1"/>
    <col min="2830" max="2830" width="15.5703125" style="161" bestFit="1" customWidth="1"/>
    <col min="2831" max="2831" width="1.42578125" style="161" customWidth="1"/>
    <col min="2832" max="2832" width="15" style="161" customWidth="1"/>
    <col min="2833" max="2833" width="1.7109375" style="161" customWidth="1"/>
    <col min="2834" max="2834" width="12.85546875" style="161" bestFit="1" customWidth="1"/>
    <col min="2835" max="2835" width="2.85546875" style="161" customWidth="1"/>
    <col min="2836" max="2836" width="15.42578125" style="161" bestFit="1" customWidth="1"/>
    <col min="2837" max="2837" width="1.7109375" style="161" customWidth="1"/>
    <col min="2838" max="2838" width="14.5703125" style="161" bestFit="1" customWidth="1"/>
    <col min="2839" max="2839" width="1.5703125" style="161" customWidth="1"/>
    <col min="2840" max="2840" width="16" style="161" bestFit="1" customWidth="1"/>
    <col min="2841" max="2841" width="3" style="161" customWidth="1"/>
    <col min="2842" max="2842" width="15.85546875" style="161" bestFit="1" customWidth="1"/>
    <col min="2843" max="2843" width="1.85546875" style="161" customWidth="1"/>
    <col min="2844" max="2844" width="15.28515625" style="161" customWidth="1"/>
    <col min="2845" max="2845" width="1.7109375" style="161" customWidth="1"/>
    <col min="2846" max="2846" width="11.85546875" style="161" bestFit="1" customWidth="1"/>
    <col min="2847" max="2847" width="1.7109375" style="161" customWidth="1"/>
    <col min="2848" max="2848" width="14.42578125" style="161" bestFit="1" customWidth="1"/>
    <col min="2849" max="2849" width="34.7109375" style="161" customWidth="1"/>
    <col min="2850" max="3072" width="9.140625" style="161"/>
    <col min="3073" max="3074" width="10.7109375" style="161" customWidth="1"/>
    <col min="3075" max="3075" width="27.42578125" style="161" customWidth="1"/>
    <col min="3076" max="3076" width="5.5703125" style="161" customWidth="1"/>
    <col min="3077" max="3077" width="14.5703125" style="161" bestFit="1" customWidth="1"/>
    <col min="3078" max="3078" width="6.42578125" style="161" bestFit="1" customWidth="1"/>
    <col min="3079" max="3079" width="3.5703125" style="161" customWidth="1"/>
    <col min="3080" max="3080" width="17" style="161" customWidth="1"/>
    <col min="3081" max="3081" width="3.42578125" style="161" customWidth="1"/>
    <col min="3082" max="3082" width="18.28515625" style="161" bestFit="1" customWidth="1"/>
    <col min="3083" max="3083" width="3.140625" style="161" customWidth="1"/>
    <col min="3084" max="3084" width="16.28515625" style="161" customWidth="1"/>
    <col min="3085" max="3085" width="1.28515625" style="161" customWidth="1"/>
    <col min="3086" max="3086" width="15.5703125" style="161" bestFit="1" customWidth="1"/>
    <col min="3087" max="3087" width="1.42578125" style="161" customWidth="1"/>
    <col min="3088" max="3088" width="15" style="161" customWidth="1"/>
    <col min="3089" max="3089" width="1.7109375" style="161" customWidth="1"/>
    <col min="3090" max="3090" width="12.85546875" style="161" bestFit="1" customWidth="1"/>
    <col min="3091" max="3091" width="2.85546875" style="161" customWidth="1"/>
    <col min="3092" max="3092" width="15.42578125" style="161" bestFit="1" customWidth="1"/>
    <col min="3093" max="3093" width="1.7109375" style="161" customWidth="1"/>
    <col min="3094" max="3094" width="14.5703125" style="161" bestFit="1" customWidth="1"/>
    <col min="3095" max="3095" width="1.5703125" style="161" customWidth="1"/>
    <col min="3096" max="3096" width="16" style="161" bestFit="1" customWidth="1"/>
    <col min="3097" max="3097" width="3" style="161" customWidth="1"/>
    <col min="3098" max="3098" width="15.85546875" style="161" bestFit="1" customWidth="1"/>
    <col min="3099" max="3099" width="1.85546875" style="161" customWidth="1"/>
    <col min="3100" max="3100" width="15.28515625" style="161" customWidth="1"/>
    <col min="3101" max="3101" width="1.7109375" style="161" customWidth="1"/>
    <col min="3102" max="3102" width="11.85546875" style="161" bestFit="1" customWidth="1"/>
    <col min="3103" max="3103" width="1.7109375" style="161" customWidth="1"/>
    <col min="3104" max="3104" width="14.42578125" style="161" bestFit="1" customWidth="1"/>
    <col min="3105" max="3105" width="34.7109375" style="161" customWidth="1"/>
    <col min="3106" max="3328" width="9.140625" style="161"/>
    <col min="3329" max="3330" width="10.7109375" style="161" customWidth="1"/>
    <col min="3331" max="3331" width="27.42578125" style="161" customWidth="1"/>
    <col min="3332" max="3332" width="5.5703125" style="161" customWidth="1"/>
    <col min="3333" max="3333" width="14.5703125" style="161" bestFit="1" customWidth="1"/>
    <col min="3334" max="3334" width="6.42578125" style="161" bestFit="1" customWidth="1"/>
    <col min="3335" max="3335" width="3.5703125" style="161" customWidth="1"/>
    <col min="3336" max="3336" width="17" style="161" customWidth="1"/>
    <col min="3337" max="3337" width="3.42578125" style="161" customWidth="1"/>
    <col min="3338" max="3338" width="18.28515625" style="161" bestFit="1" customWidth="1"/>
    <col min="3339" max="3339" width="3.140625" style="161" customWidth="1"/>
    <col min="3340" max="3340" width="16.28515625" style="161" customWidth="1"/>
    <col min="3341" max="3341" width="1.28515625" style="161" customWidth="1"/>
    <col min="3342" max="3342" width="15.5703125" style="161" bestFit="1" customWidth="1"/>
    <col min="3343" max="3343" width="1.42578125" style="161" customWidth="1"/>
    <col min="3344" max="3344" width="15" style="161" customWidth="1"/>
    <col min="3345" max="3345" width="1.7109375" style="161" customWidth="1"/>
    <col min="3346" max="3346" width="12.85546875" style="161" bestFit="1" customWidth="1"/>
    <col min="3347" max="3347" width="2.85546875" style="161" customWidth="1"/>
    <col min="3348" max="3348" width="15.42578125" style="161" bestFit="1" customWidth="1"/>
    <col min="3349" max="3349" width="1.7109375" style="161" customWidth="1"/>
    <col min="3350" max="3350" width="14.5703125" style="161" bestFit="1" customWidth="1"/>
    <col min="3351" max="3351" width="1.5703125" style="161" customWidth="1"/>
    <col min="3352" max="3352" width="16" style="161" bestFit="1" customWidth="1"/>
    <col min="3353" max="3353" width="3" style="161" customWidth="1"/>
    <col min="3354" max="3354" width="15.85546875" style="161" bestFit="1" customWidth="1"/>
    <col min="3355" max="3355" width="1.85546875" style="161" customWidth="1"/>
    <col min="3356" max="3356" width="15.28515625" style="161" customWidth="1"/>
    <col min="3357" max="3357" width="1.7109375" style="161" customWidth="1"/>
    <col min="3358" max="3358" width="11.85546875" style="161" bestFit="1" customWidth="1"/>
    <col min="3359" max="3359" width="1.7109375" style="161" customWidth="1"/>
    <col min="3360" max="3360" width="14.42578125" style="161" bestFit="1" customWidth="1"/>
    <col min="3361" max="3361" width="34.7109375" style="161" customWidth="1"/>
    <col min="3362" max="3584" width="9.140625" style="161"/>
    <col min="3585" max="3586" width="10.7109375" style="161" customWidth="1"/>
    <col min="3587" max="3587" width="27.42578125" style="161" customWidth="1"/>
    <col min="3588" max="3588" width="5.5703125" style="161" customWidth="1"/>
    <col min="3589" max="3589" width="14.5703125" style="161" bestFit="1" customWidth="1"/>
    <col min="3590" max="3590" width="6.42578125" style="161" bestFit="1" customWidth="1"/>
    <col min="3591" max="3591" width="3.5703125" style="161" customWidth="1"/>
    <col min="3592" max="3592" width="17" style="161" customWidth="1"/>
    <col min="3593" max="3593" width="3.42578125" style="161" customWidth="1"/>
    <col min="3594" max="3594" width="18.28515625" style="161" bestFit="1" customWidth="1"/>
    <col min="3595" max="3595" width="3.140625" style="161" customWidth="1"/>
    <col min="3596" max="3596" width="16.28515625" style="161" customWidth="1"/>
    <col min="3597" max="3597" width="1.28515625" style="161" customWidth="1"/>
    <col min="3598" max="3598" width="15.5703125" style="161" bestFit="1" customWidth="1"/>
    <col min="3599" max="3599" width="1.42578125" style="161" customWidth="1"/>
    <col min="3600" max="3600" width="15" style="161" customWidth="1"/>
    <col min="3601" max="3601" width="1.7109375" style="161" customWidth="1"/>
    <col min="3602" max="3602" width="12.85546875" style="161" bestFit="1" customWidth="1"/>
    <col min="3603" max="3603" width="2.85546875" style="161" customWidth="1"/>
    <col min="3604" max="3604" width="15.42578125" style="161" bestFit="1" customWidth="1"/>
    <col min="3605" max="3605" width="1.7109375" style="161" customWidth="1"/>
    <col min="3606" max="3606" width="14.5703125" style="161" bestFit="1" customWidth="1"/>
    <col min="3607" max="3607" width="1.5703125" style="161" customWidth="1"/>
    <col min="3608" max="3608" width="16" style="161" bestFit="1" customWidth="1"/>
    <col min="3609" max="3609" width="3" style="161" customWidth="1"/>
    <col min="3610" max="3610" width="15.85546875" style="161" bestFit="1" customWidth="1"/>
    <col min="3611" max="3611" width="1.85546875" style="161" customWidth="1"/>
    <col min="3612" max="3612" width="15.28515625" style="161" customWidth="1"/>
    <col min="3613" max="3613" width="1.7109375" style="161" customWidth="1"/>
    <col min="3614" max="3614" width="11.85546875" style="161" bestFit="1" customWidth="1"/>
    <col min="3615" max="3615" width="1.7109375" style="161" customWidth="1"/>
    <col min="3616" max="3616" width="14.42578125" style="161" bestFit="1" customWidth="1"/>
    <col min="3617" max="3617" width="34.7109375" style="161" customWidth="1"/>
    <col min="3618" max="3840" width="9.140625" style="161"/>
    <col min="3841" max="3842" width="10.7109375" style="161" customWidth="1"/>
    <col min="3843" max="3843" width="27.42578125" style="161" customWidth="1"/>
    <col min="3844" max="3844" width="5.5703125" style="161" customWidth="1"/>
    <col min="3845" max="3845" width="14.5703125" style="161" bestFit="1" customWidth="1"/>
    <col min="3846" max="3846" width="6.42578125" style="161" bestFit="1" customWidth="1"/>
    <col min="3847" max="3847" width="3.5703125" style="161" customWidth="1"/>
    <col min="3848" max="3848" width="17" style="161" customWidth="1"/>
    <col min="3849" max="3849" width="3.42578125" style="161" customWidth="1"/>
    <col min="3850" max="3850" width="18.28515625" style="161" bestFit="1" customWidth="1"/>
    <col min="3851" max="3851" width="3.140625" style="161" customWidth="1"/>
    <col min="3852" max="3852" width="16.28515625" style="161" customWidth="1"/>
    <col min="3853" max="3853" width="1.28515625" style="161" customWidth="1"/>
    <col min="3854" max="3854" width="15.5703125" style="161" bestFit="1" customWidth="1"/>
    <col min="3855" max="3855" width="1.42578125" style="161" customWidth="1"/>
    <col min="3856" max="3856" width="15" style="161" customWidth="1"/>
    <col min="3857" max="3857" width="1.7109375" style="161" customWidth="1"/>
    <col min="3858" max="3858" width="12.85546875" style="161" bestFit="1" customWidth="1"/>
    <col min="3859" max="3859" width="2.85546875" style="161" customWidth="1"/>
    <col min="3860" max="3860" width="15.42578125" style="161" bestFit="1" customWidth="1"/>
    <col min="3861" max="3861" width="1.7109375" style="161" customWidth="1"/>
    <col min="3862" max="3862" width="14.5703125" style="161" bestFit="1" customWidth="1"/>
    <col min="3863" max="3863" width="1.5703125" style="161" customWidth="1"/>
    <col min="3864" max="3864" width="16" style="161" bestFit="1" customWidth="1"/>
    <col min="3865" max="3865" width="3" style="161" customWidth="1"/>
    <col min="3866" max="3866" width="15.85546875" style="161" bestFit="1" customWidth="1"/>
    <col min="3867" max="3867" width="1.85546875" style="161" customWidth="1"/>
    <col min="3868" max="3868" width="15.28515625" style="161" customWidth="1"/>
    <col min="3869" max="3869" width="1.7109375" style="161" customWidth="1"/>
    <col min="3870" max="3870" width="11.85546875" style="161" bestFit="1" customWidth="1"/>
    <col min="3871" max="3871" width="1.7109375" style="161" customWidth="1"/>
    <col min="3872" max="3872" width="14.42578125" style="161" bestFit="1" customWidth="1"/>
    <col min="3873" max="3873" width="34.7109375" style="161" customWidth="1"/>
    <col min="3874" max="4096" width="9.140625" style="161"/>
    <col min="4097" max="4098" width="10.7109375" style="161" customWidth="1"/>
    <col min="4099" max="4099" width="27.42578125" style="161" customWidth="1"/>
    <col min="4100" max="4100" width="5.5703125" style="161" customWidth="1"/>
    <col min="4101" max="4101" width="14.5703125" style="161" bestFit="1" customWidth="1"/>
    <col min="4102" max="4102" width="6.42578125" style="161" bestFit="1" customWidth="1"/>
    <col min="4103" max="4103" width="3.5703125" style="161" customWidth="1"/>
    <col min="4104" max="4104" width="17" style="161" customWidth="1"/>
    <col min="4105" max="4105" width="3.42578125" style="161" customWidth="1"/>
    <col min="4106" max="4106" width="18.28515625" style="161" bestFit="1" customWidth="1"/>
    <col min="4107" max="4107" width="3.140625" style="161" customWidth="1"/>
    <col min="4108" max="4108" width="16.28515625" style="161" customWidth="1"/>
    <col min="4109" max="4109" width="1.28515625" style="161" customWidth="1"/>
    <col min="4110" max="4110" width="15.5703125" style="161" bestFit="1" customWidth="1"/>
    <col min="4111" max="4111" width="1.42578125" style="161" customWidth="1"/>
    <col min="4112" max="4112" width="15" style="161" customWidth="1"/>
    <col min="4113" max="4113" width="1.7109375" style="161" customWidth="1"/>
    <col min="4114" max="4114" width="12.85546875" style="161" bestFit="1" customWidth="1"/>
    <col min="4115" max="4115" width="2.85546875" style="161" customWidth="1"/>
    <col min="4116" max="4116" width="15.42578125" style="161" bestFit="1" customWidth="1"/>
    <col min="4117" max="4117" width="1.7109375" style="161" customWidth="1"/>
    <col min="4118" max="4118" width="14.5703125" style="161" bestFit="1" customWidth="1"/>
    <col min="4119" max="4119" width="1.5703125" style="161" customWidth="1"/>
    <col min="4120" max="4120" width="16" style="161" bestFit="1" customWidth="1"/>
    <col min="4121" max="4121" width="3" style="161" customWidth="1"/>
    <col min="4122" max="4122" width="15.85546875" style="161" bestFit="1" customWidth="1"/>
    <col min="4123" max="4123" width="1.85546875" style="161" customWidth="1"/>
    <col min="4124" max="4124" width="15.28515625" style="161" customWidth="1"/>
    <col min="4125" max="4125" width="1.7109375" style="161" customWidth="1"/>
    <col min="4126" max="4126" width="11.85546875" style="161" bestFit="1" customWidth="1"/>
    <col min="4127" max="4127" width="1.7109375" style="161" customWidth="1"/>
    <col min="4128" max="4128" width="14.42578125" style="161" bestFit="1" customWidth="1"/>
    <col min="4129" max="4129" width="34.7109375" style="161" customWidth="1"/>
    <col min="4130" max="4352" width="9.140625" style="161"/>
    <col min="4353" max="4354" width="10.7109375" style="161" customWidth="1"/>
    <col min="4355" max="4355" width="27.42578125" style="161" customWidth="1"/>
    <col min="4356" max="4356" width="5.5703125" style="161" customWidth="1"/>
    <col min="4357" max="4357" width="14.5703125" style="161" bestFit="1" customWidth="1"/>
    <col min="4358" max="4358" width="6.42578125" style="161" bestFit="1" customWidth="1"/>
    <col min="4359" max="4359" width="3.5703125" style="161" customWidth="1"/>
    <col min="4360" max="4360" width="17" style="161" customWidth="1"/>
    <col min="4361" max="4361" width="3.42578125" style="161" customWidth="1"/>
    <col min="4362" max="4362" width="18.28515625" style="161" bestFit="1" customWidth="1"/>
    <col min="4363" max="4363" width="3.140625" style="161" customWidth="1"/>
    <col min="4364" max="4364" width="16.28515625" style="161" customWidth="1"/>
    <col min="4365" max="4365" width="1.28515625" style="161" customWidth="1"/>
    <col min="4366" max="4366" width="15.5703125" style="161" bestFit="1" customWidth="1"/>
    <col min="4367" max="4367" width="1.42578125" style="161" customWidth="1"/>
    <col min="4368" max="4368" width="15" style="161" customWidth="1"/>
    <col min="4369" max="4369" width="1.7109375" style="161" customWidth="1"/>
    <col min="4370" max="4370" width="12.85546875" style="161" bestFit="1" customWidth="1"/>
    <col min="4371" max="4371" width="2.85546875" style="161" customWidth="1"/>
    <col min="4372" max="4372" width="15.42578125" style="161" bestFit="1" customWidth="1"/>
    <col min="4373" max="4373" width="1.7109375" style="161" customWidth="1"/>
    <col min="4374" max="4374" width="14.5703125" style="161" bestFit="1" customWidth="1"/>
    <col min="4375" max="4375" width="1.5703125" style="161" customWidth="1"/>
    <col min="4376" max="4376" width="16" style="161" bestFit="1" customWidth="1"/>
    <col min="4377" max="4377" width="3" style="161" customWidth="1"/>
    <col min="4378" max="4378" width="15.85546875" style="161" bestFit="1" customWidth="1"/>
    <col min="4379" max="4379" width="1.85546875" style="161" customWidth="1"/>
    <col min="4380" max="4380" width="15.28515625" style="161" customWidth="1"/>
    <col min="4381" max="4381" width="1.7109375" style="161" customWidth="1"/>
    <col min="4382" max="4382" width="11.85546875" style="161" bestFit="1" customWidth="1"/>
    <col min="4383" max="4383" width="1.7109375" style="161" customWidth="1"/>
    <col min="4384" max="4384" width="14.42578125" style="161" bestFit="1" customWidth="1"/>
    <col min="4385" max="4385" width="34.7109375" style="161" customWidth="1"/>
    <col min="4386" max="4608" width="9.140625" style="161"/>
    <col min="4609" max="4610" width="10.7109375" style="161" customWidth="1"/>
    <col min="4611" max="4611" width="27.42578125" style="161" customWidth="1"/>
    <col min="4612" max="4612" width="5.5703125" style="161" customWidth="1"/>
    <col min="4613" max="4613" width="14.5703125" style="161" bestFit="1" customWidth="1"/>
    <col min="4614" max="4614" width="6.42578125" style="161" bestFit="1" customWidth="1"/>
    <col min="4615" max="4615" width="3.5703125" style="161" customWidth="1"/>
    <col min="4616" max="4616" width="17" style="161" customWidth="1"/>
    <col min="4617" max="4617" width="3.42578125" style="161" customWidth="1"/>
    <col min="4618" max="4618" width="18.28515625" style="161" bestFit="1" customWidth="1"/>
    <col min="4619" max="4619" width="3.140625" style="161" customWidth="1"/>
    <col min="4620" max="4620" width="16.28515625" style="161" customWidth="1"/>
    <col min="4621" max="4621" width="1.28515625" style="161" customWidth="1"/>
    <col min="4622" max="4622" width="15.5703125" style="161" bestFit="1" customWidth="1"/>
    <col min="4623" max="4623" width="1.42578125" style="161" customWidth="1"/>
    <col min="4624" max="4624" width="15" style="161" customWidth="1"/>
    <col min="4625" max="4625" width="1.7109375" style="161" customWidth="1"/>
    <col min="4626" max="4626" width="12.85546875" style="161" bestFit="1" customWidth="1"/>
    <col min="4627" max="4627" width="2.85546875" style="161" customWidth="1"/>
    <col min="4628" max="4628" width="15.42578125" style="161" bestFit="1" customWidth="1"/>
    <col min="4629" max="4629" width="1.7109375" style="161" customWidth="1"/>
    <col min="4630" max="4630" width="14.5703125" style="161" bestFit="1" customWidth="1"/>
    <col min="4631" max="4631" width="1.5703125" style="161" customWidth="1"/>
    <col min="4632" max="4632" width="16" style="161" bestFit="1" customWidth="1"/>
    <col min="4633" max="4633" width="3" style="161" customWidth="1"/>
    <col min="4634" max="4634" width="15.85546875" style="161" bestFit="1" customWidth="1"/>
    <col min="4635" max="4635" width="1.85546875" style="161" customWidth="1"/>
    <col min="4636" max="4636" width="15.28515625" style="161" customWidth="1"/>
    <col min="4637" max="4637" width="1.7109375" style="161" customWidth="1"/>
    <col min="4638" max="4638" width="11.85546875" style="161" bestFit="1" customWidth="1"/>
    <col min="4639" max="4639" width="1.7109375" style="161" customWidth="1"/>
    <col min="4640" max="4640" width="14.42578125" style="161" bestFit="1" customWidth="1"/>
    <col min="4641" max="4641" width="34.7109375" style="161" customWidth="1"/>
    <col min="4642" max="4864" width="9.140625" style="161"/>
    <col min="4865" max="4866" width="10.7109375" style="161" customWidth="1"/>
    <col min="4867" max="4867" width="27.42578125" style="161" customWidth="1"/>
    <col min="4868" max="4868" width="5.5703125" style="161" customWidth="1"/>
    <col min="4869" max="4869" width="14.5703125" style="161" bestFit="1" customWidth="1"/>
    <col min="4870" max="4870" width="6.42578125" style="161" bestFit="1" customWidth="1"/>
    <col min="4871" max="4871" width="3.5703125" style="161" customWidth="1"/>
    <col min="4872" max="4872" width="17" style="161" customWidth="1"/>
    <col min="4873" max="4873" width="3.42578125" style="161" customWidth="1"/>
    <col min="4874" max="4874" width="18.28515625" style="161" bestFit="1" customWidth="1"/>
    <col min="4875" max="4875" width="3.140625" style="161" customWidth="1"/>
    <col min="4876" max="4876" width="16.28515625" style="161" customWidth="1"/>
    <col min="4877" max="4877" width="1.28515625" style="161" customWidth="1"/>
    <col min="4878" max="4878" width="15.5703125" style="161" bestFit="1" customWidth="1"/>
    <col min="4879" max="4879" width="1.42578125" style="161" customWidth="1"/>
    <col min="4880" max="4880" width="15" style="161" customWidth="1"/>
    <col min="4881" max="4881" width="1.7109375" style="161" customWidth="1"/>
    <col min="4882" max="4882" width="12.85546875" style="161" bestFit="1" customWidth="1"/>
    <col min="4883" max="4883" width="2.85546875" style="161" customWidth="1"/>
    <col min="4884" max="4884" width="15.42578125" style="161" bestFit="1" customWidth="1"/>
    <col min="4885" max="4885" width="1.7109375" style="161" customWidth="1"/>
    <col min="4886" max="4886" width="14.5703125" style="161" bestFit="1" customWidth="1"/>
    <col min="4887" max="4887" width="1.5703125" style="161" customWidth="1"/>
    <col min="4888" max="4888" width="16" style="161" bestFit="1" customWidth="1"/>
    <col min="4889" max="4889" width="3" style="161" customWidth="1"/>
    <col min="4890" max="4890" width="15.85546875" style="161" bestFit="1" customWidth="1"/>
    <col min="4891" max="4891" width="1.85546875" style="161" customWidth="1"/>
    <col min="4892" max="4892" width="15.28515625" style="161" customWidth="1"/>
    <col min="4893" max="4893" width="1.7109375" style="161" customWidth="1"/>
    <col min="4894" max="4894" width="11.85546875" style="161" bestFit="1" customWidth="1"/>
    <col min="4895" max="4895" width="1.7109375" style="161" customWidth="1"/>
    <col min="4896" max="4896" width="14.42578125" style="161" bestFit="1" customWidth="1"/>
    <col min="4897" max="4897" width="34.7109375" style="161" customWidth="1"/>
    <col min="4898" max="5120" width="9.140625" style="161"/>
    <col min="5121" max="5122" width="10.7109375" style="161" customWidth="1"/>
    <col min="5123" max="5123" width="27.42578125" style="161" customWidth="1"/>
    <col min="5124" max="5124" width="5.5703125" style="161" customWidth="1"/>
    <col min="5125" max="5125" width="14.5703125" style="161" bestFit="1" customWidth="1"/>
    <col min="5126" max="5126" width="6.42578125" style="161" bestFit="1" customWidth="1"/>
    <col min="5127" max="5127" width="3.5703125" style="161" customWidth="1"/>
    <col min="5128" max="5128" width="17" style="161" customWidth="1"/>
    <col min="5129" max="5129" width="3.42578125" style="161" customWidth="1"/>
    <col min="5130" max="5130" width="18.28515625" style="161" bestFit="1" customWidth="1"/>
    <col min="5131" max="5131" width="3.140625" style="161" customWidth="1"/>
    <col min="5132" max="5132" width="16.28515625" style="161" customWidth="1"/>
    <col min="5133" max="5133" width="1.28515625" style="161" customWidth="1"/>
    <col min="5134" max="5134" width="15.5703125" style="161" bestFit="1" customWidth="1"/>
    <col min="5135" max="5135" width="1.42578125" style="161" customWidth="1"/>
    <col min="5136" max="5136" width="15" style="161" customWidth="1"/>
    <col min="5137" max="5137" width="1.7109375" style="161" customWidth="1"/>
    <col min="5138" max="5138" width="12.85546875" style="161" bestFit="1" customWidth="1"/>
    <col min="5139" max="5139" width="2.85546875" style="161" customWidth="1"/>
    <col min="5140" max="5140" width="15.42578125" style="161" bestFit="1" customWidth="1"/>
    <col min="5141" max="5141" width="1.7109375" style="161" customWidth="1"/>
    <col min="5142" max="5142" width="14.5703125" style="161" bestFit="1" customWidth="1"/>
    <col min="5143" max="5143" width="1.5703125" style="161" customWidth="1"/>
    <col min="5144" max="5144" width="16" style="161" bestFit="1" customWidth="1"/>
    <col min="5145" max="5145" width="3" style="161" customWidth="1"/>
    <col min="5146" max="5146" width="15.85546875" style="161" bestFit="1" customWidth="1"/>
    <col min="5147" max="5147" width="1.85546875" style="161" customWidth="1"/>
    <col min="5148" max="5148" width="15.28515625" style="161" customWidth="1"/>
    <col min="5149" max="5149" width="1.7109375" style="161" customWidth="1"/>
    <col min="5150" max="5150" width="11.85546875" style="161" bestFit="1" customWidth="1"/>
    <col min="5151" max="5151" width="1.7109375" style="161" customWidth="1"/>
    <col min="5152" max="5152" width="14.42578125" style="161" bestFit="1" customWidth="1"/>
    <col min="5153" max="5153" width="34.7109375" style="161" customWidth="1"/>
    <col min="5154" max="5376" width="9.140625" style="161"/>
    <col min="5377" max="5378" width="10.7109375" style="161" customWidth="1"/>
    <col min="5379" max="5379" width="27.42578125" style="161" customWidth="1"/>
    <col min="5380" max="5380" width="5.5703125" style="161" customWidth="1"/>
    <col min="5381" max="5381" width="14.5703125" style="161" bestFit="1" customWidth="1"/>
    <col min="5382" max="5382" width="6.42578125" style="161" bestFit="1" customWidth="1"/>
    <col min="5383" max="5383" width="3.5703125" style="161" customWidth="1"/>
    <col min="5384" max="5384" width="17" style="161" customWidth="1"/>
    <col min="5385" max="5385" width="3.42578125" style="161" customWidth="1"/>
    <col min="5386" max="5386" width="18.28515625" style="161" bestFit="1" customWidth="1"/>
    <col min="5387" max="5387" width="3.140625" style="161" customWidth="1"/>
    <col min="5388" max="5388" width="16.28515625" style="161" customWidth="1"/>
    <col min="5389" max="5389" width="1.28515625" style="161" customWidth="1"/>
    <col min="5390" max="5390" width="15.5703125" style="161" bestFit="1" customWidth="1"/>
    <col min="5391" max="5391" width="1.42578125" style="161" customWidth="1"/>
    <col min="5392" max="5392" width="15" style="161" customWidth="1"/>
    <col min="5393" max="5393" width="1.7109375" style="161" customWidth="1"/>
    <col min="5394" max="5394" width="12.85546875" style="161" bestFit="1" customWidth="1"/>
    <col min="5395" max="5395" width="2.85546875" style="161" customWidth="1"/>
    <col min="5396" max="5396" width="15.42578125" style="161" bestFit="1" customWidth="1"/>
    <col min="5397" max="5397" width="1.7109375" style="161" customWidth="1"/>
    <col min="5398" max="5398" width="14.5703125" style="161" bestFit="1" customWidth="1"/>
    <col min="5399" max="5399" width="1.5703125" style="161" customWidth="1"/>
    <col min="5400" max="5400" width="16" style="161" bestFit="1" customWidth="1"/>
    <col min="5401" max="5401" width="3" style="161" customWidth="1"/>
    <col min="5402" max="5402" width="15.85546875" style="161" bestFit="1" customWidth="1"/>
    <col min="5403" max="5403" width="1.85546875" style="161" customWidth="1"/>
    <col min="5404" max="5404" width="15.28515625" style="161" customWidth="1"/>
    <col min="5405" max="5405" width="1.7109375" style="161" customWidth="1"/>
    <col min="5406" max="5406" width="11.85546875" style="161" bestFit="1" customWidth="1"/>
    <col min="5407" max="5407" width="1.7109375" style="161" customWidth="1"/>
    <col min="5408" max="5408" width="14.42578125" style="161" bestFit="1" customWidth="1"/>
    <col min="5409" max="5409" width="34.7109375" style="161" customWidth="1"/>
    <col min="5410" max="5632" width="9.140625" style="161"/>
    <col min="5633" max="5634" width="10.7109375" style="161" customWidth="1"/>
    <col min="5635" max="5635" width="27.42578125" style="161" customWidth="1"/>
    <col min="5636" max="5636" width="5.5703125" style="161" customWidth="1"/>
    <col min="5637" max="5637" width="14.5703125" style="161" bestFit="1" customWidth="1"/>
    <col min="5638" max="5638" width="6.42578125" style="161" bestFit="1" customWidth="1"/>
    <col min="5639" max="5639" width="3.5703125" style="161" customWidth="1"/>
    <col min="5640" max="5640" width="17" style="161" customWidth="1"/>
    <col min="5641" max="5641" width="3.42578125" style="161" customWidth="1"/>
    <col min="5642" max="5642" width="18.28515625" style="161" bestFit="1" customWidth="1"/>
    <col min="5643" max="5643" width="3.140625" style="161" customWidth="1"/>
    <col min="5644" max="5644" width="16.28515625" style="161" customWidth="1"/>
    <col min="5645" max="5645" width="1.28515625" style="161" customWidth="1"/>
    <col min="5646" max="5646" width="15.5703125" style="161" bestFit="1" customWidth="1"/>
    <col min="5647" max="5647" width="1.42578125" style="161" customWidth="1"/>
    <col min="5648" max="5648" width="15" style="161" customWidth="1"/>
    <col min="5649" max="5649" width="1.7109375" style="161" customWidth="1"/>
    <col min="5650" max="5650" width="12.85546875" style="161" bestFit="1" customWidth="1"/>
    <col min="5651" max="5651" width="2.85546875" style="161" customWidth="1"/>
    <col min="5652" max="5652" width="15.42578125" style="161" bestFit="1" customWidth="1"/>
    <col min="5653" max="5653" width="1.7109375" style="161" customWidth="1"/>
    <col min="5654" max="5654" width="14.5703125" style="161" bestFit="1" customWidth="1"/>
    <col min="5655" max="5655" width="1.5703125" style="161" customWidth="1"/>
    <col min="5656" max="5656" width="16" style="161" bestFit="1" customWidth="1"/>
    <col min="5657" max="5657" width="3" style="161" customWidth="1"/>
    <col min="5658" max="5658" width="15.85546875" style="161" bestFit="1" customWidth="1"/>
    <col min="5659" max="5659" width="1.85546875" style="161" customWidth="1"/>
    <col min="5660" max="5660" width="15.28515625" style="161" customWidth="1"/>
    <col min="5661" max="5661" width="1.7109375" style="161" customWidth="1"/>
    <col min="5662" max="5662" width="11.85546875" style="161" bestFit="1" customWidth="1"/>
    <col min="5663" max="5663" width="1.7109375" style="161" customWidth="1"/>
    <col min="5664" max="5664" width="14.42578125" style="161" bestFit="1" customWidth="1"/>
    <col min="5665" max="5665" width="34.7109375" style="161" customWidth="1"/>
    <col min="5666" max="5888" width="9.140625" style="161"/>
    <col min="5889" max="5890" width="10.7109375" style="161" customWidth="1"/>
    <col min="5891" max="5891" width="27.42578125" style="161" customWidth="1"/>
    <col min="5892" max="5892" width="5.5703125" style="161" customWidth="1"/>
    <col min="5893" max="5893" width="14.5703125" style="161" bestFit="1" customWidth="1"/>
    <col min="5894" max="5894" width="6.42578125" style="161" bestFit="1" customWidth="1"/>
    <col min="5895" max="5895" width="3.5703125" style="161" customWidth="1"/>
    <col min="5896" max="5896" width="17" style="161" customWidth="1"/>
    <col min="5897" max="5897" width="3.42578125" style="161" customWidth="1"/>
    <col min="5898" max="5898" width="18.28515625" style="161" bestFit="1" customWidth="1"/>
    <col min="5899" max="5899" width="3.140625" style="161" customWidth="1"/>
    <col min="5900" max="5900" width="16.28515625" style="161" customWidth="1"/>
    <col min="5901" max="5901" width="1.28515625" style="161" customWidth="1"/>
    <col min="5902" max="5902" width="15.5703125" style="161" bestFit="1" customWidth="1"/>
    <col min="5903" max="5903" width="1.42578125" style="161" customWidth="1"/>
    <col min="5904" max="5904" width="15" style="161" customWidth="1"/>
    <col min="5905" max="5905" width="1.7109375" style="161" customWidth="1"/>
    <col min="5906" max="5906" width="12.85546875" style="161" bestFit="1" customWidth="1"/>
    <col min="5907" max="5907" width="2.85546875" style="161" customWidth="1"/>
    <col min="5908" max="5908" width="15.42578125" style="161" bestFit="1" customWidth="1"/>
    <col min="5909" max="5909" width="1.7109375" style="161" customWidth="1"/>
    <col min="5910" max="5910" width="14.5703125" style="161" bestFit="1" customWidth="1"/>
    <col min="5911" max="5911" width="1.5703125" style="161" customWidth="1"/>
    <col min="5912" max="5912" width="16" style="161" bestFit="1" customWidth="1"/>
    <col min="5913" max="5913" width="3" style="161" customWidth="1"/>
    <col min="5914" max="5914" width="15.85546875" style="161" bestFit="1" customWidth="1"/>
    <col min="5915" max="5915" width="1.85546875" style="161" customWidth="1"/>
    <col min="5916" max="5916" width="15.28515625" style="161" customWidth="1"/>
    <col min="5917" max="5917" width="1.7109375" style="161" customWidth="1"/>
    <col min="5918" max="5918" width="11.85546875" style="161" bestFit="1" customWidth="1"/>
    <col min="5919" max="5919" width="1.7109375" style="161" customWidth="1"/>
    <col min="5920" max="5920" width="14.42578125" style="161" bestFit="1" customWidth="1"/>
    <col min="5921" max="5921" width="34.7109375" style="161" customWidth="1"/>
    <col min="5922" max="6144" width="9.140625" style="161"/>
    <col min="6145" max="6146" width="10.7109375" style="161" customWidth="1"/>
    <col min="6147" max="6147" width="27.42578125" style="161" customWidth="1"/>
    <col min="6148" max="6148" width="5.5703125" style="161" customWidth="1"/>
    <col min="6149" max="6149" width="14.5703125" style="161" bestFit="1" customWidth="1"/>
    <col min="6150" max="6150" width="6.42578125" style="161" bestFit="1" customWidth="1"/>
    <col min="6151" max="6151" width="3.5703125" style="161" customWidth="1"/>
    <col min="6152" max="6152" width="17" style="161" customWidth="1"/>
    <col min="6153" max="6153" width="3.42578125" style="161" customWidth="1"/>
    <col min="6154" max="6154" width="18.28515625" style="161" bestFit="1" customWidth="1"/>
    <col min="6155" max="6155" width="3.140625" style="161" customWidth="1"/>
    <col min="6156" max="6156" width="16.28515625" style="161" customWidth="1"/>
    <col min="6157" max="6157" width="1.28515625" style="161" customWidth="1"/>
    <col min="6158" max="6158" width="15.5703125" style="161" bestFit="1" customWidth="1"/>
    <col min="6159" max="6159" width="1.42578125" style="161" customWidth="1"/>
    <col min="6160" max="6160" width="15" style="161" customWidth="1"/>
    <col min="6161" max="6161" width="1.7109375" style="161" customWidth="1"/>
    <col min="6162" max="6162" width="12.85546875" style="161" bestFit="1" customWidth="1"/>
    <col min="6163" max="6163" width="2.85546875" style="161" customWidth="1"/>
    <col min="6164" max="6164" width="15.42578125" style="161" bestFit="1" customWidth="1"/>
    <col min="6165" max="6165" width="1.7109375" style="161" customWidth="1"/>
    <col min="6166" max="6166" width="14.5703125" style="161" bestFit="1" customWidth="1"/>
    <col min="6167" max="6167" width="1.5703125" style="161" customWidth="1"/>
    <col min="6168" max="6168" width="16" style="161" bestFit="1" customWidth="1"/>
    <col min="6169" max="6169" width="3" style="161" customWidth="1"/>
    <col min="6170" max="6170" width="15.85546875" style="161" bestFit="1" customWidth="1"/>
    <col min="6171" max="6171" width="1.85546875" style="161" customWidth="1"/>
    <col min="6172" max="6172" width="15.28515625" style="161" customWidth="1"/>
    <col min="6173" max="6173" width="1.7109375" style="161" customWidth="1"/>
    <col min="6174" max="6174" width="11.85546875" style="161" bestFit="1" customWidth="1"/>
    <col min="6175" max="6175" width="1.7109375" style="161" customWidth="1"/>
    <col min="6176" max="6176" width="14.42578125" style="161" bestFit="1" customWidth="1"/>
    <col min="6177" max="6177" width="34.7109375" style="161" customWidth="1"/>
    <col min="6178" max="6400" width="9.140625" style="161"/>
    <col min="6401" max="6402" width="10.7109375" style="161" customWidth="1"/>
    <col min="6403" max="6403" width="27.42578125" style="161" customWidth="1"/>
    <col min="6404" max="6404" width="5.5703125" style="161" customWidth="1"/>
    <col min="6405" max="6405" width="14.5703125" style="161" bestFit="1" customWidth="1"/>
    <col min="6406" max="6406" width="6.42578125" style="161" bestFit="1" customWidth="1"/>
    <col min="6407" max="6407" width="3.5703125" style="161" customWidth="1"/>
    <col min="6408" max="6408" width="17" style="161" customWidth="1"/>
    <col min="6409" max="6409" width="3.42578125" style="161" customWidth="1"/>
    <col min="6410" max="6410" width="18.28515625" style="161" bestFit="1" customWidth="1"/>
    <col min="6411" max="6411" width="3.140625" style="161" customWidth="1"/>
    <col min="6412" max="6412" width="16.28515625" style="161" customWidth="1"/>
    <col min="6413" max="6413" width="1.28515625" style="161" customWidth="1"/>
    <col min="6414" max="6414" width="15.5703125" style="161" bestFit="1" customWidth="1"/>
    <col min="6415" max="6415" width="1.42578125" style="161" customWidth="1"/>
    <col min="6416" max="6416" width="15" style="161" customWidth="1"/>
    <col min="6417" max="6417" width="1.7109375" style="161" customWidth="1"/>
    <col min="6418" max="6418" width="12.85546875" style="161" bestFit="1" customWidth="1"/>
    <col min="6419" max="6419" width="2.85546875" style="161" customWidth="1"/>
    <col min="6420" max="6420" width="15.42578125" style="161" bestFit="1" customWidth="1"/>
    <col min="6421" max="6421" width="1.7109375" style="161" customWidth="1"/>
    <col min="6422" max="6422" width="14.5703125" style="161" bestFit="1" customWidth="1"/>
    <col min="6423" max="6423" width="1.5703125" style="161" customWidth="1"/>
    <col min="6424" max="6424" width="16" style="161" bestFit="1" customWidth="1"/>
    <col min="6425" max="6425" width="3" style="161" customWidth="1"/>
    <col min="6426" max="6426" width="15.85546875" style="161" bestFit="1" customWidth="1"/>
    <col min="6427" max="6427" width="1.85546875" style="161" customWidth="1"/>
    <col min="6428" max="6428" width="15.28515625" style="161" customWidth="1"/>
    <col min="6429" max="6429" width="1.7109375" style="161" customWidth="1"/>
    <col min="6430" max="6430" width="11.85546875" style="161" bestFit="1" customWidth="1"/>
    <col min="6431" max="6431" width="1.7109375" style="161" customWidth="1"/>
    <col min="6432" max="6432" width="14.42578125" style="161" bestFit="1" customWidth="1"/>
    <col min="6433" max="6433" width="34.7109375" style="161" customWidth="1"/>
    <col min="6434" max="6656" width="9.140625" style="161"/>
    <col min="6657" max="6658" width="10.7109375" style="161" customWidth="1"/>
    <col min="6659" max="6659" width="27.42578125" style="161" customWidth="1"/>
    <col min="6660" max="6660" width="5.5703125" style="161" customWidth="1"/>
    <col min="6661" max="6661" width="14.5703125" style="161" bestFit="1" customWidth="1"/>
    <col min="6662" max="6662" width="6.42578125" style="161" bestFit="1" customWidth="1"/>
    <col min="6663" max="6663" width="3.5703125" style="161" customWidth="1"/>
    <col min="6664" max="6664" width="17" style="161" customWidth="1"/>
    <col min="6665" max="6665" width="3.42578125" style="161" customWidth="1"/>
    <col min="6666" max="6666" width="18.28515625" style="161" bestFit="1" customWidth="1"/>
    <col min="6667" max="6667" width="3.140625" style="161" customWidth="1"/>
    <col min="6668" max="6668" width="16.28515625" style="161" customWidth="1"/>
    <col min="6669" max="6669" width="1.28515625" style="161" customWidth="1"/>
    <col min="6670" max="6670" width="15.5703125" style="161" bestFit="1" customWidth="1"/>
    <col min="6671" max="6671" width="1.42578125" style="161" customWidth="1"/>
    <col min="6672" max="6672" width="15" style="161" customWidth="1"/>
    <col min="6673" max="6673" width="1.7109375" style="161" customWidth="1"/>
    <col min="6674" max="6674" width="12.85546875" style="161" bestFit="1" customWidth="1"/>
    <col min="6675" max="6675" width="2.85546875" style="161" customWidth="1"/>
    <col min="6676" max="6676" width="15.42578125" style="161" bestFit="1" customWidth="1"/>
    <col min="6677" max="6677" width="1.7109375" style="161" customWidth="1"/>
    <col min="6678" max="6678" width="14.5703125" style="161" bestFit="1" customWidth="1"/>
    <col min="6679" max="6679" width="1.5703125" style="161" customWidth="1"/>
    <col min="6680" max="6680" width="16" style="161" bestFit="1" customWidth="1"/>
    <col min="6681" max="6681" width="3" style="161" customWidth="1"/>
    <col min="6682" max="6682" width="15.85546875" style="161" bestFit="1" customWidth="1"/>
    <col min="6683" max="6683" width="1.85546875" style="161" customWidth="1"/>
    <col min="6684" max="6684" width="15.28515625" style="161" customWidth="1"/>
    <col min="6685" max="6685" width="1.7109375" style="161" customWidth="1"/>
    <col min="6686" max="6686" width="11.85546875" style="161" bestFit="1" customWidth="1"/>
    <col min="6687" max="6687" width="1.7109375" style="161" customWidth="1"/>
    <col min="6688" max="6688" width="14.42578125" style="161" bestFit="1" customWidth="1"/>
    <col min="6689" max="6689" width="34.7109375" style="161" customWidth="1"/>
    <col min="6690" max="6912" width="9.140625" style="161"/>
    <col min="6913" max="6914" width="10.7109375" style="161" customWidth="1"/>
    <col min="6915" max="6915" width="27.42578125" style="161" customWidth="1"/>
    <col min="6916" max="6916" width="5.5703125" style="161" customWidth="1"/>
    <col min="6917" max="6917" width="14.5703125" style="161" bestFit="1" customWidth="1"/>
    <col min="6918" max="6918" width="6.42578125" style="161" bestFit="1" customWidth="1"/>
    <col min="6919" max="6919" width="3.5703125" style="161" customWidth="1"/>
    <col min="6920" max="6920" width="17" style="161" customWidth="1"/>
    <col min="6921" max="6921" width="3.42578125" style="161" customWidth="1"/>
    <col min="6922" max="6922" width="18.28515625" style="161" bestFit="1" customWidth="1"/>
    <col min="6923" max="6923" width="3.140625" style="161" customWidth="1"/>
    <col min="6924" max="6924" width="16.28515625" style="161" customWidth="1"/>
    <col min="6925" max="6925" width="1.28515625" style="161" customWidth="1"/>
    <col min="6926" max="6926" width="15.5703125" style="161" bestFit="1" customWidth="1"/>
    <col min="6927" max="6927" width="1.42578125" style="161" customWidth="1"/>
    <col min="6928" max="6928" width="15" style="161" customWidth="1"/>
    <col min="6929" max="6929" width="1.7109375" style="161" customWidth="1"/>
    <col min="6930" max="6930" width="12.85546875" style="161" bestFit="1" customWidth="1"/>
    <col min="6931" max="6931" width="2.85546875" style="161" customWidth="1"/>
    <col min="6932" max="6932" width="15.42578125" style="161" bestFit="1" customWidth="1"/>
    <col min="6933" max="6933" width="1.7109375" style="161" customWidth="1"/>
    <col min="6934" max="6934" width="14.5703125" style="161" bestFit="1" customWidth="1"/>
    <col min="6935" max="6935" width="1.5703125" style="161" customWidth="1"/>
    <col min="6936" max="6936" width="16" style="161" bestFit="1" customWidth="1"/>
    <col min="6937" max="6937" width="3" style="161" customWidth="1"/>
    <col min="6938" max="6938" width="15.85546875" style="161" bestFit="1" customWidth="1"/>
    <col min="6939" max="6939" width="1.85546875" style="161" customWidth="1"/>
    <col min="6940" max="6940" width="15.28515625" style="161" customWidth="1"/>
    <col min="6941" max="6941" width="1.7109375" style="161" customWidth="1"/>
    <col min="6942" max="6942" width="11.85546875" style="161" bestFit="1" customWidth="1"/>
    <col min="6943" max="6943" width="1.7109375" style="161" customWidth="1"/>
    <col min="6944" max="6944" width="14.42578125" style="161" bestFit="1" customWidth="1"/>
    <col min="6945" max="6945" width="34.7109375" style="161" customWidth="1"/>
    <col min="6946" max="7168" width="9.140625" style="161"/>
    <col min="7169" max="7170" width="10.7109375" style="161" customWidth="1"/>
    <col min="7171" max="7171" width="27.42578125" style="161" customWidth="1"/>
    <col min="7172" max="7172" width="5.5703125" style="161" customWidth="1"/>
    <col min="7173" max="7173" width="14.5703125" style="161" bestFit="1" customWidth="1"/>
    <col min="7174" max="7174" width="6.42578125" style="161" bestFit="1" customWidth="1"/>
    <col min="7175" max="7175" width="3.5703125" style="161" customWidth="1"/>
    <col min="7176" max="7176" width="17" style="161" customWidth="1"/>
    <col min="7177" max="7177" width="3.42578125" style="161" customWidth="1"/>
    <col min="7178" max="7178" width="18.28515625" style="161" bestFit="1" customWidth="1"/>
    <col min="7179" max="7179" width="3.140625" style="161" customWidth="1"/>
    <col min="7180" max="7180" width="16.28515625" style="161" customWidth="1"/>
    <col min="7181" max="7181" width="1.28515625" style="161" customWidth="1"/>
    <col min="7182" max="7182" width="15.5703125" style="161" bestFit="1" customWidth="1"/>
    <col min="7183" max="7183" width="1.42578125" style="161" customWidth="1"/>
    <col min="7184" max="7184" width="15" style="161" customWidth="1"/>
    <col min="7185" max="7185" width="1.7109375" style="161" customWidth="1"/>
    <col min="7186" max="7186" width="12.85546875" style="161" bestFit="1" customWidth="1"/>
    <col min="7187" max="7187" width="2.85546875" style="161" customWidth="1"/>
    <col min="7188" max="7188" width="15.42578125" style="161" bestFit="1" customWidth="1"/>
    <col min="7189" max="7189" width="1.7109375" style="161" customWidth="1"/>
    <col min="7190" max="7190" width="14.5703125" style="161" bestFit="1" customWidth="1"/>
    <col min="7191" max="7191" width="1.5703125" style="161" customWidth="1"/>
    <col min="7192" max="7192" width="16" style="161" bestFit="1" customWidth="1"/>
    <col min="7193" max="7193" width="3" style="161" customWidth="1"/>
    <col min="7194" max="7194" width="15.85546875" style="161" bestFit="1" customWidth="1"/>
    <col min="7195" max="7195" width="1.85546875" style="161" customWidth="1"/>
    <col min="7196" max="7196" width="15.28515625" style="161" customWidth="1"/>
    <col min="7197" max="7197" width="1.7109375" style="161" customWidth="1"/>
    <col min="7198" max="7198" width="11.85546875" style="161" bestFit="1" customWidth="1"/>
    <col min="7199" max="7199" width="1.7109375" style="161" customWidth="1"/>
    <col min="7200" max="7200" width="14.42578125" style="161" bestFit="1" customWidth="1"/>
    <col min="7201" max="7201" width="34.7109375" style="161" customWidth="1"/>
    <col min="7202" max="7424" width="9.140625" style="161"/>
    <col min="7425" max="7426" width="10.7109375" style="161" customWidth="1"/>
    <col min="7427" max="7427" width="27.42578125" style="161" customWidth="1"/>
    <col min="7428" max="7428" width="5.5703125" style="161" customWidth="1"/>
    <col min="7429" max="7429" width="14.5703125" style="161" bestFit="1" customWidth="1"/>
    <col min="7430" max="7430" width="6.42578125" style="161" bestFit="1" customWidth="1"/>
    <col min="7431" max="7431" width="3.5703125" style="161" customWidth="1"/>
    <col min="7432" max="7432" width="17" style="161" customWidth="1"/>
    <col min="7433" max="7433" width="3.42578125" style="161" customWidth="1"/>
    <col min="7434" max="7434" width="18.28515625" style="161" bestFit="1" customWidth="1"/>
    <col min="7435" max="7435" width="3.140625" style="161" customWidth="1"/>
    <col min="7436" max="7436" width="16.28515625" style="161" customWidth="1"/>
    <col min="7437" max="7437" width="1.28515625" style="161" customWidth="1"/>
    <col min="7438" max="7438" width="15.5703125" style="161" bestFit="1" customWidth="1"/>
    <col min="7439" max="7439" width="1.42578125" style="161" customWidth="1"/>
    <col min="7440" max="7440" width="15" style="161" customWidth="1"/>
    <col min="7441" max="7441" width="1.7109375" style="161" customWidth="1"/>
    <col min="7442" max="7442" width="12.85546875" style="161" bestFit="1" customWidth="1"/>
    <col min="7443" max="7443" width="2.85546875" style="161" customWidth="1"/>
    <col min="7444" max="7444" width="15.42578125" style="161" bestFit="1" customWidth="1"/>
    <col min="7445" max="7445" width="1.7109375" style="161" customWidth="1"/>
    <col min="7446" max="7446" width="14.5703125" style="161" bestFit="1" customWidth="1"/>
    <col min="7447" max="7447" width="1.5703125" style="161" customWidth="1"/>
    <col min="7448" max="7448" width="16" style="161" bestFit="1" customWidth="1"/>
    <col min="7449" max="7449" width="3" style="161" customWidth="1"/>
    <col min="7450" max="7450" width="15.85546875" style="161" bestFit="1" customWidth="1"/>
    <col min="7451" max="7451" width="1.85546875" style="161" customWidth="1"/>
    <col min="7452" max="7452" width="15.28515625" style="161" customWidth="1"/>
    <col min="7453" max="7453" width="1.7109375" style="161" customWidth="1"/>
    <col min="7454" max="7454" width="11.85546875" style="161" bestFit="1" customWidth="1"/>
    <col min="7455" max="7455" width="1.7109375" style="161" customWidth="1"/>
    <col min="7456" max="7456" width="14.42578125" style="161" bestFit="1" customWidth="1"/>
    <col min="7457" max="7457" width="34.7109375" style="161" customWidth="1"/>
    <col min="7458" max="7680" width="9.140625" style="161"/>
    <col min="7681" max="7682" width="10.7109375" style="161" customWidth="1"/>
    <col min="7683" max="7683" width="27.42578125" style="161" customWidth="1"/>
    <col min="7684" max="7684" width="5.5703125" style="161" customWidth="1"/>
    <col min="7685" max="7685" width="14.5703125" style="161" bestFit="1" customWidth="1"/>
    <col min="7686" max="7686" width="6.42578125" style="161" bestFit="1" customWidth="1"/>
    <col min="7687" max="7687" width="3.5703125" style="161" customWidth="1"/>
    <col min="7688" max="7688" width="17" style="161" customWidth="1"/>
    <col min="7689" max="7689" width="3.42578125" style="161" customWidth="1"/>
    <col min="7690" max="7690" width="18.28515625" style="161" bestFit="1" customWidth="1"/>
    <col min="7691" max="7691" width="3.140625" style="161" customWidth="1"/>
    <col min="7692" max="7692" width="16.28515625" style="161" customWidth="1"/>
    <col min="7693" max="7693" width="1.28515625" style="161" customWidth="1"/>
    <col min="7694" max="7694" width="15.5703125" style="161" bestFit="1" customWidth="1"/>
    <col min="7695" max="7695" width="1.42578125" style="161" customWidth="1"/>
    <col min="7696" max="7696" width="15" style="161" customWidth="1"/>
    <col min="7697" max="7697" width="1.7109375" style="161" customWidth="1"/>
    <col min="7698" max="7698" width="12.85546875" style="161" bestFit="1" customWidth="1"/>
    <col min="7699" max="7699" width="2.85546875" style="161" customWidth="1"/>
    <col min="7700" max="7700" width="15.42578125" style="161" bestFit="1" customWidth="1"/>
    <col min="7701" max="7701" width="1.7109375" style="161" customWidth="1"/>
    <col min="7702" max="7702" width="14.5703125" style="161" bestFit="1" customWidth="1"/>
    <col min="7703" max="7703" width="1.5703125" style="161" customWidth="1"/>
    <col min="7704" max="7704" width="16" style="161" bestFit="1" customWidth="1"/>
    <col min="7705" max="7705" width="3" style="161" customWidth="1"/>
    <col min="7706" max="7706" width="15.85546875" style="161" bestFit="1" customWidth="1"/>
    <col min="7707" max="7707" width="1.85546875" style="161" customWidth="1"/>
    <col min="7708" max="7708" width="15.28515625" style="161" customWidth="1"/>
    <col min="7709" max="7709" width="1.7109375" style="161" customWidth="1"/>
    <col min="7710" max="7710" width="11.85546875" style="161" bestFit="1" customWidth="1"/>
    <col min="7711" max="7711" width="1.7109375" style="161" customWidth="1"/>
    <col min="7712" max="7712" width="14.42578125" style="161" bestFit="1" customWidth="1"/>
    <col min="7713" max="7713" width="34.7109375" style="161" customWidth="1"/>
    <col min="7714" max="7936" width="9.140625" style="161"/>
    <col min="7937" max="7938" width="10.7109375" style="161" customWidth="1"/>
    <col min="7939" max="7939" width="27.42578125" style="161" customWidth="1"/>
    <col min="7940" max="7940" width="5.5703125" style="161" customWidth="1"/>
    <col min="7941" max="7941" width="14.5703125" style="161" bestFit="1" customWidth="1"/>
    <col min="7942" max="7942" width="6.42578125" style="161" bestFit="1" customWidth="1"/>
    <col min="7943" max="7943" width="3.5703125" style="161" customWidth="1"/>
    <col min="7944" max="7944" width="17" style="161" customWidth="1"/>
    <col min="7945" max="7945" width="3.42578125" style="161" customWidth="1"/>
    <col min="7946" max="7946" width="18.28515625" style="161" bestFit="1" customWidth="1"/>
    <col min="7947" max="7947" width="3.140625" style="161" customWidth="1"/>
    <col min="7948" max="7948" width="16.28515625" style="161" customWidth="1"/>
    <col min="7949" max="7949" width="1.28515625" style="161" customWidth="1"/>
    <col min="7950" max="7950" width="15.5703125" style="161" bestFit="1" customWidth="1"/>
    <col min="7951" max="7951" width="1.42578125" style="161" customWidth="1"/>
    <col min="7952" max="7952" width="15" style="161" customWidth="1"/>
    <col min="7953" max="7953" width="1.7109375" style="161" customWidth="1"/>
    <col min="7954" max="7954" width="12.85546875" style="161" bestFit="1" customWidth="1"/>
    <col min="7955" max="7955" width="2.85546875" style="161" customWidth="1"/>
    <col min="7956" max="7956" width="15.42578125" style="161" bestFit="1" customWidth="1"/>
    <col min="7957" max="7957" width="1.7109375" style="161" customWidth="1"/>
    <col min="7958" max="7958" width="14.5703125" style="161" bestFit="1" customWidth="1"/>
    <col min="7959" max="7959" width="1.5703125" style="161" customWidth="1"/>
    <col min="7960" max="7960" width="16" style="161" bestFit="1" customWidth="1"/>
    <col min="7961" max="7961" width="3" style="161" customWidth="1"/>
    <col min="7962" max="7962" width="15.85546875" style="161" bestFit="1" customWidth="1"/>
    <col min="7963" max="7963" width="1.85546875" style="161" customWidth="1"/>
    <col min="7964" max="7964" width="15.28515625" style="161" customWidth="1"/>
    <col min="7965" max="7965" width="1.7109375" style="161" customWidth="1"/>
    <col min="7966" max="7966" width="11.85546875" style="161" bestFit="1" customWidth="1"/>
    <col min="7967" max="7967" width="1.7109375" style="161" customWidth="1"/>
    <col min="7968" max="7968" width="14.42578125" style="161" bestFit="1" customWidth="1"/>
    <col min="7969" max="7969" width="34.7109375" style="161" customWidth="1"/>
    <col min="7970" max="8192" width="9.140625" style="161"/>
    <col min="8193" max="8194" width="10.7109375" style="161" customWidth="1"/>
    <col min="8195" max="8195" width="27.42578125" style="161" customWidth="1"/>
    <col min="8196" max="8196" width="5.5703125" style="161" customWidth="1"/>
    <col min="8197" max="8197" width="14.5703125" style="161" bestFit="1" customWidth="1"/>
    <col min="8198" max="8198" width="6.42578125" style="161" bestFit="1" customWidth="1"/>
    <col min="8199" max="8199" width="3.5703125" style="161" customWidth="1"/>
    <col min="8200" max="8200" width="17" style="161" customWidth="1"/>
    <col min="8201" max="8201" width="3.42578125" style="161" customWidth="1"/>
    <col min="8202" max="8202" width="18.28515625" style="161" bestFit="1" customWidth="1"/>
    <col min="8203" max="8203" width="3.140625" style="161" customWidth="1"/>
    <col min="8204" max="8204" width="16.28515625" style="161" customWidth="1"/>
    <col min="8205" max="8205" width="1.28515625" style="161" customWidth="1"/>
    <col min="8206" max="8206" width="15.5703125" style="161" bestFit="1" customWidth="1"/>
    <col min="8207" max="8207" width="1.42578125" style="161" customWidth="1"/>
    <col min="8208" max="8208" width="15" style="161" customWidth="1"/>
    <col min="8209" max="8209" width="1.7109375" style="161" customWidth="1"/>
    <col min="8210" max="8210" width="12.85546875" style="161" bestFit="1" customWidth="1"/>
    <col min="8211" max="8211" width="2.85546875" style="161" customWidth="1"/>
    <col min="8212" max="8212" width="15.42578125" style="161" bestFit="1" customWidth="1"/>
    <col min="8213" max="8213" width="1.7109375" style="161" customWidth="1"/>
    <col min="8214" max="8214" width="14.5703125" style="161" bestFit="1" customWidth="1"/>
    <col min="8215" max="8215" width="1.5703125" style="161" customWidth="1"/>
    <col min="8216" max="8216" width="16" style="161" bestFit="1" customWidth="1"/>
    <col min="8217" max="8217" width="3" style="161" customWidth="1"/>
    <col min="8218" max="8218" width="15.85546875" style="161" bestFit="1" customWidth="1"/>
    <col min="8219" max="8219" width="1.85546875" style="161" customWidth="1"/>
    <col min="8220" max="8220" width="15.28515625" style="161" customWidth="1"/>
    <col min="8221" max="8221" width="1.7109375" style="161" customWidth="1"/>
    <col min="8222" max="8222" width="11.85546875" style="161" bestFit="1" customWidth="1"/>
    <col min="8223" max="8223" width="1.7109375" style="161" customWidth="1"/>
    <col min="8224" max="8224" width="14.42578125" style="161" bestFit="1" customWidth="1"/>
    <col min="8225" max="8225" width="34.7109375" style="161" customWidth="1"/>
    <col min="8226" max="8448" width="9.140625" style="161"/>
    <col min="8449" max="8450" width="10.7109375" style="161" customWidth="1"/>
    <col min="8451" max="8451" width="27.42578125" style="161" customWidth="1"/>
    <col min="8452" max="8452" width="5.5703125" style="161" customWidth="1"/>
    <col min="8453" max="8453" width="14.5703125" style="161" bestFit="1" customWidth="1"/>
    <col min="8454" max="8454" width="6.42578125" style="161" bestFit="1" customWidth="1"/>
    <col min="8455" max="8455" width="3.5703125" style="161" customWidth="1"/>
    <col min="8456" max="8456" width="17" style="161" customWidth="1"/>
    <col min="8457" max="8457" width="3.42578125" style="161" customWidth="1"/>
    <col min="8458" max="8458" width="18.28515625" style="161" bestFit="1" customWidth="1"/>
    <col min="8459" max="8459" width="3.140625" style="161" customWidth="1"/>
    <col min="8460" max="8460" width="16.28515625" style="161" customWidth="1"/>
    <col min="8461" max="8461" width="1.28515625" style="161" customWidth="1"/>
    <col min="8462" max="8462" width="15.5703125" style="161" bestFit="1" customWidth="1"/>
    <col min="8463" max="8463" width="1.42578125" style="161" customWidth="1"/>
    <col min="8464" max="8464" width="15" style="161" customWidth="1"/>
    <col min="8465" max="8465" width="1.7109375" style="161" customWidth="1"/>
    <col min="8466" max="8466" width="12.85546875" style="161" bestFit="1" customWidth="1"/>
    <col min="8467" max="8467" width="2.85546875" style="161" customWidth="1"/>
    <col min="8468" max="8468" width="15.42578125" style="161" bestFit="1" customWidth="1"/>
    <col min="8469" max="8469" width="1.7109375" style="161" customWidth="1"/>
    <col min="8470" max="8470" width="14.5703125" style="161" bestFit="1" customWidth="1"/>
    <col min="8471" max="8471" width="1.5703125" style="161" customWidth="1"/>
    <col min="8472" max="8472" width="16" style="161" bestFit="1" customWidth="1"/>
    <col min="8473" max="8473" width="3" style="161" customWidth="1"/>
    <col min="8474" max="8474" width="15.85546875" style="161" bestFit="1" customWidth="1"/>
    <col min="8475" max="8475" width="1.85546875" style="161" customWidth="1"/>
    <col min="8476" max="8476" width="15.28515625" style="161" customWidth="1"/>
    <col min="8477" max="8477" width="1.7109375" style="161" customWidth="1"/>
    <col min="8478" max="8478" width="11.85546875" style="161" bestFit="1" customWidth="1"/>
    <col min="8479" max="8479" width="1.7109375" style="161" customWidth="1"/>
    <col min="8480" max="8480" width="14.42578125" style="161" bestFit="1" customWidth="1"/>
    <col min="8481" max="8481" width="34.7109375" style="161" customWidth="1"/>
    <col min="8482" max="8704" width="9.140625" style="161"/>
    <col min="8705" max="8706" width="10.7109375" style="161" customWidth="1"/>
    <col min="8707" max="8707" width="27.42578125" style="161" customWidth="1"/>
    <col min="8708" max="8708" width="5.5703125" style="161" customWidth="1"/>
    <col min="8709" max="8709" width="14.5703125" style="161" bestFit="1" customWidth="1"/>
    <col min="8710" max="8710" width="6.42578125" style="161" bestFit="1" customWidth="1"/>
    <col min="8711" max="8711" width="3.5703125" style="161" customWidth="1"/>
    <col min="8712" max="8712" width="17" style="161" customWidth="1"/>
    <col min="8713" max="8713" width="3.42578125" style="161" customWidth="1"/>
    <col min="8714" max="8714" width="18.28515625" style="161" bestFit="1" customWidth="1"/>
    <col min="8715" max="8715" width="3.140625" style="161" customWidth="1"/>
    <col min="8716" max="8716" width="16.28515625" style="161" customWidth="1"/>
    <col min="8717" max="8717" width="1.28515625" style="161" customWidth="1"/>
    <col min="8718" max="8718" width="15.5703125" style="161" bestFit="1" customWidth="1"/>
    <col min="8719" max="8719" width="1.42578125" style="161" customWidth="1"/>
    <col min="8720" max="8720" width="15" style="161" customWidth="1"/>
    <col min="8721" max="8721" width="1.7109375" style="161" customWidth="1"/>
    <col min="8722" max="8722" width="12.85546875" style="161" bestFit="1" customWidth="1"/>
    <col min="8723" max="8723" width="2.85546875" style="161" customWidth="1"/>
    <col min="8724" max="8724" width="15.42578125" style="161" bestFit="1" customWidth="1"/>
    <col min="8725" max="8725" width="1.7109375" style="161" customWidth="1"/>
    <col min="8726" max="8726" width="14.5703125" style="161" bestFit="1" customWidth="1"/>
    <col min="8727" max="8727" width="1.5703125" style="161" customWidth="1"/>
    <col min="8728" max="8728" width="16" style="161" bestFit="1" customWidth="1"/>
    <col min="8729" max="8729" width="3" style="161" customWidth="1"/>
    <col min="8730" max="8730" width="15.85546875" style="161" bestFit="1" customWidth="1"/>
    <col min="8731" max="8731" width="1.85546875" style="161" customWidth="1"/>
    <col min="8732" max="8732" width="15.28515625" style="161" customWidth="1"/>
    <col min="8733" max="8733" width="1.7109375" style="161" customWidth="1"/>
    <col min="8734" max="8734" width="11.85546875" style="161" bestFit="1" customWidth="1"/>
    <col min="8735" max="8735" width="1.7109375" style="161" customWidth="1"/>
    <col min="8736" max="8736" width="14.42578125" style="161" bestFit="1" customWidth="1"/>
    <col min="8737" max="8737" width="34.7109375" style="161" customWidth="1"/>
    <col min="8738" max="8960" width="9.140625" style="161"/>
    <col min="8961" max="8962" width="10.7109375" style="161" customWidth="1"/>
    <col min="8963" max="8963" width="27.42578125" style="161" customWidth="1"/>
    <col min="8964" max="8964" width="5.5703125" style="161" customWidth="1"/>
    <col min="8965" max="8965" width="14.5703125" style="161" bestFit="1" customWidth="1"/>
    <col min="8966" max="8966" width="6.42578125" style="161" bestFit="1" customWidth="1"/>
    <col min="8967" max="8967" width="3.5703125" style="161" customWidth="1"/>
    <col min="8968" max="8968" width="17" style="161" customWidth="1"/>
    <col min="8969" max="8969" width="3.42578125" style="161" customWidth="1"/>
    <col min="8970" max="8970" width="18.28515625" style="161" bestFit="1" customWidth="1"/>
    <col min="8971" max="8971" width="3.140625" style="161" customWidth="1"/>
    <col min="8972" max="8972" width="16.28515625" style="161" customWidth="1"/>
    <col min="8973" max="8973" width="1.28515625" style="161" customWidth="1"/>
    <col min="8974" max="8974" width="15.5703125" style="161" bestFit="1" customWidth="1"/>
    <col min="8975" max="8975" width="1.42578125" style="161" customWidth="1"/>
    <col min="8976" max="8976" width="15" style="161" customWidth="1"/>
    <col min="8977" max="8977" width="1.7109375" style="161" customWidth="1"/>
    <col min="8978" max="8978" width="12.85546875" style="161" bestFit="1" customWidth="1"/>
    <col min="8979" max="8979" width="2.85546875" style="161" customWidth="1"/>
    <col min="8980" max="8980" width="15.42578125" style="161" bestFit="1" customWidth="1"/>
    <col min="8981" max="8981" width="1.7109375" style="161" customWidth="1"/>
    <col min="8982" max="8982" width="14.5703125" style="161" bestFit="1" customWidth="1"/>
    <col min="8983" max="8983" width="1.5703125" style="161" customWidth="1"/>
    <col min="8984" max="8984" width="16" style="161" bestFit="1" customWidth="1"/>
    <col min="8985" max="8985" width="3" style="161" customWidth="1"/>
    <col min="8986" max="8986" width="15.85546875" style="161" bestFit="1" customWidth="1"/>
    <col min="8987" max="8987" width="1.85546875" style="161" customWidth="1"/>
    <col min="8988" max="8988" width="15.28515625" style="161" customWidth="1"/>
    <col min="8989" max="8989" width="1.7109375" style="161" customWidth="1"/>
    <col min="8990" max="8990" width="11.85546875" style="161" bestFit="1" customWidth="1"/>
    <col min="8991" max="8991" width="1.7109375" style="161" customWidth="1"/>
    <col min="8992" max="8992" width="14.42578125" style="161" bestFit="1" customWidth="1"/>
    <col min="8993" max="8993" width="34.7109375" style="161" customWidth="1"/>
    <col min="8994" max="9216" width="9.140625" style="161"/>
    <col min="9217" max="9218" width="10.7109375" style="161" customWidth="1"/>
    <col min="9219" max="9219" width="27.42578125" style="161" customWidth="1"/>
    <col min="9220" max="9220" width="5.5703125" style="161" customWidth="1"/>
    <col min="9221" max="9221" width="14.5703125" style="161" bestFit="1" customWidth="1"/>
    <col min="9222" max="9222" width="6.42578125" style="161" bestFit="1" customWidth="1"/>
    <col min="9223" max="9223" width="3.5703125" style="161" customWidth="1"/>
    <col min="9224" max="9224" width="17" style="161" customWidth="1"/>
    <col min="9225" max="9225" width="3.42578125" style="161" customWidth="1"/>
    <col min="9226" max="9226" width="18.28515625" style="161" bestFit="1" customWidth="1"/>
    <col min="9227" max="9227" width="3.140625" style="161" customWidth="1"/>
    <col min="9228" max="9228" width="16.28515625" style="161" customWidth="1"/>
    <col min="9229" max="9229" width="1.28515625" style="161" customWidth="1"/>
    <col min="9230" max="9230" width="15.5703125" style="161" bestFit="1" customWidth="1"/>
    <col min="9231" max="9231" width="1.42578125" style="161" customWidth="1"/>
    <col min="9232" max="9232" width="15" style="161" customWidth="1"/>
    <col min="9233" max="9233" width="1.7109375" style="161" customWidth="1"/>
    <col min="9234" max="9234" width="12.85546875" style="161" bestFit="1" customWidth="1"/>
    <col min="9235" max="9235" width="2.85546875" style="161" customWidth="1"/>
    <col min="9236" max="9236" width="15.42578125" style="161" bestFit="1" customWidth="1"/>
    <col min="9237" max="9237" width="1.7109375" style="161" customWidth="1"/>
    <col min="9238" max="9238" width="14.5703125" style="161" bestFit="1" customWidth="1"/>
    <col min="9239" max="9239" width="1.5703125" style="161" customWidth="1"/>
    <col min="9240" max="9240" width="16" style="161" bestFit="1" customWidth="1"/>
    <col min="9241" max="9241" width="3" style="161" customWidth="1"/>
    <col min="9242" max="9242" width="15.85546875" style="161" bestFit="1" customWidth="1"/>
    <col min="9243" max="9243" width="1.85546875" style="161" customWidth="1"/>
    <col min="9244" max="9244" width="15.28515625" style="161" customWidth="1"/>
    <col min="9245" max="9245" width="1.7109375" style="161" customWidth="1"/>
    <col min="9246" max="9246" width="11.85546875" style="161" bestFit="1" customWidth="1"/>
    <col min="9247" max="9247" width="1.7109375" style="161" customWidth="1"/>
    <col min="9248" max="9248" width="14.42578125" style="161" bestFit="1" customWidth="1"/>
    <col min="9249" max="9249" width="34.7109375" style="161" customWidth="1"/>
    <col min="9250" max="9472" width="9.140625" style="161"/>
    <col min="9473" max="9474" width="10.7109375" style="161" customWidth="1"/>
    <col min="9475" max="9475" width="27.42578125" style="161" customWidth="1"/>
    <col min="9476" max="9476" width="5.5703125" style="161" customWidth="1"/>
    <col min="9477" max="9477" width="14.5703125" style="161" bestFit="1" customWidth="1"/>
    <col min="9478" max="9478" width="6.42578125" style="161" bestFit="1" customWidth="1"/>
    <col min="9479" max="9479" width="3.5703125" style="161" customWidth="1"/>
    <col min="9480" max="9480" width="17" style="161" customWidth="1"/>
    <col min="9481" max="9481" width="3.42578125" style="161" customWidth="1"/>
    <col min="9482" max="9482" width="18.28515625" style="161" bestFit="1" customWidth="1"/>
    <col min="9483" max="9483" width="3.140625" style="161" customWidth="1"/>
    <col min="9484" max="9484" width="16.28515625" style="161" customWidth="1"/>
    <col min="9485" max="9485" width="1.28515625" style="161" customWidth="1"/>
    <col min="9486" max="9486" width="15.5703125" style="161" bestFit="1" customWidth="1"/>
    <col min="9487" max="9487" width="1.42578125" style="161" customWidth="1"/>
    <col min="9488" max="9488" width="15" style="161" customWidth="1"/>
    <col min="9489" max="9489" width="1.7109375" style="161" customWidth="1"/>
    <col min="9490" max="9490" width="12.85546875" style="161" bestFit="1" customWidth="1"/>
    <col min="9491" max="9491" width="2.85546875" style="161" customWidth="1"/>
    <col min="9492" max="9492" width="15.42578125" style="161" bestFit="1" customWidth="1"/>
    <col min="9493" max="9493" width="1.7109375" style="161" customWidth="1"/>
    <col min="9494" max="9494" width="14.5703125" style="161" bestFit="1" customWidth="1"/>
    <col min="9495" max="9495" width="1.5703125" style="161" customWidth="1"/>
    <col min="9496" max="9496" width="16" style="161" bestFit="1" customWidth="1"/>
    <col min="9497" max="9497" width="3" style="161" customWidth="1"/>
    <col min="9498" max="9498" width="15.85546875" style="161" bestFit="1" customWidth="1"/>
    <col min="9499" max="9499" width="1.85546875" style="161" customWidth="1"/>
    <col min="9500" max="9500" width="15.28515625" style="161" customWidth="1"/>
    <col min="9501" max="9501" width="1.7109375" style="161" customWidth="1"/>
    <col min="9502" max="9502" width="11.85546875" style="161" bestFit="1" customWidth="1"/>
    <col min="9503" max="9503" width="1.7109375" style="161" customWidth="1"/>
    <col min="9504" max="9504" width="14.42578125" style="161" bestFit="1" customWidth="1"/>
    <col min="9505" max="9505" width="34.7109375" style="161" customWidth="1"/>
    <col min="9506" max="9728" width="9.140625" style="161"/>
    <col min="9729" max="9730" width="10.7109375" style="161" customWidth="1"/>
    <col min="9731" max="9731" width="27.42578125" style="161" customWidth="1"/>
    <col min="9732" max="9732" width="5.5703125" style="161" customWidth="1"/>
    <col min="9733" max="9733" width="14.5703125" style="161" bestFit="1" customWidth="1"/>
    <col min="9734" max="9734" width="6.42578125" style="161" bestFit="1" customWidth="1"/>
    <col min="9735" max="9735" width="3.5703125" style="161" customWidth="1"/>
    <col min="9736" max="9736" width="17" style="161" customWidth="1"/>
    <col min="9737" max="9737" width="3.42578125" style="161" customWidth="1"/>
    <col min="9738" max="9738" width="18.28515625" style="161" bestFit="1" customWidth="1"/>
    <col min="9739" max="9739" width="3.140625" style="161" customWidth="1"/>
    <col min="9740" max="9740" width="16.28515625" style="161" customWidth="1"/>
    <col min="9741" max="9741" width="1.28515625" style="161" customWidth="1"/>
    <col min="9742" max="9742" width="15.5703125" style="161" bestFit="1" customWidth="1"/>
    <col min="9743" max="9743" width="1.42578125" style="161" customWidth="1"/>
    <col min="9744" max="9744" width="15" style="161" customWidth="1"/>
    <col min="9745" max="9745" width="1.7109375" style="161" customWidth="1"/>
    <col min="9746" max="9746" width="12.85546875" style="161" bestFit="1" customWidth="1"/>
    <col min="9747" max="9747" width="2.85546875" style="161" customWidth="1"/>
    <col min="9748" max="9748" width="15.42578125" style="161" bestFit="1" customWidth="1"/>
    <col min="9749" max="9749" width="1.7109375" style="161" customWidth="1"/>
    <col min="9750" max="9750" width="14.5703125" style="161" bestFit="1" customWidth="1"/>
    <col min="9751" max="9751" width="1.5703125" style="161" customWidth="1"/>
    <col min="9752" max="9752" width="16" style="161" bestFit="1" customWidth="1"/>
    <col min="9753" max="9753" width="3" style="161" customWidth="1"/>
    <col min="9754" max="9754" width="15.85546875" style="161" bestFit="1" customWidth="1"/>
    <col min="9755" max="9755" width="1.85546875" style="161" customWidth="1"/>
    <col min="9756" max="9756" width="15.28515625" style="161" customWidth="1"/>
    <col min="9757" max="9757" width="1.7109375" style="161" customWidth="1"/>
    <col min="9758" max="9758" width="11.85546875" style="161" bestFit="1" customWidth="1"/>
    <col min="9759" max="9759" width="1.7109375" style="161" customWidth="1"/>
    <col min="9760" max="9760" width="14.42578125" style="161" bestFit="1" customWidth="1"/>
    <col min="9761" max="9761" width="34.7109375" style="161" customWidth="1"/>
    <col min="9762" max="9984" width="9.140625" style="161"/>
    <col min="9985" max="9986" width="10.7109375" style="161" customWidth="1"/>
    <col min="9987" max="9987" width="27.42578125" style="161" customWidth="1"/>
    <col min="9988" max="9988" width="5.5703125" style="161" customWidth="1"/>
    <col min="9989" max="9989" width="14.5703125" style="161" bestFit="1" customWidth="1"/>
    <col min="9990" max="9990" width="6.42578125" style="161" bestFit="1" customWidth="1"/>
    <col min="9991" max="9991" width="3.5703125" style="161" customWidth="1"/>
    <col min="9992" max="9992" width="17" style="161" customWidth="1"/>
    <col min="9993" max="9993" width="3.42578125" style="161" customWidth="1"/>
    <col min="9994" max="9994" width="18.28515625" style="161" bestFit="1" customWidth="1"/>
    <col min="9995" max="9995" width="3.140625" style="161" customWidth="1"/>
    <col min="9996" max="9996" width="16.28515625" style="161" customWidth="1"/>
    <col min="9997" max="9997" width="1.28515625" style="161" customWidth="1"/>
    <col min="9998" max="9998" width="15.5703125" style="161" bestFit="1" customWidth="1"/>
    <col min="9999" max="9999" width="1.42578125" style="161" customWidth="1"/>
    <col min="10000" max="10000" width="15" style="161" customWidth="1"/>
    <col min="10001" max="10001" width="1.7109375" style="161" customWidth="1"/>
    <col min="10002" max="10002" width="12.85546875" style="161" bestFit="1" customWidth="1"/>
    <col min="10003" max="10003" width="2.85546875" style="161" customWidth="1"/>
    <col min="10004" max="10004" width="15.42578125" style="161" bestFit="1" customWidth="1"/>
    <col min="10005" max="10005" width="1.7109375" style="161" customWidth="1"/>
    <col min="10006" max="10006" width="14.5703125" style="161" bestFit="1" customWidth="1"/>
    <col min="10007" max="10007" width="1.5703125" style="161" customWidth="1"/>
    <col min="10008" max="10008" width="16" style="161" bestFit="1" customWidth="1"/>
    <col min="10009" max="10009" width="3" style="161" customWidth="1"/>
    <col min="10010" max="10010" width="15.85546875" style="161" bestFit="1" customWidth="1"/>
    <col min="10011" max="10011" width="1.85546875" style="161" customWidth="1"/>
    <col min="10012" max="10012" width="15.28515625" style="161" customWidth="1"/>
    <col min="10013" max="10013" width="1.7109375" style="161" customWidth="1"/>
    <col min="10014" max="10014" width="11.85546875" style="161" bestFit="1" customWidth="1"/>
    <col min="10015" max="10015" width="1.7109375" style="161" customWidth="1"/>
    <col min="10016" max="10016" width="14.42578125" style="161" bestFit="1" customWidth="1"/>
    <col min="10017" max="10017" width="34.7109375" style="161" customWidth="1"/>
    <col min="10018" max="10240" width="9.140625" style="161"/>
    <col min="10241" max="10242" width="10.7109375" style="161" customWidth="1"/>
    <col min="10243" max="10243" width="27.42578125" style="161" customWidth="1"/>
    <col min="10244" max="10244" width="5.5703125" style="161" customWidth="1"/>
    <col min="10245" max="10245" width="14.5703125" style="161" bestFit="1" customWidth="1"/>
    <col min="10246" max="10246" width="6.42578125" style="161" bestFit="1" customWidth="1"/>
    <col min="10247" max="10247" width="3.5703125" style="161" customWidth="1"/>
    <col min="10248" max="10248" width="17" style="161" customWidth="1"/>
    <col min="10249" max="10249" width="3.42578125" style="161" customWidth="1"/>
    <col min="10250" max="10250" width="18.28515625" style="161" bestFit="1" customWidth="1"/>
    <col min="10251" max="10251" width="3.140625" style="161" customWidth="1"/>
    <col min="10252" max="10252" width="16.28515625" style="161" customWidth="1"/>
    <col min="10253" max="10253" width="1.28515625" style="161" customWidth="1"/>
    <col min="10254" max="10254" width="15.5703125" style="161" bestFit="1" customWidth="1"/>
    <col min="10255" max="10255" width="1.42578125" style="161" customWidth="1"/>
    <col min="10256" max="10256" width="15" style="161" customWidth="1"/>
    <col min="10257" max="10257" width="1.7109375" style="161" customWidth="1"/>
    <col min="10258" max="10258" width="12.85546875" style="161" bestFit="1" customWidth="1"/>
    <col min="10259" max="10259" width="2.85546875" style="161" customWidth="1"/>
    <col min="10260" max="10260" width="15.42578125" style="161" bestFit="1" customWidth="1"/>
    <col min="10261" max="10261" width="1.7109375" style="161" customWidth="1"/>
    <col min="10262" max="10262" width="14.5703125" style="161" bestFit="1" customWidth="1"/>
    <col min="10263" max="10263" width="1.5703125" style="161" customWidth="1"/>
    <col min="10264" max="10264" width="16" style="161" bestFit="1" customWidth="1"/>
    <col min="10265" max="10265" width="3" style="161" customWidth="1"/>
    <col min="10266" max="10266" width="15.85546875" style="161" bestFit="1" customWidth="1"/>
    <col min="10267" max="10267" width="1.85546875" style="161" customWidth="1"/>
    <col min="10268" max="10268" width="15.28515625" style="161" customWidth="1"/>
    <col min="10269" max="10269" width="1.7109375" style="161" customWidth="1"/>
    <col min="10270" max="10270" width="11.85546875" style="161" bestFit="1" customWidth="1"/>
    <col min="10271" max="10271" width="1.7109375" style="161" customWidth="1"/>
    <col min="10272" max="10272" width="14.42578125" style="161" bestFit="1" customWidth="1"/>
    <col min="10273" max="10273" width="34.7109375" style="161" customWidth="1"/>
    <col min="10274" max="10496" width="9.140625" style="161"/>
    <col min="10497" max="10498" width="10.7109375" style="161" customWidth="1"/>
    <col min="10499" max="10499" width="27.42578125" style="161" customWidth="1"/>
    <col min="10500" max="10500" width="5.5703125" style="161" customWidth="1"/>
    <col min="10501" max="10501" width="14.5703125" style="161" bestFit="1" customWidth="1"/>
    <col min="10502" max="10502" width="6.42578125" style="161" bestFit="1" customWidth="1"/>
    <col min="10503" max="10503" width="3.5703125" style="161" customWidth="1"/>
    <col min="10504" max="10504" width="17" style="161" customWidth="1"/>
    <col min="10505" max="10505" width="3.42578125" style="161" customWidth="1"/>
    <col min="10506" max="10506" width="18.28515625" style="161" bestFit="1" customWidth="1"/>
    <col min="10507" max="10507" width="3.140625" style="161" customWidth="1"/>
    <col min="10508" max="10508" width="16.28515625" style="161" customWidth="1"/>
    <col min="10509" max="10509" width="1.28515625" style="161" customWidth="1"/>
    <col min="10510" max="10510" width="15.5703125" style="161" bestFit="1" customWidth="1"/>
    <col min="10511" max="10511" width="1.42578125" style="161" customWidth="1"/>
    <col min="10512" max="10512" width="15" style="161" customWidth="1"/>
    <col min="10513" max="10513" width="1.7109375" style="161" customWidth="1"/>
    <col min="10514" max="10514" width="12.85546875" style="161" bestFit="1" customWidth="1"/>
    <col min="10515" max="10515" width="2.85546875" style="161" customWidth="1"/>
    <col min="10516" max="10516" width="15.42578125" style="161" bestFit="1" customWidth="1"/>
    <col min="10517" max="10517" width="1.7109375" style="161" customWidth="1"/>
    <col min="10518" max="10518" width="14.5703125" style="161" bestFit="1" customWidth="1"/>
    <col min="10519" max="10519" width="1.5703125" style="161" customWidth="1"/>
    <col min="10520" max="10520" width="16" style="161" bestFit="1" customWidth="1"/>
    <col min="10521" max="10521" width="3" style="161" customWidth="1"/>
    <col min="10522" max="10522" width="15.85546875" style="161" bestFit="1" customWidth="1"/>
    <col min="10523" max="10523" width="1.85546875" style="161" customWidth="1"/>
    <col min="10524" max="10524" width="15.28515625" style="161" customWidth="1"/>
    <col min="10525" max="10525" width="1.7109375" style="161" customWidth="1"/>
    <col min="10526" max="10526" width="11.85546875" style="161" bestFit="1" customWidth="1"/>
    <col min="10527" max="10527" width="1.7109375" style="161" customWidth="1"/>
    <col min="10528" max="10528" width="14.42578125" style="161" bestFit="1" customWidth="1"/>
    <col min="10529" max="10529" width="34.7109375" style="161" customWidth="1"/>
    <col min="10530" max="10752" width="9.140625" style="161"/>
    <col min="10753" max="10754" width="10.7109375" style="161" customWidth="1"/>
    <col min="10755" max="10755" width="27.42578125" style="161" customWidth="1"/>
    <col min="10756" max="10756" width="5.5703125" style="161" customWidth="1"/>
    <col min="10757" max="10757" width="14.5703125" style="161" bestFit="1" customWidth="1"/>
    <col min="10758" max="10758" width="6.42578125" style="161" bestFit="1" customWidth="1"/>
    <col min="10759" max="10759" width="3.5703125" style="161" customWidth="1"/>
    <col min="10760" max="10760" width="17" style="161" customWidth="1"/>
    <col min="10761" max="10761" width="3.42578125" style="161" customWidth="1"/>
    <col min="10762" max="10762" width="18.28515625" style="161" bestFit="1" customWidth="1"/>
    <col min="10763" max="10763" width="3.140625" style="161" customWidth="1"/>
    <col min="10764" max="10764" width="16.28515625" style="161" customWidth="1"/>
    <col min="10765" max="10765" width="1.28515625" style="161" customWidth="1"/>
    <col min="10766" max="10766" width="15.5703125" style="161" bestFit="1" customWidth="1"/>
    <col min="10767" max="10767" width="1.42578125" style="161" customWidth="1"/>
    <col min="10768" max="10768" width="15" style="161" customWidth="1"/>
    <col min="10769" max="10769" width="1.7109375" style="161" customWidth="1"/>
    <col min="10770" max="10770" width="12.85546875" style="161" bestFit="1" customWidth="1"/>
    <col min="10771" max="10771" width="2.85546875" style="161" customWidth="1"/>
    <col min="10772" max="10772" width="15.42578125" style="161" bestFit="1" customWidth="1"/>
    <col min="10773" max="10773" width="1.7109375" style="161" customWidth="1"/>
    <col min="10774" max="10774" width="14.5703125" style="161" bestFit="1" customWidth="1"/>
    <col min="10775" max="10775" width="1.5703125" style="161" customWidth="1"/>
    <col min="10776" max="10776" width="16" style="161" bestFit="1" customWidth="1"/>
    <col min="10777" max="10777" width="3" style="161" customWidth="1"/>
    <col min="10778" max="10778" width="15.85546875" style="161" bestFit="1" customWidth="1"/>
    <col min="10779" max="10779" width="1.85546875" style="161" customWidth="1"/>
    <col min="10780" max="10780" width="15.28515625" style="161" customWidth="1"/>
    <col min="10781" max="10781" width="1.7109375" style="161" customWidth="1"/>
    <col min="10782" max="10782" width="11.85546875" style="161" bestFit="1" customWidth="1"/>
    <col min="10783" max="10783" width="1.7109375" style="161" customWidth="1"/>
    <col min="10784" max="10784" width="14.42578125" style="161" bestFit="1" customWidth="1"/>
    <col min="10785" max="10785" width="34.7109375" style="161" customWidth="1"/>
    <col min="10786" max="11008" width="9.140625" style="161"/>
    <col min="11009" max="11010" width="10.7109375" style="161" customWidth="1"/>
    <col min="11011" max="11011" width="27.42578125" style="161" customWidth="1"/>
    <col min="11012" max="11012" width="5.5703125" style="161" customWidth="1"/>
    <col min="11013" max="11013" width="14.5703125" style="161" bestFit="1" customWidth="1"/>
    <col min="11014" max="11014" width="6.42578125" style="161" bestFit="1" customWidth="1"/>
    <col min="11015" max="11015" width="3.5703125" style="161" customWidth="1"/>
    <col min="11016" max="11016" width="17" style="161" customWidth="1"/>
    <col min="11017" max="11017" width="3.42578125" style="161" customWidth="1"/>
    <col min="11018" max="11018" width="18.28515625" style="161" bestFit="1" customWidth="1"/>
    <col min="11019" max="11019" width="3.140625" style="161" customWidth="1"/>
    <col min="11020" max="11020" width="16.28515625" style="161" customWidth="1"/>
    <col min="11021" max="11021" width="1.28515625" style="161" customWidth="1"/>
    <col min="11022" max="11022" width="15.5703125" style="161" bestFit="1" customWidth="1"/>
    <col min="11023" max="11023" width="1.42578125" style="161" customWidth="1"/>
    <col min="11024" max="11024" width="15" style="161" customWidth="1"/>
    <col min="11025" max="11025" width="1.7109375" style="161" customWidth="1"/>
    <col min="11026" max="11026" width="12.85546875" style="161" bestFit="1" customWidth="1"/>
    <col min="11027" max="11027" width="2.85546875" style="161" customWidth="1"/>
    <col min="11028" max="11028" width="15.42578125" style="161" bestFit="1" customWidth="1"/>
    <col min="11029" max="11029" width="1.7109375" style="161" customWidth="1"/>
    <col min="11030" max="11030" width="14.5703125" style="161" bestFit="1" customWidth="1"/>
    <col min="11031" max="11031" width="1.5703125" style="161" customWidth="1"/>
    <col min="11032" max="11032" width="16" style="161" bestFit="1" customWidth="1"/>
    <col min="11033" max="11033" width="3" style="161" customWidth="1"/>
    <col min="11034" max="11034" width="15.85546875" style="161" bestFit="1" customWidth="1"/>
    <col min="11035" max="11035" width="1.85546875" style="161" customWidth="1"/>
    <col min="11036" max="11036" width="15.28515625" style="161" customWidth="1"/>
    <col min="11037" max="11037" width="1.7109375" style="161" customWidth="1"/>
    <col min="11038" max="11038" width="11.85546875" style="161" bestFit="1" customWidth="1"/>
    <col min="11039" max="11039" width="1.7109375" style="161" customWidth="1"/>
    <col min="11040" max="11040" width="14.42578125" style="161" bestFit="1" customWidth="1"/>
    <col min="11041" max="11041" width="34.7109375" style="161" customWidth="1"/>
    <col min="11042" max="11264" width="9.140625" style="161"/>
    <col min="11265" max="11266" width="10.7109375" style="161" customWidth="1"/>
    <col min="11267" max="11267" width="27.42578125" style="161" customWidth="1"/>
    <col min="11268" max="11268" width="5.5703125" style="161" customWidth="1"/>
    <col min="11269" max="11269" width="14.5703125" style="161" bestFit="1" customWidth="1"/>
    <col min="11270" max="11270" width="6.42578125" style="161" bestFit="1" customWidth="1"/>
    <col min="11271" max="11271" width="3.5703125" style="161" customWidth="1"/>
    <col min="11272" max="11272" width="17" style="161" customWidth="1"/>
    <col min="11273" max="11273" width="3.42578125" style="161" customWidth="1"/>
    <col min="11274" max="11274" width="18.28515625" style="161" bestFit="1" customWidth="1"/>
    <col min="11275" max="11275" width="3.140625" style="161" customWidth="1"/>
    <col min="11276" max="11276" width="16.28515625" style="161" customWidth="1"/>
    <col min="11277" max="11277" width="1.28515625" style="161" customWidth="1"/>
    <col min="11278" max="11278" width="15.5703125" style="161" bestFit="1" customWidth="1"/>
    <col min="11279" max="11279" width="1.42578125" style="161" customWidth="1"/>
    <col min="11280" max="11280" width="15" style="161" customWidth="1"/>
    <col min="11281" max="11281" width="1.7109375" style="161" customWidth="1"/>
    <col min="11282" max="11282" width="12.85546875" style="161" bestFit="1" customWidth="1"/>
    <col min="11283" max="11283" width="2.85546875" style="161" customWidth="1"/>
    <col min="11284" max="11284" width="15.42578125" style="161" bestFit="1" customWidth="1"/>
    <col min="11285" max="11285" width="1.7109375" style="161" customWidth="1"/>
    <col min="11286" max="11286" width="14.5703125" style="161" bestFit="1" customWidth="1"/>
    <col min="11287" max="11287" width="1.5703125" style="161" customWidth="1"/>
    <col min="11288" max="11288" width="16" style="161" bestFit="1" customWidth="1"/>
    <col min="11289" max="11289" width="3" style="161" customWidth="1"/>
    <col min="11290" max="11290" width="15.85546875" style="161" bestFit="1" customWidth="1"/>
    <col min="11291" max="11291" width="1.85546875" style="161" customWidth="1"/>
    <col min="11292" max="11292" width="15.28515625" style="161" customWidth="1"/>
    <col min="11293" max="11293" width="1.7109375" style="161" customWidth="1"/>
    <col min="11294" max="11294" width="11.85546875" style="161" bestFit="1" customWidth="1"/>
    <col min="11295" max="11295" width="1.7109375" style="161" customWidth="1"/>
    <col min="11296" max="11296" width="14.42578125" style="161" bestFit="1" customWidth="1"/>
    <col min="11297" max="11297" width="34.7109375" style="161" customWidth="1"/>
    <col min="11298" max="11520" width="9.140625" style="161"/>
    <col min="11521" max="11522" width="10.7109375" style="161" customWidth="1"/>
    <col min="11523" max="11523" width="27.42578125" style="161" customWidth="1"/>
    <col min="11524" max="11524" width="5.5703125" style="161" customWidth="1"/>
    <col min="11525" max="11525" width="14.5703125" style="161" bestFit="1" customWidth="1"/>
    <col min="11526" max="11526" width="6.42578125" style="161" bestFit="1" customWidth="1"/>
    <col min="11527" max="11527" width="3.5703125" style="161" customWidth="1"/>
    <col min="11528" max="11528" width="17" style="161" customWidth="1"/>
    <col min="11529" max="11529" width="3.42578125" style="161" customWidth="1"/>
    <col min="11530" max="11530" width="18.28515625" style="161" bestFit="1" customWidth="1"/>
    <col min="11531" max="11531" width="3.140625" style="161" customWidth="1"/>
    <col min="11532" max="11532" width="16.28515625" style="161" customWidth="1"/>
    <col min="11533" max="11533" width="1.28515625" style="161" customWidth="1"/>
    <col min="11534" max="11534" width="15.5703125" style="161" bestFit="1" customWidth="1"/>
    <col min="11535" max="11535" width="1.42578125" style="161" customWidth="1"/>
    <col min="11536" max="11536" width="15" style="161" customWidth="1"/>
    <col min="11537" max="11537" width="1.7109375" style="161" customWidth="1"/>
    <col min="11538" max="11538" width="12.85546875" style="161" bestFit="1" customWidth="1"/>
    <col min="11539" max="11539" width="2.85546875" style="161" customWidth="1"/>
    <col min="11540" max="11540" width="15.42578125" style="161" bestFit="1" customWidth="1"/>
    <col min="11541" max="11541" width="1.7109375" style="161" customWidth="1"/>
    <col min="11542" max="11542" width="14.5703125" style="161" bestFit="1" customWidth="1"/>
    <col min="11543" max="11543" width="1.5703125" style="161" customWidth="1"/>
    <col min="11544" max="11544" width="16" style="161" bestFit="1" customWidth="1"/>
    <col min="11545" max="11545" width="3" style="161" customWidth="1"/>
    <col min="11546" max="11546" width="15.85546875" style="161" bestFit="1" customWidth="1"/>
    <col min="11547" max="11547" width="1.85546875" style="161" customWidth="1"/>
    <col min="11548" max="11548" width="15.28515625" style="161" customWidth="1"/>
    <col min="11549" max="11549" width="1.7109375" style="161" customWidth="1"/>
    <col min="11550" max="11550" width="11.85546875" style="161" bestFit="1" customWidth="1"/>
    <col min="11551" max="11551" width="1.7109375" style="161" customWidth="1"/>
    <col min="11552" max="11552" width="14.42578125" style="161" bestFit="1" customWidth="1"/>
    <col min="11553" max="11553" width="34.7109375" style="161" customWidth="1"/>
    <col min="11554" max="11776" width="9.140625" style="161"/>
    <col min="11777" max="11778" width="10.7109375" style="161" customWidth="1"/>
    <col min="11779" max="11779" width="27.42578125" style="161" customWidth="1"/>
    <col min="11780" max="11780" width="5.5703125" style="161" customWidth="1"/>
    <col min="11781" max="11781" width="14.5703125" style="161" bestFit="1" customWidth="1"/>
    <col min="11782" max="11782" width="6.42578125" style="161" bestFit="1" customWidth="1"/>
    <col min="11783" max="11783" width="3.5703125" style="161" customWidth="1"/>
    <col min="11784" max="11784" width="17" style="161" customWidth="1"/>
    <col min="11785" max="11785" width="3.42578125" style="161" customWidth="1"/>
    <col min="11786" max="11786" width="18.28515625" style="161" bestFit="1" customWidth="1"/>
    <col min="11787" max="11787" width="3.140625" style="161" customWidth="1"/>
    <col min="11788" max="11788" width="16.28515625" style="161" customWidth="1"/>
    <col min="11789" max="11789" width="1.28515625" style="161" customWidth="1"/>
    <col min="11790" max="11790" width="15.5703125" style="161" bestFit="1" customWidth="1"/>
    <col min="11791" max="11791" width="1.42578125" style="161" customWidth="1"/>
    <col min="11792" max="11792" width="15" style="161" customWidth="1"/>
    <col min="11793" max="11793" width="1.7109375" style="161" customWidth="1"/>
    <col min="11794" max="11794" width="12.85546875" style="161" bestFit="1" customWidth="1"/>
    <col min="11795" max="11795" width="2.85546875" style="161" customWidth="1"/>
    <col min="11796" max="11796" width="15.42578125" style="161" bestFit="1" customWidth="1"/>
    <col min="11797" max="11797" width="1.7109375" style="161" customWidth="1"/>
    <col min="11798" max="11798" width="14.5703125" style="161" bestFit="1" customWidth="1"/>
    <col min="11799" max="11799" width="1.5703125" style="161" customWidth="1"/>
    <col min="11800" max="11800" width="16" style="161" bestFit="1" customWidth="1"/>
    <col min="11801" max="11801" width="3" style="161" customWidth="1"/>
    <col min="11802" max="11802" width="15.85546875" style="161" bestFit="1" customWidth="1"/>
    <col min="11803" max="11803" width="1.85546875" style="161" customWidth="1"/>
    <col min="11804" max="11804" width="15.28515625" style="161" customWidth="1"/>
    <col min="11805" max="11805" width="1.7109375" style="161" customWidth="1"/>
    <col min="11806" max="11806" width="11.85546875" style="161" bestFit="1" customWidth="1"/>
    <col min="11807" max="11807" width="1.7109375" style="161" customWidth="1"/>
    <col min="11808" max="11808" width="14.42578125" style="161" bestFit="1" customWidth="1"/>
    <col min="11809" max="11809" width="34.7109375" style="161" customWidth="1"/>
    <col min="11810" max="12032" width="9.140625" style="161"/>
    <col min="12033" max="12034" width="10.7109375" style="161" customWidth="1"/>
    <col min="12035" max="12035" width="27.42578125" style="161" customWidth="1"/>
    <col min="12036" max="12036" width="5.5703125" style="161" customWidth="1"/>
    <col min="12037" max="12037" width="14.5703125" style="161" bestFit="1" customWidth="1"/>
    <col min="12038" max="12038" width="6.42578125" style="161" bestFit="1" customWidth="1"/>
    <col min="12039" max="12039" width="3.5703125" style="161" customWidth="1"/>
    <col min="12040" max="12040" width="17" style="161" customWidth="1"/>
    <col min="12041" max="12041" width="3.42578125" style="161" customWidth="1"/>
    <col min="12042" max="12042" width="18.28515625" style="161" bestFit="1" customWidth="1"/>
    <col min="12043" max="12043" width="3.140625" style="161" customWidth="1"/>
    <col min="12044" max="12044" width="16.28515625" style="161" customWidth="1"/>
    <col min="12045" max="12045" width="1.28515625" style="161" customWidth="1"/>
    <col min="12046" max="12046" width="15.5703125" style="161" bestFit="1" customWidth="1"/>
    <col min="12047" max="12047" width="1.42578125" style="161" customWidth="1"/>
    <col min="12048" max="12048" width="15" style="161" customWidth="1"/>
    <col min="12049" max="12049" width="1.7109375" style="161" customWidth="1"/>
    <col min="12050" max="12050" width="12.85546875" style="161" bestFit="1" customWidth="1"/>
    <col min="12051" max="12051" width="2.85546875" style="161" customWidth="1"/>
    <col min="12052" max="12052" width="15.42578125" style="161" bestFit="1" customWidth="1"/>
    <col min="12053" max="12053" width="1.7109375" style="161" customWidth="1"/>
    <col min="12054" max="12054" width="14.5703125" style="161" bestFit="1" customWidth="1"/>
    <col min="12055" max="12055" width="1.5703125" style="161" customWidth="1"/>
    <col min="12056" max="12056" width="16" style="161" bestFit="1" customWidth="1"/>
    <col min="12057" max="12057" width="3" style="161" customWidth="1"/>
    <col min="12058" max="12058" width="15.85546875" style="161" bestFit="1" customWidth="1"/>
    <col min="12059" max="12059" width="1.85546875" style="161" customWidth="1"/>
    <col min="12060" max="12060" width="15.28515625" style="161" customWidth="1"/>
    <col min="12061" max="12061" width="1.7109375" style="161" customWidth="1"/>
    <col min="12062" max="12062" width="11.85546875" style="161" bestFit="1" customWidth="1"/>
    <col min="12063" max="12063" width="1.7109375" style="161" customWidth="1"/>
    <col min="12064" max="12064" width="14.42578125" style="161" bestFit="1" customWidth="1"/>
    <col min="12065" max="12065" width="34.7109375" style="161" customWidth="1"/>
    <col min="12066" max="12288" width="9.140625" style="161"/>
    <col min="12289" max="12290" width="10.7109375" style="161" customWidth="1"/>
    <col min="12291" max="12291" width="27.42578125" style="161" customWidth="1"/>
    <col min="12292" max="12292" width="5.5703125" style="161" customWidth="1"/>
    <col min="12293" max="12293" width="14.5703125" style="161" bestFit="1" customWidth="1"/>
    <col min="12294" max="12294" width="6.42578125" style="161" bestFit="1" customWidth="1"/>
    <col min="12295" max="12295" width="3.5703125" style="161" customWidth="1"/>
    <col min="12296" max="12296" width="17" style="161" customWidth="1"/>
    <col min="12297" max="12297" width="3.42578125" style="161" customWidth="1"/>
    <col min="12298" max="12298" width="18.28515625" style="161" bestFit="1" customWidth="1"/>
    <col min="12299" max="12299" width="3.140625" style="161" customWidth="1"/>
    <col min="12300" max="12300" width="16.28515625" style="161" customWidth="1"/>
    <col min="12301" max="12301" width="1.28515625" style="161" customWidth="1"/>
    <col min="12302" max="12302" width="15.5703125" style="161" bestFit="1" customWidth="1"/>
    <col min="12303" max="12303" width="1.42578125" style="161" customWidth="1"/>
    <col min="12304" max="12304" width="15" style="161" customWidth="1"/>
    <col min="12305" max="12305" width="1.7109375" style="161" customWidth="1"/>
    <col min="12306" max="12306" width="12.85546875" style="161" bestFit="1" customWidth="1"/>
    <col min="12307" max="12307" width="2.85546875" style="161" customWidth="1"/>
    <col min="12308" max="12308" width="15.42578125" style="161" bestFit="1" customWidth="1"/>
    <col min="12309" max="12309" width="1.7109375" style="161" customWidth="1"/>
    <col min="12310" max="12310" width="14.5703125" style="161" bestFit="1" customWidth="1"/>
    <col min="12311" max="12311" width="1.5703125" style="161" customWidth="1"/>
    <col min="12312" max="12312" width="16" style="161" bestFit="1" customWidth="1"/>
    <col min="12313" max="12313" width="3" style="161" customWidth="1"/>
    <col min="12314" max="12314" width="15.85546875" style="161" bestFit="1" customWidth="1"/>
    <col min="12315" max="12315" width="1.85546875" style="161" customWidth="1"/>
    <col min="12316" max="12316" width="15.28515625" style="161" customWidth="1"/>
    <col min="12317" max="12317" width="1.7109375" style="161" customWidth="1"/>
    <col min="12318" max="12318" width="11.85546875" style="161" bestFit="1" customWidth="1"/>
    <col min="12319" max="12319" width="1.7109375" style="161" customWidth="1"/>
    <col min="12320" max="12320" width="14.42578125" style="161" bestFit="1" customWidth="1"/>
    <col min="12321" max="12321" width="34.7109375" style="161" customWidth="1"/>
    <col min="12322" max="12544" width="9.140625" style="161"/>
    <col min="12545" max="12546" width="10.7109375" style="161" customWidth="1"/>
    <col min="12547" max="12547" width="27.42578125" style="161" customWidth="1"/>
    <col min="12548" max="12548" width="5.5703125" style="161" customWidth="1"/>
    <col min="12549" max="12549" width="14.5703125" style="161" bestFit="1" customWidth="1"/>
    <col min="12550" max="12550" width="6.42578125" style="161" bestFit="1" customWidth="1"/>
    <col min="12551" max="12551" width="3.5703125" style="161" customWidth="1"/>
    <col min="12552" max="12552" width="17" style="161" customWidth="1"/>
    <col min="12553" max="12553" width="3.42578125" style="161" customWidth="1"/>
    <col min="12554" max="12554" width="18.28515625" style="161" bestFit="1" customWidth="1"/>
    <col min="12555" max="12555" width="3.140625" style="161" customWidth="1"/>
    <col min="12556" max="12556" width="16.28515625" style="161" customWidth="1"/>
    <col min="12557" max="12557" width="1.28515625" style="161" customWidth="1"/>
    <col min="12558" max="12558" width="15.5703125" style="161" bestFit="1" customWidth="1"/>
    <col min="12559" max="12559" width="1.42578125" style="161" customWidth="1"/>
    <col min="12560" max="12560" width="15" style="161" customWidth="1"/>
    <col min="12561" max="12561" width="1.7109375" style="161" customWidth="1"/>
    <col min="12562" max="12562" width="12.85546875" style="161" bestFit="1" customWidth="1"/>
    <col min="12563" max="12563" width="2.85546875" style="161" customWidth="1"/>
    <col min="12564" max="12564" width="15.42578125" style="161" bestFit="1" customWidth="1"/>
    <col min="12565" max="12565" width="1.7109375" style="161" customWidth="1"/>
    <col min="12566" max="12566" width="14.5703125" style="161" bestFit="1" customWidth="1"/>
    <col min="12567" max="12567" width="1.5703125" style="161" customWidth="1"/>
    <col min="12568" max="12568" width="16" style="161" bestFit="1" customWidth="1"/>
    <col min="12569" max="12569" width="3" style="161" customWidth="1"/>
    <col min="12570" max="12570" width="15.85546875" style="161" bestFit="1" customWidth="1"/>
    <col min="12571" max="12571" width="1.85546875" style="161" customWidth="1"/>
    <col min="12572" max="12572" width="15.28515625" style="161" customWidth="1"/>
    <col min="12573" max="12573" width="1.7109375" style="161" customWidth="1"/>
    <col min="12574" max="12574" width="11.85546875" style="161" bestFit="1" customWidth="1"/>
    <col min="12575" max="12575" width="1.7109375" style="161" customWidth="1"/>
    <col min="12576" max="12576" width="14.42578125" style="161" bestFit="1" customWidth="1"/>
    <col min="12577" max="12577" width="34.7109375" style="161" customWidth="1"/>
    <col min="12578" max="12800" width="9.140625" style="161"/>
    <col min="12801" max="12802" width="10.7109375" style="161" customWidth="1"/>
    <col min="12803" max="12803" width="27.42578125" style="161" customWidth="1"/>
    <col min="12804" max="12804" width="5.5703125" style="161" customWidth="1"/>
    <col min="12805" max="12805" width="14.5703125" style="161" bestFit="1" customWidth="1"/>
    <col min="12806" max="12806" width="6.42578125" style="161" bestFit="1" customWidth="1"/>
    <col min="12807" max="12807" width="3.5703125" style="161" customWidth="1"/>
    <col min="12808" max="12808" width="17" style="161" customWidth="1"/>
    <col min="12809" max="12809" width="3.42578125" style="161" customWidth="1"/>
    <col min="12810" max="12810" width="18.28515625" style="161" bestFit="1" customWidth="1"/>
    <col min="12811" max="12811" width="3.140625" style="161" customWidth="1"/>
    <col min="12812" max="12812" width="16.28515625" style="161" customWidth="1"/>
    <col min="12813" max="12813" width="1.28515625" style="161" customWidth="1"/>
    <col min="12814" max="12814" width="15.5703125" style="161" bestFit="1" customWidth="1"/>
    <col min="12815" max="12815" width="1.42578125" style="161" customWidth="1"/>
    <col min="12816" max="12816" width="15" style="161" customWidth="1"/>
    <col min="12817" max="12817" width="1.7109375" style="161" customWidth="1"/>
    <col min="12818" max="12818" width="12.85546875" style="161" bestFit="1" customWidth="1"/>
    <col min="12819" max="12819" width="2.85546875" style="161" customWidth="1"/>
    <col min="12820" max="12820" width="15.42578125" style="161" bestFit="1" customWidth="1"/>
    <col min="12821" max="12821" width="1.7109375" style="161" customWidth="1"/>
    <col min="12822" max="12822" width="14.5703125" style="161" bestFit="1" customWidth="1"/>
    <col min="12823" max="12823" width="1.5703125" style="161" customWidth="1"/>
    <col min="12824" max="12824" width="16" style="161" bestFit="1" customWidth="1"/>
    <col min="12825" max="12825" width="3" style="161" customWidth="1"/>
    <col min="12826" max="12826" width="15.85546875" style="161" bestFit="1" customWidth="1"/>
    <col min="12827" max="12827" width="1.85546875" style="161" customWidth="1"/>
    <col min="12828" max="12828" width="15.28515625" style="161" customWidth="1"/>
    <col min="12829" max="12829" width="1.7109375" style="161" customWidth="1"/>
    <col min="12830" max="12830" width="11.85546875" style="161" bestFit="1" customWidth="1"/>
    <col min="12831" max="12831" width="1.7109375" style="161" customWidth="1"/>
    <col min="12832" max="12832" width="14.42578125" style="161" bestFit="1" customWidth="1"/>
    <col min="12833" max="12833" width="34.7109375" style="161" customWidth="1"/>
    <col min="12834" max="13056" width="9.140625" style="161"/>
    <col min="13057" max="13058" width="10.7109375" style="161" customWidth="1"/>
    <col min="13059" max="13059" width="27.42578125" style="161" customWidth="1"/>
    <col min="13060" max="13060" width="5.5703125" style="161" customWidth="1"/>
    <col min="13061" max="13061" width="14.5703125" style="161" bestFit="1" customWidth="1"/>
    <col min="13062" max="13062" width="6.42578125" style="161" bestFit="1" customWidth="1"/>
    <col min="13063" max="13063" width="3.5703125" style="161" customWidth="1"/>
    <col min="13064" max="13064" width="17" style="161" customWidth="1"/>
    <col min="13065" max="13065" width="3.42578125" style="161" customWidth="1"/>
    <col min="13066" max="13066" width="18.28515625" style="161" bestFit="1" customWidth="1"/>
    <col min="13067" max="13067" width="3.140625" style="161" customWidth="1"/>
    <col min="13068" max="13068" width="16.28515625" style="161" customWidth="1"/>
    <col min="13069" max="13069" width="1.28515625" style="161" customWidth="1"/>
    <col min="13070" max="13070" width="15.5703125" style="161" bestFit="1" customWidth="1"/>
    <col min="13071" max="13071" width="1.42578125" style="161" customWidth="1"/>
    <col min="13072" max="13072" width="15" style="161" customWidth="1"/>
    <col min="13073" max="13073" width="1.7109375" style="161" customWidth="1"/>
    <col min="13074" max="13074" width="12.85546875" style="161" bestFit="1" customWidth="1"/>
    <col min="13075" max="13075" width="2.85546875" style="161" customWidth="1"/>
    <col min="13076" max="13076" width="15.42578125" style="161" bestFit="1" customWidth="1"/>
    <col min="13077" max="13077" width="1.7109375" style="161" customWidth="1"/>
    <col min="13078" max="13078" width="14.5703125" style="161" bestFit="1" customWidth="1"/>
    <col min="13079" max="13079" width="1.5703125" style="161" customWidth="1"/>
    <col min="13080" max="13080" width="16" style="161" bestFit="1" customWidth="1"/>
    <col min="13081" max="13081" width="3" style="161" customWidth="1"/>
    <col min="13082" max="13082" width="15.85546875" style="161" bestFit="1" customWidth="1"/>
    <col min="13083" max="13083" width="1.85546875" style="161" customWidth="1"/>
    <col min="13084" max="13084" width="15.28515625" style="161" customWidth="1"/>
    <col min="13085" max="13085" width="1.7109375" style="161" customWidth="1"/>
    <col min="13086" max="13086" width="11.85546875" style="161" bestFit="1" customWidth="1"/>
    <col min="13087" max="13087" width="1.7109375" style="161" customWidth="1"/>
    <col min="13088" max="13088" width="14.42578125" style="161" bestFit="1" customWidth="1"/>
    <col min="13089" max="13089" width="34.7109375" style="161" customWidth="1"/>
    <col min="13090" max="13312" width="9.140625" style="161"/>
    <col min="13313" max="13314" width="10.7109375" style="161" customWidth="1"/>
    <col min="13315" max="13315" width="27.42578125" style="161" customWidth="1"/>
    <col min="13316" max="13316" width="5.5703125" style="161" customWidth="1"/>
    <col min="13317" max="13317" width="14.5703125" style="161" bestFit="1" customWidth="1"/>
    <col min="13318" max="13318" width="6.42578125" style="161" bestFit="1" customWidth="1"/>
    <col min="13319" max="13319" width="3.5703125" style="161" customWidth="1"/>
    <col min="13320" max="13320" width="17" style="161" customWidth="1"/>
    <col min="13321" max="13321" width="3.42578125" style="161" customWidth="1"/>
    <col min="13322" max="13322" width="18.28515625" style="161" bestFit="1" customWidth="1"/>
    <col min="13323" max="13323" width="3.140625" style="161" customWidth="1"/>
    <col min="13324" max="13324" width="16.28515625" style="161" customWidth="1"/>
    <col min="13325" max="13325" width="1.28515625" style="161" customWidth="1"/>
    <col min="13326" max="13326" width="15.5703125" style="161" bestFit="1" customWidth="1"/>
    <col min="13327" max="13327" width="1.42578125" style="161" customWidth="1"/>
    <col min="13328" max="13328" width="15" style="161" customWidth="1"/>
    <col min="13329" max="13329" width="1.7109375" style="161" customWidth="1"/>
    <col min="13330" max="13330" width="12.85546875" style="161" bestFit="1" customWidth="1"/>
    <col min="13331" max="13331" width="2.85546875" style="161" customWidth="1"/>
    <col min="13332" max="13332" width="15.42578125" style="161" bestFit="1" customWidth="1"/>
    <col min="13333" max="13333" width="1.7109375" style="161" customWidth="1"/>
    <col min="13334" max="13334" width="14.5703125" style="161" bestFit="1" customWidth="1"/>
    <col min="13335" max="13335" width="1.5703125" style="161" customWidth="1"/>
    <col min="13336" max="13336" width="16" style="161" bestFit="1" customWidth="1"/>
    <col min="13337" max="13337" width="3" style="161" customWidth="1"/>
    <col min="13338" max="13338" width="15.85546875" style="161" bestFit="1" customWidth="1"/>
    <col min="13339" max="13339" width="1.85546875" style="161" customWidth="1"/>
    <col min="13340" max="13340" width="15.28515625" style="161" customWidth="1"/>
    <col min="13341" max="13341" width="1.7109375" style="161" customWidth="1"/>
    <col min="13342" max="13342" width="11.85546875" style="161" bestFit="1" customWidth="1"/>
    <col min="13343" max="13343" width="1.7109375" style="161" customWidth="1"/>
    <col min="13344" max="13344" width="14.42578125" style="161" bestFit="1" customWidth="1"/>
    <col min="13345" max="13345" width="34.7109375" style="161" customWidth="1"/>
    <col min="13346" max="13568" width="9.140625" style="161"/>
    <col min="13569" max="13570" width="10.7109375" style="161" customWidth="1"/>
    <col min="13571" max="13571" width="27.42578125" style="161" customWidth="1"/>
    <col min="13572" max="13572" width="5.5703125" style="161" customWidth="1"/>
    <col min="13573" max="13573" width="14.5703125" style="161" bestFit="1" customWidth="1"/>
    <col min="13574" max="13574" width="6.42578125" style="161" bestFit="1" customWidth="1"/>
    <col min="13575" max="13575" width="3.5703125" style="161" customWidth="1"/>
    <col min="13576" max="13576" width="17" style="161" customWidth="1"/>
    <col min="13577" max="13577" width="3.42578125" style="161" customWidth="1"/>
    <col min="13578" max="13578" width="18.28515625" style="161" bestFit="1" customWidth="1"/>
    <col min="13579" max="13579" width="3.140625" style="161" customWidth="1"/>
    <col min="13580" max="13580" width="16.28515625" style="161" customWidth="1"/>
    <col min="13581" max="13581" width="1.28515625" style="161" customWidth="1"/>
    <col min="13582" max="13582" width="15.5703125" style="161" bestFit="1" customWidth="1"/>
    <col min="13583" max="13583" width="1.42578125" style="161" customWidth="1"/>
    <col min="13584" max="13584" width="15" style="161" customWidth="1"/>
    <col min="13585" max="13585" width="1.7109375" style="161" customWidth="1"/>
    <col min="13586" max="13586" width="12.85546875" style="161" bestFit="1" customWidth="1"/>
    <col min="13587" max="13587" width="2.85546875" style="161" customWidth="1"/>
    <col min="13588" max="13588" width="15.42578125" style="161" bestFit="1" customWidth="1"/>
    <col min="13589" max="13589" width="1.7109375" style="161" customWidth="1"/>
    <col min="13590" max="13590" width="14.5703125" style="161" bestFit="1" customWidth="1"/>
    <col min="13591" max="13591" width="1.5703125" style="161" customWidth="1"/>
    <col min="13592" max="13592" width="16" style="161" bestFit="1" customWidth="1"/>
    <col min="13593" max="13593" width="3" style="161" customWidth="1"/>
    <col min="13594" max="13594" width="15.85546875" style="161" bestFit="1" customWidth="1"/>
    <col min="13595" max="13595" width="1.85546875" style="161" customWidth="1"/>
    <col min="13596" max="13596" width="15.28515625" style="161" customWidth="1"/>
    <col min="13597" max="13597" width="1.7109375" style="161" customWidth="1"/>
    <col min="13598" max="13598" width="11.85546875" style="161" bestFit="1" customWidth="1"/>
    <col min="13599" max="13599" width="1.7109375" style="161" customWidth="1"/>
    <col min="13600" max="13600" width="14.42578125" style="161" bestFit="1" customWidth="1"/>
    <col min="13601" max="13601" width="34.7109375" style="161" customWidth="1"/>
    <col min="13602" max="13824" width="9.140625" style="161"/>
    <col min="13825" max="13826" width="10.7109375" style="161" customWidth="1"/>
    <col min="13827" max="13827" width="27.42578125" style="161" customWidth="1"/>
    <col min="13828" max="13828" width="5.5703125" style="161" customWidth="1"/>
    <col min="13829" max="13829" width="14.5703125" style="161" bestFit="1" customWidth="1"/>
    <col min="13830" max="13830" width="6.42578125" style="161" bestFit="1" customWidth="1"/>
    <col min="13831" max="13831" width="3.5703125" style="161" customWidth="1"/>
    <col min="13832" max="13832" width="17" style="161" customWidth="1"/>
    <col min="13833" max="13833" width="3.42578125" style="161" customWidth="1"/>
    <col min="13834" max="13834" width="18.28515625" style="161" bestFit="1" customWidth="1"/>
    <col min="13835" max="13835" width="3.140625" style="161" customWidth="1"/>
    <col min="13836" max="13836" width="16.28515625" style="161" customWidth="1"/>
    <col min="13837" max="13837" width="1.28515625" style="161" customWidth="1"/>
    <col min="13838" max="13838" width="15.5703125" style="161" bestFit="1" customWidth="1"/>
    <col min="13839" max="13839" width="1.42578125" style="161" customWidth="1"/>
    <col min="13840" max="13840" width="15" style="161" customWidth="1"/>
    <col min="13841" max="13841" width="1.7109375" style="161" customWidth="1"/>
    <col min="13842" max="13842" width="12.85546875" style="161" bestFit="1" customWidth="1"/>
    <col min="13843" max="13843" width="2.85546875" style="161" customWidth="1"/>
    <col min="13844" max="13844" width="15.42578125" style="161" bestFit="1" customWidth="1"/>
    <col min="13845" max="13845" width="1.7109375" style="161" customWidth="1"/>
    <col min="13846" max="13846" width="14.5703125" style="161" bestFit="1" customWidth="1"/>
    <col min="13847" max="13847" width="1.5703125" style="161" customWidth="1"/>
    <col min="13848" max="13848" width="16" style="161" bestFit="1" customWidth="1"/>
    <col min="13849" max="13849" width="3" style="161" customWidth="1"/>
    <col min="13850" max="13850" width="15.85546875" style="161" bestFit="1" customWidth="1"/>
    <col min="13851" max="13851" width="1.85546875" style="161" customWidth="1"/>
    <col min="13852" max="13852" width="15.28515625" style="161" customWidth="1"/>
    <col min="13853" max="13853" width="1.7109375" style="161" customWidth="1"/>
    <col min="13854" max="13854" width="11.85546875" style="161" bestFit="1" customWidth="1"/>
    <col min="13855" max="13855" width="1.7109375" style="161" customWidth="1"/>
    <col min="13856" max="13856" width="14.42578125" style="161" bestFit="1" customWidth="1"/>
    <col min="13857" max="13857" width="34.7109375" style="161" customWidth="1"/>
    <col min="13858" max="14080" width="9.140625" style="161"/>
    <col min="14081" max="14082" width="10.7109375" style="161" customWidth="1"/>
    <col min="14083" max="14083" width="27.42578125" style="161" customWidth="1"/>
    <col min="14084" max="14084" width="5.5703125" style="161" customWidth="1"/>
    <col min="14085" max="14085" width="14.5703125" style="161" bestFit="1" customWidth="1"/>
    <col min="14086" max="14086" width="6.42578125" style="161" bestFit="1" customWidth="1"/>
    <col min="14087" max="14087" width="3.5703125" style="161" customWidth="1"/>
    <col min="14088" max="14088" width="17" style="161" customWidth="1"/>
    <col min="14089" max="14089" width="3.42578125" style="161" customWidth="1"/>
    <col min="14090" max="14090" width="18.28515625" style="161" bestFit="1" customWidth="1"/>
    <col min="14091" max="14091" width="3.140625" style="161" customWidth="1"/>
    <col min="14092" max="14092" width="16.28515625" style="161" customWidth="1"/>
    <col min="14093" max="14093" width="1.28515625" style="161" customWidth="1"/>
    <col min="14094" max="14094" width="15.5703125" style="161" bestFit="1" customWidth="1"/>
    <col min="14095" max="14095" width="1.42578125" style="161" customWidth="1"/>
    <col min="14096" max="14096" width="15" style="161" customWidth="1"/>
    <col min="14097" max="14097" width="1.7109375" style="161" customWidth="1"/>
    <col min="14098" max="14098" width="12.85546875" style="161" bestFit="1" customWidth="1"/>
    <col min="14099" max="14099" width="2.85546875" style="161" customWidth="1"/>
    <col min="14100" max="14100" width="15.42578125" style="161" bestFit="1" customWidth="1"/>
    <col min="14101" max="14101" width="1.7109375" style="161" customWidth="1"/>
    <col min="14102" max="14102" width="14.5703125" style="161" bestFit="1" customWidth="1"/>
    <col min="14103" max="14103" width="1.5703125" style="161" customWidth="1"/>
    <col min="14104" max="14104" width="16" style="161" bestFit="1" customWidth="1"/>
    <col min="14105" max="14105" width="3" style="161" customWidth="1"/>
    <col min="14106" max="14106" width="15.85546875" style="161" bestFit="1" customWidth="1"/>
    <col min="14107" max="14107" width="1.85546875" style="161" customWidth="1"/>
    <col min="14108" max="14108" width="15.28515625" style="161" customWidth="1"/>
    <col min="14109" max="14109" width="1.7109375" style="161" customWidth="1"/>
    <col min="14110" max="14110" width="11.85546875" style="161" bestFit="1" customWidth="1"/>
    <col min="14111" max="14111" width="1.7109375" style="161" customWidth="1"/>
    <col min="14112" max="14112" width="14.42578125" style="161" bestFit="1" customWidth="1"/>
    <col min="14113" max="14113" width="34.7109375" style="161" customWidth="1"/>
    <col min="14114" max="14336" width="9.140625" style="161"/>
    <col min="14337" max="14338" width="10.7109375" style="161" customWidth="1"/>
    <col min="14339" max="14339" width="27.42578125" style="161" customWidth="1"/>
    <col min="14340" max="14340" width="5.5703125" style="161" customWidth="1"/>
    <col min="14341" max="14341" width="14.5703125" style="161" bestFit="1" customWidth="1"/>
    <col min="14342" max="14342" width="6.42578125" style="161" bestFit="1" customWidth="1"/>
    <col min="14343" max="14343" width="3.5703125" style="161" customWidth="1"/>
    <col min="14344" max="14344" width="17" style="161" customWidth="1"/>
    <col min="14345" max="14345" width="3.42578125" style="161" customWidth="1"/>
    <col min="14346" max="14346" width="18.28515625" style="161" bestFit="1" customWidth="1"/>
    <col min="14347" max="14347" width="3.140625" style="161" customWidth="1"/>
    <col min="14348" max="14348" width="16.28515625" style="161" customWidth="1"/>
    <col min="14349" max="14349" width="1.28515625" style="161" customWidth="1"/>
    <col min="14350" max="14350" width="15.5703125" style="161" bestFit="1" customWidth="1"/>
    <col min="14351" max="14351" width="1.42578125" style="161" customWidth="1"/>
    <col min="14352" max="14352" width="15" style="161" customWidth="1"/>
    <col min="14353" max="14353" width="1.7109375" style="161" customWidth="1"/>
    <col min="14354" max="14354" width="12.85546875" style="161" bestFit="1" customWidth="1"/>
    <col min="14355" max="14355" width="2.85546875" style="161" customWidth="1"/>
    <col min="14356" max="14356" width="15.42578125" style="161" bestFit="1" customWidth="1"/>
    <col min="14357" max="14357" width="1.7109375" style="161" customWidth="1"/>
    <col min="14358" max="14358" width="14.5703125" style="161" bestFit="1" customWidth="1"/>
    <col min="14359" max="14359" width="1.5703125" style="161" customWidth="1"/>
    <col min="14360" max="14360" width="16" style="161" bestFit="1" customWidth="1"/>
    <col min="14361" max="14361" width="3" style="161" customWidth="1"/>
    <col min="14362" max="14362" width="15.85546875" style="161" bestFit="1" customWidth="1"/>
    <col min="14363" max="14363" width="1.85546875" style="161" customWidth="1"/>
    <col min="14364" max="14364" width="15.28515625" style="161" customWidth="1"/>
    <col min="14365" max="14365" width="1.7109375" style="161" customWidth="1"/>
    <col min="14366" max="14366" width="11.85546875" style="161" bestFit="1" customWidth="1"/>
    <col min="14367" max="14367" width="1.7109375" style="161" customWidth="1"/>
    <col min="14368" max="14368" width="14.42578125" style="161" bestFit="1" customWidth="1"/>
    <col min="14369" max="14369" width="34.7109375" style="161" customWidth="1"/>
    <col min="14370" max="14592" width="9.140625" style="161"/>
    <col min="14593" max="14594" width="10.7109375" style="161" customWidth="1"/>
    <col min="14595" max="14595" width="27.42578125" style="161" customWidth="1"/>
    <col min="14596" max="14596" width="5.5703125" style="161" customWidth="1"/>
    <col min="14597" max="14597" width="14.5703125" style="161" bestFit="1" customWidth="1"/>
    <col min="14598" max="14598" width="6.42578125" style="161" bestFit="1" customWidth="1"/>
    <col min="14599" max="14599" width="3.5703125" style="161" customWidth="1"/>
    <col min="14600" max="14600" width="17" style="161" customWidth="1"/>
    <col min="14601" max="14601" width="3.42578125" style="161" customWidth="1"/>
    <col min="14602" max="14602" width="18.28515625" style="161" bestFit="1" customWidth="1"/>
    <col min="14603" max="14603" width="3.140625" style="161" customWidth="1"/>
    <col min="14604" max="14604" width="16.28515625" style="161" customWidth="1"/>
    <col min="14605" max="14605" width="1.28515625" style="161" customWidth="1"/>
    <col min="14606" max="14606" width="15.5703125" style="161" bestFit="1" customWidth="1"/>
    <col min="14607" max="14607" width="1.42578125" style="161" customWidth="1"/>
    <col min="14608" max="14608" width="15" style="161" customWidth="1"/>
    <col min="14609" max="14609" width="1.7109375" style="161" customWidth="1"/>
    <col min="14610" max="14610" width="12.85546875" style="161" bestFit="1" customWidth="1"/>
    <col min="14611" max="14611" width="2.85546875" style="161" customWidth="1"/>
    <col min="14612" max="14612" width="15.42578125" style="161" bestFit="1" customWidth="1"/>
    <col min="14613" max="14613" width="1.7109375" style="161" customWidth="1"/>
    <col min="14614" max="14614" width="14.5703125" style="161" bestFit="1" customWidth="1"/>
    <col min="14615" max="14615" width="1.5703125" style="161" customWidth="1"/>
    <col min="14616" max="14616" width="16" style="161" bestFit="1" customWidth="1"/>
    <col min="14617" max="14617" width="3" style="161" customWidth="1"/>
    <col min="14618" max="14618" width="15.85546875" style="161" bestFit="1" customWidth="1"/>
    <col min="14619" max="14619" width="1.85546875" style="161" customWidth="1"/>
    <col min="14620" max="14620" width="15.28515625" style="161" customWidth="1"/>
    <col min="14621" max="14621" width="1.7109375" style="161" customWidth="1"/>
    <col min="14622" max="14622" width="11.85546875" style="161" bestFit="1" customWidth="1"/>
    <col min="14623" max="14623" width="1.7109375" style="161" customWidth="1"/>
    <col min="14624" max="14624" width="14.42578125" style="161" bestFit="1" customWidth="1"/>
    <col min="14625" max="14625" width="34.7109375" style="161" customWidth="1"/>
    <col min="14626" max="14848" width="9.140625" style="161"/>
    <col min="14849" max="14850" width="10.7109375" style="161" customWidth="1"/>
    <col min="14851" max="14851" width="27.42578125" style="161" customWidth="1"/>
    <col min="14852" max="14852" width="5.5703125" style="161" customWidth="1"/>
    <col min="14853" max="14853" width="14.5703125" style="161" bestFit="1" customWidth="1"/>
    <col min="14854" max="14854" width="6.42578125" style="161" bestFit="1" customWidth="1"/>
    <col min="14855" max="14855" width="3.5703125" style="161" customWidth="1"/>
    <col min="14856" max="14856" width="17" style="161" customWidth="1"/>
    <col min="14857" max="14857" width="3.42578125" style="161" customWidth="1"/>
    <col min="14858" max="14858" width="18.28515625" style="161" bestFit="1" customWidth="1"/>
    <col min="14859" max="14859" width="3.140625" style="161" customWidth="1"/>
    <col min="14860" max="14860" width="16.28515625" style="161" customWidth="1"/>
    <col min="14861" max="14861" width="1.28515625" style="161" customWidth="1"/>
    <col min="14862" max="14862" width="15.5703125" style="161" bestFit="1" customWidth="1"/>
    <col min="14863" max="14863" width="1.42578125" style="161" customWidth="1"/>
    <col min="14864" max="14864" width="15" style="161" customWidth="1"/>
    <col min="14865" max="14865" width="1.7109375" style="161" customWidth="1"/>
    <col min="14866" max="14866" width="12.85546875" style="161" bestFit="1" customWidth="1"/>
    <col min="14867" max="14867" width="2.85546875" style="161" customWidth="1"/>
    <col min="14868" max="14868" width="15.42578125" style="161" bestFit="1" customWidth="1"/>
    <col min="14869" max="14869" width="1.7109375" style="161" customWidth="1"/>
    <col min="14870" max="14870" width="14.5703125" style="161" bestFit="1" customWidth="1"/>
    <col min="14871" max="14871" width="1.5703125" style="161" customWidth="1"/>
    <col min="14872" max="14872" width="16" style="161" bestFit="1" customWidth="1"/>
    <col min="14873" max="14873" width="3" style="161" customWidth="1"/>
    <col min="14874" max="14874" width="15.85546875" style="161" bestFit="1" customWidth="1"/>
    <col min="14875" max="14875" width="1.85546875" style="161" customWidth="1"/>
    <col min="14876" max="14876" width="15.28515625" style="161" customWidth="1"/>
    <col min="14877" max="14877" width="1.7109375" style="161" customWidth="1"/>
    <col min="14878" max="14878" width="11.85546875" style="161" bestFit="1" customWidth="1"/>
    <col min="14879" max="14879" width="1.7109375" style="161" customWidth="1"/>
    <col min="14880" max="14880" width="14.42578125" style="161" bestFit="1" customWidth="1"/>
    <col min="14881" max="14881" width="34.7109375" style="161" customWidth="1"/>
    <col min="14882" max="15104" width="9.140625" style="161"/>
    <col min="15105" max="15106" width="10.7109375" style="161" customWidth="1"/>
    <col min="15107" max="15107" width="27.42578125" style="161" customWidth="1"/>
    <col min="15108" max="15108" width="5.5703125" style="161" customWidth="1"/>
    <col min="15109" max="15109" width="14.5703125" style="161" bestFit="1" customWidth="1"/>
    <col min="15110" max="15110" width="6.42578125" style="161" bestFit="1" customWidth="1"/>
    <col min="15111" max="15111" width="3.5703125" style="161" customWidth="1"/>
    <col min="15112" max="15112" width="17" style="161" customWidth="1"/>
    <col min="15113" max="15113" width="3.42578125" style="161" customWidth="1"/>
    <col min="15114" max="15114" width="18.28515625" style="161" bestFit="1" customWidth="1"/>
    <col min="15115" max="15115" width="3.140625" style="161" customWidth="1"/>
    <col min="15116" max="15116" width="16.28515625" style="161" customWidth="1"/>
    <col min="15117" max="15117" width="1.28515625" style="161" customWidth="1"/>
    <col min="15118" max="15118" width="15.5703125" style="161" bestFit="1" customWidth="1"/>
    <col min="15119" max="15119" width="1.42578125" style="161" customWidth="1"/>
    <col min="15120" max="15120" width="15" style="161" customWidth="1"/>
    <col min="15121" max="15121" width="1.7109375" style="161" customWidth="1"/>
    <col min="15122" max="15122" width="12.85546875" style="161" bestFit="1" customWidth="1"/>
    <col min="15123" max="15123" width="2.85546875" style="161" customWidth="1"/>
    <col min="15124" max="15124" width="15.42578125" style="161" bestFit="1" customWidth="1"/>
    <col min="15125" max="15125" width="1.7109375" style="161" customWidth="1"/>
    <col min="15126" max="15126" width="14.5703125" style="161" bestFit="1" customWidth="1"/>
    <col min="15127" max="15127" width="1.5703125" style="161" customWidth="1"/>
    <col min="15128" max="15128" width="16" style="161" bestFit="1" customWidth="1"/>
    <col min="15129" max="15129" width="3" style="161" customWidth="1"/>
    <col min="15130" max="15130" width="15.85546875" style="161" bestFit="1" customWidth="1"/>
    <col min="15131" max="15131" width="1.85546875" style="161" customWidth="1"/>
    <col min="15132" max="15132" width="15.28515625" style="161" customWidth="1"/>
    <col min="15133" max="15133" width="1.7109375" style="161" customWidth="1"/>
    <col min="15134" max="15134" width="11.85546875" style="161" bestFit="1" customWidth="1"/>
    <col min="15135" max="15135" width="1.7109375" style="161" customWidth="1"/>
    <col min="15136" max="15136" width="14.42578125" style="161" bestFit="1" customWidth="1"/>
    <col min="15137" max="15137" width="34.7109375" style="161" customWidth="1"/>
    <col min="15138" max="15360" width="9.140625" style="161"/>
    <col min="15361" max="15362" width="10.7109375" style="161" customWidth="1"/>
    <col min="15363" max="15363" width="27.42578125" style="161" customWidth="1"/>
    <col min="15364" max="15364" width="5.5703125" style="161" customWidth="1"/>
    <col min="15365" max="15365" width="14.5703125" style="161" bestFit="1" customWidth="1"/>
    <col min="15366" max="15366" width="6.42578125" style="161" bestFit="1" customWidth="1"/>
    <col min="15367" max="15367" width="3.5703125" style="161" customWidth="1"/>
    <col min="15368" max="15368" width="17" style="161" customWidth="1"/>
    <col min="15369" max="15369" width="3.42578125" style="161" customWidth="1"/>
    <col min="15370" max="15370" width="18.28515625" style="161" bestFit="1" customWidth="1"/>
    <col min="15371" max="15371" width="3.140625" style="161" customWidth="1"/>
    <col min="15372" max="15372" width="16.28515625" style="161" customWidth="1"/>
    <col min="15373" max="15373" width="1.28515625" style="161" customWidth="1"/>
    <col min="15374" max="15374" width="15.5703125" style="161" bestFit="1" customWidth="1"/>
    <col min="15375" max="15375" width="1.42578125" style="161" customWidth="1"/>
    <col min="15376" max="15376" width="15" style="161" customWidth="1"/>
    <col min="15377" max="15377" width="1.7109375" style="161" customWidth="1"/>
    <col min="15378" max="15378" width="12.85546875" style="161" bestFit="1" customWidth="1"/>
    <col min="15379" max="15379" width="2.85546875" style="161" customWidth="1"/>
    <col min="15380" max="15380" width="15.42578125" style="161" bestFit="1" customWidth="1"/>
    <col min="15381" max="15381" width="1.7109375" style="161" customWidth="1"/>
    <col min="15382" max="15382" width="14.5703125" style="161" bestFit="1" customWidth="1"/>
    <col min="15383" max="15383" width="1.5703125" style="161" customWidth="1"/>
    <col min="15384" max="15384" width="16" style="161" bestFit="1" customWidth="1"/>
    <col min="15385" max="15385" width="3" style="161" customWidth="1"/>
    <col min="15386" max="15386" width="15.85546875" style="161" bestFit="1" customWidth="1"/>
    <col min="15387" max="15387" width="1.85546875" style="161" customWidth="1"/>
    <col min="15388" max="15388" width="15.28515625" style="161" customWidth="1"/>
    <col min="15389" max="15389" width="1.7109375" style="161" customWidth="1"/>
    <col min="15390" max="15390" width="11.85546875" style="161" bestFit="1" customWidth="1"/>
    <col min="15391" max="15391" width="1.7109375" style="161" customWidth="1"/>
    <col min="15392" max="15392" width="14.42578125" style="161" bestFit="1" customWidth="1"/>
    <col min="15393" max="15393" width="34.7109375" style="161" customWidth="1"/>
    <col min="15394" max="15616" width="9.140625" style="161"/>
    <col min="15617" max="15618" width="10.7109375" style="161" customWidth="1"/>
    <col min="15619" max="15619" width="27.42578125" style="161" customWidth="1"/>
    <col min="15620" max="15620" width="5.5703125" style="161" customWidth="1"/>
    <col min="15621" max="15621" width="14.5703125" style="161" bestFit="1" customWidth="1"/>
    <col min="15622" max="15622" width="6.42578125" style="161" bestFit="1" customWidth="1"/>
    <col min="15623" max="15623" width="3.5703125" style="161" customWidth="1"/>
    <col min="15624" max="15624" width="17" style="161" customWidth="1"/>
    <col min="15625" max="15625" width="3.42578125" style="161" customWidth="1"/>
    <col min="15626" max="15626" width="18.28515625" style="161" bestFit="1" customWidth="1"/>
    <col min="15627" max="15627" width="3.140625" style="161" customWidth="1"/>
    <col min="15628" max="15628" width="16.28515625" style="161" customWidth="1"/>
    <col min="15629" max="15629" width="1.28515625" style="161" customWidth="1"/>
    <col min="15630" max="15630" width="15.5703125" style="161" bestFit="1" customWidth="1"/>
    <col min="15631" max="15631" width="1.42578125" style="161" customWidth="1"/>
    <col min="15632" max="15632" width="15" style="161" customWidth="1"/>
    <col min="15633" max="15633" width="1.7109375" style="161" customWidth="1"/>
    <col min="15634" max="15634" width="12.85546875" style="161" bestFit="1" customWidth="1"/>
    <col min="15635" max="15635" width="2.85546875" style="161" customWidth="1"/>
    <col min="15636" max="15636" width="15.42578125" style="161" bestFit="1" customWidth="1"/>
    <col min="15637" max="15637" width="1.7109375" style="161" customWidth="1"/>
    <col min="15638" max="15638" width="14.5703125" style="161" bestFit="1" customWidth="1"/>
    <col min="15639" max="15639" width="1.5703125" style="161" customWidth="1"/>
    <col min="15640" max="15640" width="16" style="161" bestFit="1" customWidth="1"/>
    <col min="15641" max="15641" width="3" style="161" customWidth="1"/>
    <col min="15642" max="15642" width="15.85546875" style="161" bestFit="1" customWidth="1"/>
    <col min="15643" max="15643" width="1.85546875" style="161" customWidth="1"/>
    <col min="15644" max="15644" width="15.28515625" style="161" customWidth="1"/>
    <col min="15645" max="15645" width="1.7109375" style="161" customWidth="1"/>
    <col min="15646" max="15646" width="11.85546875" style="161" bestFit="1" customWidth="1"/>
    <col min="15647" max="15647" width="1.7109375" style="161" customWidth="1"/>
    <col min="15648" max="15648" width="14.42578125" style="161" bestFit="1" customWidth="1"/>
    <col min="15649" max="15649" width="34.7109375" style="161" customWidth="1"/>
    <col min="15650" max="15872" width="9.140625" style="161"/>
    <col min="15873" max="15874" width="10.7109375" style="161" customWidth="1"/>
    <col min="15875" max="15875" width="27.42578125" style="161" customWidth="1"/>
    <col min="15876" max="15876" width="5.5703125" style="161" customWidth="1"/>
    <col min="15877" max="15877" width="14.5703125" style="161" bestFit="1" customWidth="1"/>
    <col min="15878" max="15878" width="6.42578125" style="161" bestFit="1" customWidth="1"/>
    <col min="15879" max="15879" width="3.5703125" style="161" customWidth="1"/>
    <col min="15880" max="15880" width="17" style="161" customWidth="1"/>
    <col min="15881" max="15881" width="3.42578125" style="161" customWidth="1"/>
    <col min="15882" max="15882" width="18.28515625" style="161" bestFit="1" customWidth="1"/>
    <col min="15883" max="15883" width="3.140625" style="161" customWidth="1"/>
    <col min="15884" max="15884" width="16.28515625" style="161" customWidth="1"/>
    <col min="15885" max="15885" width="1.28515625" style="161" customWidth="1"/>
    <col min="15886" max="15886" width="15.5703125" style="161" bestFit="1" customWidth="1"/>
    <col min="15887" max="15887" width="1.42578125" style="161" customWidth="1"/>
    <col min="15888" max="15888" width="15" style="161" customWidth="1"/>
    <col min="15889" max="15889" width="1.7109375" style="161" customWidth="1"/>
    <col min="15890" max="15890" width="12.85546875" style="161" bestFit="1" customWidth="1"/>
    <col min="15891" max="15891" width="2.85546875" style="161" customWidth="1"/>
    <col min="15892" max="15892" width="15.42578125" style="161" bestFit="1" customWidth="1"/>
    <col min="15893" max="15893" width="1.7109375" style="161" customWidth="1"/>
    <col min="15894" max="15894" width="14.5703125" style="161" bestFit="1" customWidth="1"/>
    <col min="15895" max="15895" width="1.5703125" style="161" customWidth="1"/>
    <col min="15896" max="15896" width="16" style="161" bestFit="1" customWidth="1"/>
    <col min="15897" max="15897" width="3" style="161" customWidth="1"/>
    <col min="15898" max="15898" width="15.85546875" style="161" bestFit="1" customWidth="1"/>
    <col min="15899" max="15899" width="1.85546875" style="161" customWidth="1"/>
    <col min="15900" max="15900" width="15.28515625" style="161" customWidth="1"/>
    <col min="15901" max="15901" width="1.7109375" style="161" customWidth="1"/>
    <col min="15902" max="15902" width="11.85546875" style="161" bestFit="1" customWidth="1"/>
    <col min="15903" max="15903" width="1.7109375" style="161" customWidth="1"/>
    <col min="15904" max="15904" width="14.42578125" style="161" bestFit="1" customWidth="1"/>
    <col min="15905" max="15905" width="34.7109375" style="161" customWidth="1"/>
    <col min="15906" max="16128" width="9.140625" style="161"/>
    <col min="16129" max="16130" width="10.7109375" style="161" customWidth="1"/>
    <col min="16131" max="16131" width="27.42578125" style="161" customWidth="1"/>
    <col min="16132" max="16132" width="5.5703125" style="161" customWidth="1"/>
    <col min="16133" max="16133" width="14.5703125" style="161" bestFit="1" customWidth="1"/>
    <col min="16134" max="16134" width="6.42578125" style="161" bestFit="1" customWidth="1"/>
    <col min="16135" max="16135" width="3.5703125" style="161" customWidth="1"/>
    <col min="16136" max="16136" width="17" style="161" customWidth="1"/>
    <col min="16137" max="16137" width="3.42578125" style="161" customWidth="1"/>
    <col min="16138" max="16138" width="18.28515625" style="161" bestFit="1" customWidth="1"/>
    <col min="16139" max="16139" width="3.140625" style="161" customWidth="1"/>
    <col min="16140" max="16140" width="16.28515625" style="161" customWidth="1"/>
    <col min="16141" max="16141" width="1.28515625" style="161" customWidth="1"/>
    <col min="16142" max="16142" width="15.5703125" style="161" bestFit="1" customWidth="1"/>
    <col min="16143" max="16143" width="1.42578125" style="161" customWidth="1"/>
    <col min="16144" max="16144" width="15" style="161" customWidth="1"/>
    <col min="16145" max="16145" width="1.7109375" style="161" customWidth="1"/>
    <col min="16146" max="16146" width="12.85546875" style="161" bestFit="1" customWidth="1"/>
    <col min="16147" max="16147" width="2.85546875" style="161" customWidth="1"/>
    <col min="16148" max="16148" width="15.42578125" style="161" bestFit="1" customWidth="1"/>
    <col min="16149" max="16149" width="1.7109375" style="161" customWidth="1"/>
    <col min="16150" max="16150" width="14.5703125" style="161" bestFit="1" customWidth="1"/>
    <col min="16151" max="16151" width="1.5703125" style="161" customWidth="1"/>
    <col min="16152" max="16152" width="16" style="161" bestFit="1" customWidth="1"/>
    <col min="16153" max="16153" width="3" style="161" customWidth="1"/>
    <col min="16154" max="16154" width="15.85546875" style="161" bestFit="1" customWidth="1"/>
    <col min="16155" max="16155" width="1.85546875" style="161" customWidth="1"/>
    <col min="16156" max="16156" width="15.28515625" style="161" customWidth="1"/>
    <col min="16157" max="16157" width="1.7109375" style="161" customWidth="1"/>
    <col min="16158" max="16158" width="11.85546875" style="161" bestFit="1" customWidth="1"/>
    <col min="16159" max="16159" width="1.7109375" style="161" customWidth="1"/>
    <col min="16160" max="16160" width="14.42578125" style="161" bestFit="1" customWidth="1"/>
    <col min="16161" max="16161" width="34.7109375" style="161" customWidth="1"/>
    <col min="16162" max="16384" width="9.140625" style="161"/>
  </cols>
  <sheetData>
    <row r="1" spans="1:33"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57"/>
      <c r="AF1" s="162"/>
    </row>
    <row r="2" spans="1:33"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57"/>
      <c r="AF2" s="163"/>
      <c r="AG2" s="162"/>
    </row>
    <row r="3" spans="1:33" ht="15">
      <c r="A3" s="164" t="s">
        <v>218</v>
      </c>
      <c r="B3" s="164"/>
    </row>
    <row r="4" spans="1:33" ht="15">
      <c r="A4" s="164"/>
      <c r="B4" s="164"/>
      <c r="H4" s="166" t="s">
        <v>219</v>
      </c>
      <c r="I4" s="167"/>
      <c r="J4" s="167"/>
      <c r="K4" s="168"/>
      <c r="L4" s="168"/>
      <c r="M4" s="168"/>
      <c r="N4" s="168"/>
      <c r="O4" s="168"/>
      <c r="P4" s="168"/>
      <c r="Q4" s="168"/>
      <c r="R4" s="168"/>
      <c r="S4" s="168"/>
      <c r="T4" s="168"/>
      <c r="U4" s="168"/>
      <c r="V4" s="168"/>
      <c r="W4" s="168"/>
      <c r="X4" s="168"/>
      <c r="Y4" s="168"/>
      <c r="Z4" s="168"/>
      <c r="AA4" s="168"/>
      <c r="AB4" s="168"/>
      <c r="AC4" s="168"/>
      <c r="AD4" s="168"/>
      <c r="AE4" s="168"/>
      <c r="AF4" s="168"/>
    </row>
    <row r="5" spans="1:33" ht="23.45" customHeight="1">
      <c r="A5" s="164"/>
      <c r="B5" s="164"/>
      <c r="X5" s="350" t="s">
        <v>220</v>
      </c>
      <c r="Y5" s="350"/>
      <c r="Z5" s="350"/>
    </row>
    <row r="6" spans="1:33" ht="14.25">
      <c r="A6" s="169"/>
      <c r="B6" s="169"/>
      <c r="C6" s="157"/>
      <c r="D6" s="157"/>
      <c r="E6" s="157"/>
      <c r="F6" s="157"/>
      <c r="G6" s="160"/>
      <c r="H6" s="170" t="s">
        <v>221</v>
      </c>
      <c r="I6" s="170"/>
      <c r="J6" s="170"/>
      <c r="K6" s="160"/>
      <c r="L6" s="170" t="s">
        <v>222</v>
      </c>
      <c r="M6" s="170"/>
      <c r="N6" s="170"/>
      <c r="O6" s="160"/>
      <c r="P6" s="170" t="s">
        <v>223</v>
      </c>
      <c r="Q6" s="170"/>
      <c r="R6" s="170"/>
      <c r="S6" s="160"/>
      <c r="T6" s="170" t="s">
        <v>224</v>
      </c>
      <c r="U6" s="170"/>
      <c r="V6" s="170"/>
      <c r="W6" s="160"/>
      <c r="X6" s="170" t="s">
        <v>225</v>
      </c>
      <c r="Y6" s="170"/>
      <c r="Z6" s="170"/>
      <c r="AA6" s="160"/>
      <c r="AB6" s="170" t="s">
        <v>226</v>
      </c>
      <c r="AC6" s="170"/>
      <c r="AD6" s="170"/>
    </row>
    <row r="7" spans="1:33">
      <c r="X7" s="171" t="s">
        <v>227</v>
      </c>
    </row>
    <row r="8" spans="1:33">
      <c r="A8" s="172" t="s">
        <v>228</v>
      </c>
      <c r="B8" s="172" t="s">
        <v>229</v>
      </c>
      <c r="C8" s="170" t="s">
        <v>230</v>
      </c>
      <c r="D8" s="170"/>
      <c r="E8" s="170"/>
      <c r="F8" s="173"/>
      <c r="G8" s="160"/>
      <c r="H8" s="174" t="s">
        <v>231</v>
      </c>
      <c r="I8" s="157"/>
      <c r="J8" s="174" t="s">
        <v>232</v>
      </c>
      <c r="K8" s="160"/>
      <c r="L8" s="175" t="str">
        <f>H8</f>
        <v>2013</v>
      </c>
      <c r="M8" s="157"/>
      <c r="N8" s="175" t="str">
        <f>J8</f>
        <v>2012</v>
      </c>
      <c r="O8" s="160"/>
      <c r="P8" s="175" t="str">
        <f>L8</f>
        <v>2013</v>
      </c>
      <c r="Q8" s="157"/>
      <c r="R8" s="175" t="str">
        <f>N8</f>
        <v>2012</v>
      </c>
      <c r="S8" s="160"/>
      <c r="T8" s="175" t="str">
        <f>P8</f>
        <v>2013</v>
      </c>
      <c r="U8" s="157"/>
      <c r="V8" s="175" t="str">
        <f>R8</f>
        <v>2012</v>
      </c>
      <c r="W8" s="160"/>
      <c r="X8" s="175" t="str">
        <f>T8</f>
        <v>2013</v>
      </c>
      <c r="Y8" s="157"/>
      <c r="Z8" s="175" t="str">
        <f>V8</f>
        <v>2012</v>
      </c>
      <c r="AA8" s="160"/>
      <c r="AB8" s="175" t="str">
        <f>X8</f>
        <v>2013</v>
      </c>
      <c r="AC8" s="157"/>
      <c r="AD8" s="175" t="str">
        <f>Z8</f>
        <v>2012</v>
      </c>
    </row>
    <row r="9" spans="1:33">
      <c r="A9" s="157"/>
      <c r="B9" s="157"/>
      <c r="C9" s="176" t="s">
        <v>233</v>
      </c>
      <c r="D9" s="176"/>
      <c r="T9" s="177"/>
    </row>
    <row r="10" spans="1:33" ht="3" customHeight="1">
      <c r="T10" s="177"/>
    </row>
    <row r="11" spans="1:33">
      <c r="A11" s="178" t="s">
        <v>234</v>
      </c>
      <c r="B11" s="178"/>
      <c r="C11" s="161" t="s">
        <v>235</v>
      </c>
      <c r="F11" s="161" t="s">
        <v>236</v>
      </c>
      <c r="H11" s="161">
        <f>L11+P11+T11+X11+AB11</f>
        <v>37718349312</v>
      </c>
      <c r="J11" s="161">
        <f t="shared" ref="J11:J31" si="0">N11+R11+V11+Z11+AD11</f>
        <v>35528577448</v>
      </c>
      <c r="K11" s="171"/>
      <c r="L11" s="179">
        <v>35170746526</v>
      </c>
      <c r="M11" s="180"/>
      <c r="N11" s="179">
        <v>32820320983</v>
      </c>
      <c r="O11" s="181"/>
      <c r="P11" s="182">
        <v>588975391</v>
      </c>
      <c r="Q11" s="180"/>
      <c r="R11" s="182">
        <v>564025333</v>
      </c>
      <c r="S11" s="181"/>
      <c r="T11" s="182">
        <v>1854887753</v>
      </c>
      <c r="U11" s="180"/>
      <c r="V11" s="182">
        <v>1827568702</v>
      </c>
      <c r="W11" s="181"/>
      <c r="X11" s="183">
        <v>103491734</v>
      </c>
      <c r="Y11" s="180"/>
      <c r="Z11" s="183">
        <v>316414522</v>
      </c>
      <c r="AA11" s="181"/>
      <c r="AB11" s="182">
        <v>247908</v>
      </c>
      <c r="AC11" s="180"/>
      <c r="AD11" s="182">
        <v>247908</v>
      </c>
    </row>
    <row r="12" spans="1:33">
      <c r="A12" s="178" t="s">
        <v>237</v>
      </c>
      <c r="B12" s="178"/>
      <c r="C12" s="161" t="s">
        <v>238</v>
      </c>
      <c r="F12" s="161" t="s">
        <v>236</v>
      </c>
      <c r="H12" s="161">
        <f t="shared" ref="H12:H33" si="1">L12+P12+T12+X12+AB12</f>
        <v>0</v>
      </c>
      <c r="J12" s="161">
        <f t="shared" si="0"/>
        <v>0</v>
      </c>
      <c r="L12" s="184"/>
      <c r="M12" s="180"/>
      <c r="N12" s="184"/>
      <c r="O12" s="181"/>
      <c r="P12" s="185"/>
      <c r="Q12" s="180"/>
      <c r="R12" s="185"/>
      <c r="S12" s="181"/>
      <c r="T12" s="185"/>
      <c r="U12" s="180"/>
      <c r="V12" s="185"/>
      <c r="W12" s="181"/>
      <c r="X12" s="185"/>
      <c r="Y12" s="180"/>
      <c r="Z12" s="185"/>
      <c r="AA12" s="181"/>
      <c r="AB12" s="185"/>
      <c r="AC12" s="180"/>
      <c r="AD12" s="185"/>
    </row>
    <row r="13" spans="1:33">
      <c r="A13" s="178">
        <v>105</v>
      </c>
      <c r="B13" s="178"/>
      <c r="C13" s="161" t="s">
        <v>239</v>
      </c>
      <c r="F13" s="161" t="s">
        <v>236</v>
      </c>
      <c r="H13" s="161">
        <f t="shared" si="1"/>
        <v>16261747</v>
      </c>
      <c r="J13" s="161">
        <f t="shared" si="0"/>
        <v>16261747</v>
      </c>
      <c r="L13" s="186">
        <v>16261747</v>
      </c>
      <c r="M13" s="180"/>
      <c r="N13" s="186">
        <v>16261747</v>
      </c>
      <c r="O13" s="181"/>
      <c r="P13" s="185"/>
      <c r="Q13" s="180"/>
      <c r="R13" s="185"/>
      <c r="S13" s="181"/>
      <c r="T13" s="185"/>
      <c r="U13" s="180"/>
      <c r="V13" s="185"/>
      <c r="W13" s="181"/>
      <c r="X13" s="185"/>
      <c r="Y13" s="180"/>
      <c r="Z13" s="185"/>
      <c r="AA13" s="181"/>
      <c r="AB13" s="185"/>
      <c r="AC13" s="180"/>
      <c r="AD13" s="185"/>
    </row>
    <row r="14" spans="1:33">
      <c r="A14" s="178" t="s">
        <v>240</v>
      </c>
      <c r="B14" s="178"/>
      <c r="C14" s="161" t="s">
        <v>241</v>
      </c>
      <c r="F14" s="161" t="s">
        <v>236</v>
      </c>
      <c r="H14" s="161">
        <f t="shared" si="1"/>
        <v>3872125455</v>
      </c>
      <c r="J14" s="161">
        <f t="shared" si="0"/>
        <v>2605403127</v>
      </c>
      <c r="L14" s="186">
        <v>3808081128</v>
      </c>
      <c r="M14" s="180"/>
      <c r="N14" s="186">
        <v>2527503229</v>
      </c>
      <c r="O14" s="181"/>
      <c r="P14" s="187"/>
      <c r="Q14" s="180"/>
      <c r="R14" s="187">
        <v>25408632</v>
      </c>
      <c r="S14" s="181"/>
      <c r="T14" s="187">
        <v>46783027</v>
      </c>
      <c r="U14" s="180"/>
      <c r="V14" s="187">
        <v>48627791</v>
      </c>
      <c r="W14" s="181"/>
      <c r="X14" s="188">
        <v>17261300</v>
      </c>
      <c r="Y14" s="180"/>
      <c r="Z14" s="188">
        <v>3863475</v>
      </c>
      <c r="AA14" s="181"/>
      <c r="AB14" s="185"/>
      <c r="AC14" s="180"/>
      <c r="AD14" s="185"/>
    </row>
    <row r="15" spans="1:33">
      <c r="A15" s="178" t="s">
        <v>242</v>
      </c>
      <c r="B15" s="178"/>
      <c r="C15" s="161" t="s">
        <v>243</v>
      </c>
      <c r="F15" s="161" t="s">
        <v>236</v>
      </c>
      <c r="H15" s="180">
        <f t="shared" si="1"/>
        <v>32082421</v>
      </c>
      <c r="J15" s="161">
        <f t="shared" si="0"/>
        <v>31938123</v>
      </c>
      <c r="L15" s="186">
        <v>32082421</v>
      </c>
      <c r="M15" s="180"/>
      <c r="N15" s="186">
        <v>31938123</v>
      </c>
      <c r="O15" s="181"/>
      <c r="P15" s="185"/>
      <c r="Q15" s="180"/>
      <c r="R15" s="185"/>
      <c r="S15" s="181"/>
      <c r="T15" s="185"/>
      <c r="U15" s="180"/>
      <c r="V15" s="185"/>
      <c r="W15" s="181"/>
      <c r="X15" s="185"/>
      <c r="Y15" s="180"/>
      <c r="Z15" s="185"/>
      <c r="AA15" s="181"/>
      <c r="AB15" s="185"/>
      <c r="AC15" s="180"/>
      <c r="AD15" s="185"/>
    </row>
    <row r="16" spans="1:33">
      <c r="A16" s="178" t="s">
        <v>244</v>
      </c>
      <c r="B16" s="178"/>
      <c r="C16" s="161" t="s">
        <v>245</v>
      </c>
      <c r="F16" s="161" t="s">
        <v>236</v>
      </c>
      <c r="H16" s="180">
        <f t="shared" si="1"/>
        <v>141178641</v>
      </c>
      <c r="J16" s="161">
        <f t="shared" si="0"/>
        <v>187050241</v>
      </c>
      <c r="L16" s="189">
        <v>140989280</v>
      </c>
      <c r="M16" s="180"/>
      <c r="N16" s="189">
        <v>186865946</v>
      </c>
      <c r="O16" s="181"/>
      <c r="P16" s="185"/>
      <c r="Q16" s="180"/>
      <c r="R16" s="185"/>
      <c r="S16" s="181"/>
      <c r="T16" s="189">
        <v>189361</v>
      </c>
      <c r="U16" s="180"/>
      <c r="V16" s="189">
        <v>184295</v>
      </c>
      <c r="W16" s="181"/>
      <c r="X16" s="185"/>
      <c r="Y16" s="180"/>
      <c r="Z16" s="185"/>
      <c r="AA16" s="181"/>
      <c r="AB16" s="185"/>
      <c r="AC16" s="180"/>
      <c r="AD16" s="185"/>
    </row>
    <row r="17" spans="1:30">
      <c r="A17" s="178" t="s">
        <v>246</v>
      </c>
      <c r="B17" s="178"/>
      <c r="C17" s="161" t="s">
        <v>247</v>
      </c>
      <c r="F17" s="161" t="s">
        <v>236</v>
      </c>
      <c r="H17" s="180">
        <f t="shared" si="1"/>
        <v>-13050446</v>
      </c>
      <c r="J17" s="180">
        <f t="shared" si="0"/>
        <v>90713489</v>
      </c>
      <c r="K17" s="181"/>
      <c r="L17" s="186">
        <v>-46921121</v>
      </c>
      <c r="M17" s="180"/>
      <c r="N17" s="186">
        <v>53049749</v>
      </c>
      <c r="O17" s="181"/>
      <c r="P17" s="186"/>
      <c r="Q17" s="180"/>
      <c r="R17" s="186">
        <v>4385484</v>
      </c>
      <c r="S17" s="181"/>
      <c r="T17" s="186">
        <v>33870675</v>
      </c>
      <c r="U17" s="180"/>
      <c r="V17" s="186">
        <v>33278256</v>
      </c>
      <c r="W17" s="181"/>
      <c r="X17" s="185"/>
      <c r="Y17" s="180"/>
      <c r="Z17" s="185"/>
      <c r="AA17" s="181"/>
      <c r="AB17" s="185"/>
      <c r="AC17" s="180"/>
      <c r="AD17" s="185"/>
    </row>
    <row r="18" spans="1:30">
      <c r="A18" s="178" t="s">
        <v>248</v>
      </c>
      <c r="B18" s="178"/>
      <c r="C18" s="161" t="s">
        <v>249</v>
      </c>
      <c r="F18" s="161" t="s">
        <v>236</v>
      </c>
      <c r="H18" s="180">
        <f t="shared" si="1"/>
        <v>-1737249286</v>
      </c>
      <c r="J18" s="180">
        <f t="shared" si="0"/>
        <v>-1572816218</v>
      </c>
      <c r="K18" s="181"/>
      <c r="L18" s="190">
        <v>-1730837274</v>
      </c>
      <c r="M18" s="180"/>
      <c r="N18" s="190">
        <v>-1567116451</v>
      </c>
      <c r="O18" s="181"/>
      <c r="P18" s="185">
        <v>-71762</v>
      </c>
      <c r="Q18" s="180"/>
      <c r="R18" s="185">
        <v>-71762</v>
      </c>
      <c r="S18" s="181"/>
      <c r="T18" s="185">
        <v>-6340250</v>
      </c>
      <c r="U18" s="180"/>
      <c r="V18" s="185">
        <v>-5628005</v>
      </c>
      <c r="W18" s="181"/>
      <c r="X18" s="185"/>
      <c r="Y18" s="180"/>
      <c r="Z18" s="185"/>
      <c r="AA18" s="181"/>
      <c r="AB18" s="185"/>
      <c r="AC18" s="180"/>
      <c r="AD18" s="185"/>
    </row>
    <row r="19" spans="1:30">
      <c r="A19" s="178" t="s">
        <v>250</v>
      </c>
      <c r="B19" s="178"/>
      <c r="C19" s="161" t="s">
        <v>251</v>
      </c>
      <c r="F19" s="161" t="s">
        <v>236</v>
      </c>
      <c r="H19" s="180">
        <f t="shared" si="1"/>
        <v>0</v>
      </c>
      <c r="J19" s="180">
        <f t="shared" si="0"/>
        <v>0</v>
      </c>
      <c r="K19" s="181"/>
      <c r="L19" s="186"/>
      <c r="M19" s="180"/>
      <c r="N19" s="186"/>
      <c r="O19" s="181"/>
      <c r="P19" s="191"/>
      <c r="Q19" s="180"/>
      <c r="R19" s="191"/>
      <c r="S19" s="181"/>
      <c r="T19" s="185"/>
      <c r="U19" s="180"/>
      <c r="V19" s="185"/>
      <c r="W19" s="181"/>
      <c r="X19" s="185"/>
      <c r="Y19" s="180"/>
      <c r="Z19" s="185"/>
      <c r="AA19" s="181"/>
      <c r="AB19" s="185"/>
      <c r="AC19" s="180"/>
      <c r="AD19" s="185"/>
    </row>
    <row r="20" spans="1:30">
      <c r="A20" s="178" t="s">
        <v>252</v>
      </c>
      <c r="B20" s="192" t="s">
        <v>253</v>
      </c>
      <c r="C20" s="161" t="s">
        <v>254</v>
      </c>
      <c r="F20" s="161" t="s">
        <v>236</v>
      </c>
      <c r="H20" s="180">
        <f t="shared" si="1"/>
        <v>0</v>
      </c>
      <c r="J20" s="180">
        <f t="shared" si="0"/>
        <v>0</v>
      </c>
      <c r="K20" s="181"/>
      <c r="L20" s="186"/>
      <c r="M20" s="180"/>
      <c r="N20" s="186"/>
      <c r="O20" s="181"/>
      <c r="P20" s="191"/>
      <c r="Q20" s="180"/>
      <c r="R20" s="191"/>
      <c r="S20" s="181"/>
      <c r="T20" s="185"/>
      <c r="U20" s="180"/>
      <c r="V20" s="185"/>
      <c r="W20" s="181"/>
      <c r="X20" s="185"/>
      <c r="Y20" s="180"/>
      <c r="Z20" s="185"/>
      <c r="AA20" s="181"/>
      <c r="AB20" s="185"/>
      <c r="AC20" s="180"/>
      <c r="AD20" s="185"/>
    </row>
    <row r="21" spans="1:30">
      <c r="A21" s="178"/>
      <c r="B21" s="192" t="s">
        <v>255</v>
      </c>
      <c r="C21" s="161" t="s">
        <v>256</v>
      </c>
      <c r="F21" s="161" t="s">
        <v>236</v>
      </c>
      <c r="H21" s="180">
        <f t="shared" si="1"/>
        <v>318746531</v>
      </c>
      <c r="J21" s="180">
        <f t="shared" si="0"/>
        <v>318495109</v>
      </c>
      <c r="K21" s="181"/>
      <c r="L21" s="186"/>
      <c r="M21" s="180"/>
      <c r="N21" s="186"/>
      <c r="O21" s="181"/>
      <c r="P21" s="191"/>
      <c r="Q21" s="180"/>
      <c r="R21" s="191"/>
      <c r="S21" s="181"/>
      <c r="T21" s="185">
        <v>318746531</v>
      </c>
      <c r="U21" s="180"/>
      <c r="V21" s="185"/>
      <c r="W21" s="181"/>
      <c r="X21" s="185"/>
      <c r="Y21" s="180"/>
      <c r="Z21" s="185"/>
      <c r="AA21" s="181"/>
      <c r="AB21" s="186"/>
      <c r="AC21" s="180"/>
      <c r="AD21" s="186">
        <v>318495109</v>
      </c>
    </row>
    <row r="22" spans="1:30">
      <c r="A22" s="178"/>
      <c r="B22" s="192" t="s">
        <v>257</v>
      </c>
      <c r="C22" s="161" t="s">
        <v>258</v>
      </c>
      <c r="F22" s="161" t="s">
        <v>236</v>
      </c>
      <c r="H22" s="180">
        <f t="shared" si="1"/>
        <v>-263377778</v>
      </c>
      <c r="J22" s="180"/>
      <c r="K22" s="181"/>
      <c r="L22" s="186"/>
      <c r="M22" s="180"/>
      <c r="N22" s="186"/>
      <c r="O22" s="181"/>
      <c r="P22" s="191"/>
      <c r="Q22" s="180"/>
      <c r="R22" s="191"/>
      <c r="S22" s="181"/>
      <c r="T22" s="185">
        <v>-263377778</v>
      </c>
      <c r="U22" s="180"/>
      <c r="V22" s="185"/>
      <c r="W22" s="181"/>
      <c r="X22" s="185"/>
      <c r="Y22" s="180"/>
      <c r="Z22" s="185"/>
      <c r="AA22" s="181"/>
      <c r="AB22" s="186"/>
      <c r="AC22" s="180"/>
      <c r="AD22" s="186"/>
    </row>
    <row r="23" spans="1:30">
      <c r="A23" s="178" t="s">
        <v>259</v>
      </c>
      <c r="B23" s="192" t="s">
        <v>260</v>
      </c>
      <c r="C23" s="161" t="s">
        <v>261</v>
      </c>
      <c r="F23" s="161" t="s">
        <v>236</v>
      </c>
      <c r="H23" s="161">
        <f t="shared" si="1"/>
        <v>0</v>
      </c>
      <c r="J23" s="180">
        <f t="shared" si="0"/>
        <v>0</v>
      </c>
      <c r="K23" s="181"/>
      <c r="L23" s="186"/>
      <c r="M23" s="180"/>
      <c r="N23" s="186"/>
      <c r="O23" s="181"/>
      <c r="P23" s="191"/>
      <c r="Q23" s="180"/>
      <c r="R23" s="191"/>
      <c r="S23" s="181"/>
      <c r="T23" s="185"/>
      <c r="U23" s="180"/>
      <c r="V23" s="185"/>
      <c r="W23" s="181"/>
      <c r="X23" s="185"/>
      <c r="Y23" s="180"/>
      <c r="Z23" s="185"/>
      <c r="AA23" s="181"/>
      <c r="AB23" s="185"/>
      <c r="AC23" s="180"/>
      <c r="AD23" s="185"/>
    </row>
    <row r="24" spans="1:30">
      <c r="A24" s="178"/>
      <c r="B24" s="192" t="s">
        <v>262</v>
      </c>
      <c r="C24" s="161" t="s">
        <v>263</v>
      </c>
      <c r="H24" s="161">
        <f t="shared" si="1"/>
        <v>15702</v>
      </c>
      <c r="J24" s="180">
        <f t="shared" si="0"/>
        <v>15702</v>
      </c>
      <c r="K24" s="181"/>
      <c r="L24" s="190">
        <v>15702</v>
      </c>
      <c r="M24" s="180"/>
      <c r="N24" s="190">
        <v>15702</v>
      </c>
      <c r="O24" s="181"/>
      <c r="P24" s="191"/>
      <c r="Q24" s="180"/>
      <c r="R24" s="191"/>
      <c r="S24" s="181"/>
      <c r="T24" s="185"/>
      <c r="U24" s="180"/>
      <c r="V24" s="185"/>
      <c r="W24" s="181"/>
      <c r="X24" s="185"/>
      <c r="Y24" s="180"/>
      <c r="Z24" s="185"/>
      <c r="AA24" s="181"/>
      <c r="AB24" s="193"/>
      <c r="AC24" s="180"/>
      <c r="AD24" s="193"/>
    </row>
    <row r="25" spans="1:30">
      <c r="A25" s="178" t="s">
        <v>264</v>
      </c>
      <c r="B25" s="192" t="s">
        <v>265</v>
      </c>
      <c r="C25" s="161" t="s">
        <v>266</v>
      </c>
      <c r="F25" s="161" t="s">
        <v>236</v>
      </c>
      <c r="H25" s="161">
        <f t="shared" si="1"/>
        <v>0</v>
      </c>
      <c r="J25" s="180">
        <f t="shared" si="0"/>
        <v>0</v>
      </c>
      <c r="K25" s="181"/>
      <c r="L25" s="185"/>
      <c r="M25" s="180"/>
      <c r="N25" s="185"/>
      <c r="O25" s="181"/>
      <c r="P25" s="191"/>
      <c r="Q25" s="180"/>
      <c r="R25" s="191"/>
      <c r="S25" s="181"/>
      <c r="T25" s="185"/>
      <c r="U25" s="180"/>
      <c r="V25" s="185"/>
      <c r="W25" s="181"/>
      <c r="X25" s="185"/>
      <c r="Y25" s="180"/>
      <c r="Z25" s="185"/>
      <c r="AA25" s="181"/>
      <c r="AB25" s="193"/>
      <c r="AC25" s="180"/>
      <c r="AD25" s="193"/>
    </row>
    <row r="26" spans="1:30">
      <c r="A26" s="178" t="s">
        <v>267</v>
      </c>
      <c r="B26" s="192" t="s">
        <v>268</v>
      </c>
      <c r="C26" s="161" t="s">
        <v>269</v>
      </c>
      <c r="F26" s="161" t="s">
        <v>236</v>
      </c>
      <c r="H26" s="161">
        <f t="shared" si="1"/>
        <v>0</v>
      </c>
      <c r="J26" s="180">
        <f t="shared" si="0"/>
        <v>0</v>
      </c>
      <c r="K26" s="181"/>
      <c r="L26" s="180"/>
      <c r="M26" s="180"/>
      <c r="N26" s="180"/>
      <c r="O26" s="181"/>
      <c r="P26" s="191"/>
      <c r="Q26" s="180"/>
      <c r="R26" s="191"/>
      <c r="S26" s="181"/>
      <c r="T26" s="185"/>
      <c r="U26" s="180"/>
      <c r="V26" s="185"/>
      <c r="W26" s="181"/>
      <c r="X26" s="185"/>
      <c r="Y26" s="180"/>
      <c r="Z26" s="185"/>
      <c r="AA26" s="181"/>
      <c r="AB26" s="193"/>
      <c r="AC26" s="180"/>
      <c r="AD26" s="193"/>
    </row>
    <row r="27" spans="1:30">
      <c r="A27" s="178" t="s">
        <v>270</v>
      </c>
      <c r="B27" s="192">
        <v>1217010</v>
      </c>
      <c r="C27" s="161" t="s">
        <v>271</v>
      </c>
      <c r="F27" s="161" t="s">
        <v>236</v>
      </c>
      <c r="H27" s="161">
        <f t="shared" si="1"/>
        <v>0</v>
      </c>
      <c r="J27" s="180">
        <f t="shared" si="0"/>
        <v>0</v>
      </c>
      <c r="K27" s="181"/>
      <c r="L27" s="180"/>
      <c r="M27" s="180"/>
      <c r="N27" s="180"/>
      <c r="O27" s="181"/>
      <c r="P27" s="191"/>
      <c r="Q27" s="180"/>
      <c r="R27" s="191"/>
      <c r="S27" s="181"/>
      <c r="T27" s="185"/>
      <c r="U27" s="180"/>
      <c r="V27" s="185"/>
      <c r="W27" s="181"/>
      <c r="X27" s="185"/>
      <c r="Y27" s="180"/>
      <c r="Z27" s="185"/>
      <c r="AA27" s="181"/>
      <c r="AB27" s="193"/>
      <c r="AC27" s="180"/>
      <c r="AD27" s="193"/>
    </row>
    <row r="28" spans="1:30">
      <c r="A28" s="178" t="s">
        <v>272</v>
      </c>
      <c r="B28" s="192" t="s">
        <v>273</v>
      </c>
      <c r="C28" s="161" t="s">
        <v>274</v>
      </c>
      <c r="F28" s="161" t="s">
        <v>236</v>
      </c>
      <c r="H28" s="161">
        <f t="shared" si="1"/>
        <v>0</v>
      </c>
      <c r="J28" s="180">
        <f t="shared" si="0"/>
        <v>0</v>
      </c>
      <c r="K28" s="181"/>
      <c r="L28" s="180"/>
      <c r="M28" s="180"/>
      <c r="N28" s="180"/>
      <c r="O28" s="181"/>
      <c r="P28" s="191"/>
      <c r="Q28" s="180"/>
      <c r="R28" s="191"/>
      <c r="S28" s="181"/>
      <c r="T28" s="185"/>
      <c r="U28" s="180"/>
      <c r="V28" s="185"/>
      <c r="W28" s="181"/>
      <c r="X28" s="185"/>
      <c r="Y28" s="180"/>
      <c r="Z28" s="185"/>
      <c r="AA28" s="181"/>
      <c r="AB28" s="193"/>
      <c r="AC28" s="180"/>
      <c r="AD28" s="193"/>
    </row>
    <row r="29" spans="1:30">
      <c r="A29" s="178" t="s">
        <v>275</v>
      </c>
      <c r="B29" s="192" t="s">
        <v>276</v>
      </c>
      <c r="C29" s="161" t="s">
        <v>277</v>
      </c>
      <c r="F29" s="161" t="s">
        <v>236</v>
      </c>
      <c r="H29" s="161">
        <f t="shared" si="1"/>
        <v>0</v>
      </c>
      <c r="J29" s="180">
        <f t="shared" si="0"/>
        <v>0</v>
      </c>
      <c r="K29" s="181"/>
      <c r="L29" s="180"/>
      <c r="M29" s="180"/>
      <c r="N29" s="180"/>
      <c r="O29" s="181"/>
      <c r="P29" s="191"/>
      <c r="Q29" s="180"/>
      <c r="R29" s="191"/>
      <c r="S29" s="181"/>
      <c r="T29" s="185"/>
      <c r="U29" s="180"/>
      <c r="V29" s="185"/>
      <c r="W29" s="181"/>
      <c r="X29" s="185"/>
      <c r="Y29" s="180"/>
      <c r="Z29" s="185"/>
      <c r="AA29" s="181"/>
      <c r="AB29" s="193"/>
      <c r="AC29" s="180"/>
      <c r="AD29" s="193"/>
    </row>
    <row r="30" spans="1:30">
      <c r="A30" s="178" t="s">
        <v>278</v>
      </c>
      <c r="B30" s="192"/>
      <c r="C30" s="161" t="s">
        <v>279</v>
      </c>
      <c r="F30" s="161" t="s">
        <v>236</v>
      </c>
      <c r="H30" s="161">
        <f t="shared" si="1"/>
        <v>0</v>
      </c>
      <c r="J30" s="180">
        <f t="shared" si="0"/>
        <v>0</v>
      </c>
      <c r="K30" s="181"/>
      <c r="L30" s="180"/>
      <c r="M30" s="180"/>
      <c r="N30" s="180"/>
      <c r="O30" s="181"/>
      <c r="P30" s="191"/>
      <c r="Q30" s="180"/>
      <c r="R30" s="191"/>
      <c r="S30" s="181"/>
      <c r="T30" s="185"/>
      <c r="U30" s="180"/>
      <c r="V30" s="185"/>
      <c r="W30" s="181"/>
      <c r="X30" s="185"/>
      <c r="Y30" s="180"/>
      <c r="Z30" s="185"/>
      <c r="AA30" s="181"/>
      <c r="AB30" s="193"/>
      <c r="AC30" s="180"/>
      <c r="AD30" s="193"/>
    </row>
    <row r="31" spans="1:30">
      <c r="A31" s="178" t="s">
        <v>280</v>
      </c>
      <c r="B31" s="192" t="s">
        <v>281</v>
      </c>
      <c r="C31" s="161" t="s">
        <v>282</v>
      </c>
      <c r="F31" s="161" t="s">
        <v>236</v>
      </c>
      <c r="H31" s="161">
        <f t="shared" si="1"/>
        <v>0</v>
      </c>
      <c r="J31" s="180">
        <f t="shared" si="0"/>
        <v>0</v>
      </c>
      <c r="K31" s="181"/>
      <c r="L31" s="180"/>
      <c r="M31" s="180"/>
      <c r="N31" s="180"/>
      <c r="O31" s="181"/>
      <c r="P31" s="191"/>
      <c r="Q31" s="180"/>
      <c r="R31" s="191"/>
      <c r="S31" s="181"/>
      <c r="T31" s="185"/>
      <c r="U31" s="180"/>
      <c r="V31" s="185"/>
      <c r="W31" s="181"/>
      <c r="X31" s="185"/>
      <c r="Y31" s="180"/>
      <c r="Z31" s="185"/>
      <c r="AA31" s="181"/>
      <c r="AB31" s="180"/>
      <c r="AC31" s="180"/>
      <c r="AD31" s="180"/>
    </row>
    <row r="32" spans="1:30">
      <c r="A32" s="178" t="s">
        <v>283</v>
      </c>
      <c r="B32" s="192" t="s">
        <v>284</v>
      </c>
      <c r="C32" s="161" t="s">
        <v>285</v>
      </c>
      <c r="F32" s="161" t="s">
        <v>236</v>
      </c>
      <c r="G32" s="171" t="s">
        <v>286</v>
      </c>
      <c r="H32" s="180">
        <f t="shared" si="1"/>
        <v>451057314</v>
      </c>
      <c r="J32" s="180">
        <f>N32+R32+V32+Z32+AD32</f>
        <v>436325664</v>
      </c>
      <c r="K32" s="171" t="s">
        <v>286</v>
      </c>
      <c r="L32" s="185">
        <v>310289789</v>
      </c>
      <c r="M32" s="180"/>
      <c r="N32" s="185">
        <v>309020727</v>
      </c>
      <c r="O32" s="181"/>
      <c r="P32" s="191"/>
      <c r="Q32" s="180"/>
      <c r="R32" s="191"/>
      <c r="S32" s="171" t="s">
        <v>286</v>
      </c>
      <c r="T32" s="185">
        <v>140767525</v>
      </c>
      <c r="U32" s="180"/>
      <c r="V32" s="185">
        <v>127304937</v>
      </c>
      <c r="W32" s="181"/>
      <c r="X32" s="185"/>
      <c r="Y32" s="180"/>
      <c r="Z32" s="185"/>
      <c r="AA32" s="181"/>
      <c r="AB32" s="180"/>
      <c r="AC32" s="180"/>
      <c r="AD32" s="180"/>
    </row>
    <row r="33" spans="1:30">
      <c r="A33" s="178"/>
      <c r="B33" s="192"/>
      <c r="C33" s="161" t="s">
        <v>287</v>
      </c>
      <c r="F33" s="161" t="s">
        <v>288</v>
      </c>
      <c r="G33" s="171" t="s">
        <v>289</v>
      </c>
      <c r="H33" s="180">
        <f t="shared" si="1"/>
        <v>285629495</v>
      </c>
      <c r="J33" s="180">
        <f>N33+R33+V33+Z33+AD33</f>
        <v>249704181</v>
      </c>
      <c r="K33" s="171" t="s">
        <v>289</v>
      </c>
      <c r="L33" s="185">
        <v>285629495</v>
      </c>
      <c r="M33" s="180"/>
      <c r="N33" s="185">
        <v>249704181</v>
      </c>
      <c r="O33" s="181"/>
      <c r="P33" s="180"/>
      <c r="Q33" s="180"/>
      <c r="R33" s="180"/>
      <c r="S33" s="181"/>
      <c r="T33" s="185"/>
      <c r="U33" s="180"/>
      <c r="V33" s="180"/>
      <c r="W33" s="181"/>
      <c r="X33" s="180"/>
      <c r="Y33" s="180"/>
      <c r="Z33" s="180"/>
      <c r="AA33" s="181"/>
      <c r="AB33" s="180"/>
      <c r="AC33" s="180"/>
      <c r="AD33" s="180"/>
    </row>
    <row r="34" spans="1:30" ht="3.95" customHeight="1">
      <c r="A34" s="157"/>
      <c r="B34" s="157"/>
      <c r="C34" s="157"/>
      <c r="D34" s="157"/>
      <c r="E34" s="157"/>
      <c r="F34" s="157"/>
      <c r="G34" s="160"/>
      <c r="H34" s="173"/>
      <c r="I34" s="157"/>
      <c r="J34" s="194"/>
      <c r="K34" s="160"/>
      <c r="L34" s="173"/>
      <c r="M34" s="157"/>
      <c r="N34" s="194"/>
      <c r="O34" s="160"/>
      <c r="P34" s="173"/>
      <c r="Q34" s="157"/>
      <c r="R34" s="194"/>
      <c r="S34" s="160"/>
      <c r="T34" s="195"/>
      <c r="U34" s="157"/>
      <c r="V34" s="194"/>
      <c r="W34" s="160"/>
      <c r="X34" s="173"/>
      <c r="Y34" s="157"/>
      <c r="Z34" s="194"/>
      <c r="AA34" s="160"/>
      <c r="AB34" s="173"/>
      <c r="AC34" s="157"/>
      <c r="AD34" s="194"/>
    </row>
    <row r="35" spans="1:30" ht="13.5" thickBot="1">
      <c r="C35" s="161" t="s">
        <v>290</v>
      </c>
      <c r="D35" s="196" t="s">
        <v>291</v>
      </c>
      <c r="E35" s="185">
        <v>13451</v>
      </c>
      <c r="H35" s="161">
        <f>SUM(H11:H34)</f>
        <v>40821769108</v>
      </c>
      <c r="I35" s="197" t="s">
        <v>292</v>
      </c>
      <c r="J35" s="198">
        <f>SUM(J11:J34)</f>
        <v>37891668613</v>
      </c>
      <c r="K35" s="199"/>
      <c r="L35" s="180">
        <f>SUM(L11:L34)</f>
        <v>37986337693</v>
      </c>
      <c r="N35" s="198">
        <f>SUM(N11:N34)</f>
        <v>34627563936</v>
      </c>
      <c r="P35" s="161">
        <f>SUM(P11:P34)</f>
        <v>588903629</v>
      </c>
      <c r="R35" s="198">
        <f>SUM(R11:R34)</f>
        <v>593747687</v>
      </c>
      <c r="T35" s="180">
        <f>SUM(T11:T34)</f>
        <v>2125526844</v>
      </c>
      <c r="V35" s="198">
        <f>SUM(V11:V34)</f>
        <v>2031335976</v>
      </c>
      <c r="X35" s="161">
        <f>SUM(X11:X34)</f>
        <v>120753034</v>
      </c>
      <c r="Z35" s="198">
        <f>SUM(Z11:Z34)</f>
        <v>320277997</v>
      </c>
      <c r="AB35" s="161">
        <f>SUM(AB11:AB34)</f>
        <v>247908</v>
      </c>
      <c r="AD35" s="198">
        <f>SUM(AD11:AD34)</f>
        <v>318743017</v>
      </c>
    </row>
    <row r="36" spans="1:30" ht="13.5" thickTop="1">
      <c r="C36" s="161" t="s">
        <v>293</v>
      </c>
      <c r="D36" s="196" t="s">
        <v>291</v>
      </c>
      <c r="E36" s="185">
        <v>24981</v>
      </c>
      <c r="H36" s="161">
        <f>J35</f>
        <v>37891668613</v>
      </c>
      <c r="L36" s="180">
        <f>N35</f>
        <v>34627563936</v>
      </c>
      <c r="P36" s="161">
        <f>R35</f>
        <v>593747687</v>
      </c>
      <c r="T36" s="161">
        <f>V35</f>
        <v>2031335976</v>
      </c>
      <c r="X36" s="161">
        <f>Z35</f>
        <v>320277997</v>
      </c>
      <c r="AB36" s="161">
        <f>AD35</f>
        <v>318743017</v>
      </c>
    </row>
    <row r="37" spans="1:30">
      <c r="A37" s="157"/>
      <c r="B37" s="157"/>
      <c r="C37" s="157" t="s">
        <v>294</v>
      </c>
      <c r="D37" s="196" t="s">
        <v>295</v>
      </c>
      <c r="E37" s="200">
        <v>697728</v>
      </c>
      <c r="F37" s="157"/>
      <c r="G37" s="160"/>
      <c r="H37" s="281">
        <f>SUM(H35:H36)</f>
        <v>78713437721</v>
      </c>
      <c r="I37" s="157"/>
      <c r="J37" s="157"/>
      <c r="K37" s="160"/>
      <c r="L37" s="282">
        <f>SUM(L35:L36)</f>
        <v>72613901629</v>
      </c>
      <c r="M37" s="157"/>
      <c r="N37" s="157"/>
      <c r="O37" s="160"/>
      <c r="P37" s="281">
        <f>SUM(P35:P36)</f>
        <v>1182651316</v>
      </c>
      <c r="Q37" s="157"/>
      <c r="R37" s="157"/>
      <c r="S37" s="160"/>
      <c r="T37" s="281">
        <f>SUM(T35:T36)</f>
        <v>4156862820</v>
      </c>
      <c r="U37" s="157"/>
      <c r="V37" s="157"/>
      <c r="W37" s="160"/>
      <c r="X37" s="281">
        <f>SUM(X35:X36)</f>
        <v>441031031</v>
      </c>
      <c r="Y37" s="157"/>
      <c r="Z37" s="157"/>
      <c r="AA37" s="160"/>
      <c r="AB37" s="281">
        <f>SUM(AB35:AB36)</f>
        <v>318990925</v>
      </c>
      <c r="AC37" s="157"/>
      <c r="AD37" s="157"/>
    </row>
    <row r="38" spans="1:30">
      <c r="A38" s="157"/>
      <c r="B38" s="157"/>
      <c r="C38" s="157" t="s">
        <v>296</v>
      </c>
      <c r="D38" s="196" t="s">
        <v>297</v>
      </c>
      <c r="E38" s="200">
        <v>601383</v>
      </c>
      <c r="F38" s="157"/>
      <c r="G38" s="160"/>
      <c r="H38" s="281">
        <f>H37*0.5</f>
        <v>39356718860.5</v>
      </c>
      <c r="I38" s="157"/>
      <c r="J38" s="157"/>
      <c r="K38" s="160"/>
      <c r="L38" s="282">
        <f>L37*0.5</f>
        <v>36306950814.5</v>
      </c>
      <c r="M38" s="157"/>
      <c r="N38" s="157"/>
      <c r="O38" s="160"/>
      <c r="P38" s="281">
        <f>P37*0.5</f>
        <v>591325658</v>
      </c>
      <c r="Q38" s="157"/>
      <c r="R38" s="157"/>
      <c r="S38" s="160"/>
      <c r="T38" s="281">
        <f>T37*0.5</f>
        <v>2078431410</v>
      </c>
      <c r="U38" s="157"/>
      <c r="V38" s="157"/>
      <c r="W38" s="160"/>
      <c r="X38" s="281">
        <f>X37*0.5</f>
        <v>220515515.5</v>
      </c>
      <c r="Y38" s="157"/>
      <c r="Z38" s="157"/>
      <c r="AA38" s="160"/>
      <c r="AB38" s="281">
        <f>AB37*0.5</f>
        <v>159495462.5</v>
      </c>
      <c r="AC38" s="157"/>
      <c r="AD38" s="157"/>
    </row>
    <row r="39" spans="1:30">
      <c r="A39" s="157" t="s">
        <v>298</v>
      </c>
      <c r="B39" s="157"/>
      <c r="C39" s="203" t="s">
        <v>299</v>
      </c>
      <c r="D39" s="196" t="s">
        <v>300</v>
      </c>
      <c r="E39" s="204">
        <f>118133957-24981</f>
        <v>118108976</v>
      </c>
      <c r="F39" s="203" t="s">
        <v>301</v>
      </c>
      <c r="G39" s="160"/>
      <c r="H39" s="173">
        <f>ROUND((+E39*8)+(E38*8)+(E37*8)+(E36*8)+(E35*8),0)</f>
        <v>955572152</v>
      </c>
      <c r="I39" s="157"/>
      <c r="J39" s="283" t="s">
        <v>302</v>
      </c>
      <c r="K39" s="160"/>
      <c r="L39" s="195">
        <f>ROUND(+$E39*8,0)</f>
        <v>944871808</v>
      </c>
      <c r="M39" s="157"/>
      <c r="N39" s="206" t="s">
        <v>303</v>
      </c>
      <c r="O39" s="159"/>
      <c r="P39" s="195">
        <f>ROUND(+$E38*8,0)</f>
        <v>4811064</v>
      </c>
      <c r="Q39" s="207" t="s">
        <v>304</v>
      </c>
      <c r="R39" s="158"/>
      <c r="S39" s="206" t="s">
        <v>305</v>
      </c>
      <c r="T39" s="195">
        <f>ROUND(+$E37*8,0)</f>
        <v>5581824</v>
      </c>
      <c r="U39" s="208" t="s">
        <v>306</v>
      </c>
      <c r="V39" s="157"/>
      <c r="W39" s="160"/>
      <c r="X39" s="173"/>
      <c r="Y39" s="157"/>
      <c r="Z39" s="193"/>
      <c r="AA39" s="206" t="s">
        <v>307</v>
      </c>
      <c r="AB39" s="195">
        <f>ROUND((+$E36*8+($E35*8)),0)</f>
        <v>307456</v>
      </c>
      <c r="AC39" s="209" t="s">
        <v>308</v>
      </c>
      <c r="AD39" s="157"/>
    </row>
    <row r="40" spans="1:30" ht="15.75" thickBot="1">
      <c r="A40" s="157"/>
      <c r="B40" s="157"/>
      <c r="C40" s="156" t="s">
        <v>309</v>
      </c>
      <c r="D40" s="196"/>
      <c r="E40" s="210">
        <f>SUM(E35:E39)</f>
        <v>119446519</v>
      </c>
      <c r="F40" s="163" t="s">
        <v>310</v>
      </c>
      <c r="G40" s="160"/>
      <c r="H40" s="284">
        <f>SUM(H38:H39)</f>
        <v>40312291012.5</v>
      </c>
      <c r="I40" s="156"/>
      <c r="J40" s="156"/>
      <c r="K40" s="160"/>
      <c r="L40" s="284">
        <f>SUM(L38:L39)</f>
        <v>37251822622.5</v>
      </c>
      <c r="M40" s="156"/>
      <c r="N40" s="156"/>
      <c r="O40" s="160"/>
      <c r="P40" s="284">
        <f>SUM(P38:P39)</f>
        <v>596136722</v>
      </c>
      <c r="Q40" s="156"/>
      <c r="R40" s="156"/>
      <c r="S40" s="160"/>
      <c r="T40" s="284">
        <f>SUM(T38:T39)</f>
        <v>2084013234</v>
      </c>
      <c r="U40" s="156"/>
      <c r="V40" s="156"/>
      <c r="W40" s="160"/>
      <c r="X40" s="284">
        <f>SUM(X38:X39)</f>
        <v>220515515.5</v>
      </c>
      <c r="Y40" s="156"/>
      <c r="Z40" s="156"/>
      <c r="AA40" s="160"/>
      <c r="AB40" s="284">
        <f>SUM(AB38:AB39)</f>
        <v>159802918.5</v>
      </c>
      <c r="AC40" s="156"/>
      <c r="AD40" s="156"/>
    </row>
    <row r="41" spans="1:30" ht="13.5" thickTop="1">
      <c r="D41" s="212"/>
      <c r="AB41" s="213"/>
    </row>
    <row r="42" spans="1:30">
      <c r="C42" s="214" t="s">
        <v>311</v>
      </c>
      <c r="D42" s="212"/>
      <c r="AB42" s="213"/>
    </row>
    <row r="43" spans="1:30">
      <c r="C43" s="214" t="s">
        <v>312</v>
      </c>
      <c r="D43" s="215" t="s">
        <v>227</v>
      </c>
      <c r="E43" s="161">
        <v>40294664980</v>
      </c>
      <c r="H43" s="216"/>
      <c r="AB43" s="213"/>
    </row>
    <row r="44" spans="1:30">
      <c r="C44" s="214" t="s">
        <v>313</v>
      </c>
      <c r="D44" s="215" t="s">
        <v>227</v>
      </c>
      <c r="E44" s="180">
        <v>-59156240</v>
      </c>
      <c r="H44" s="216"/>
      <c r="AB44" s="213"/>
    </row>
    <row r="45" spans="1:30">
      <c r="C45" s="214" t="s">
        <v>314</v>
      </c>
      <c r="D45" s="215" t="s">
        <v>227</v>
      </c>
      <c r="E45" s="180">
        <v>-468105252</v>
      </c>
      <c r="H45" s="216"/>
      <c r="AB45" s="213"/>
    </row>
    <row r="46" spans="1:30">
      <c r="C46" s="214" t="s">
        <v>315</v>
      </c>
      <c r="D46" s="215" t="s">
        <v>227</v>
      </c>
      <c r="E46" s="180">
        <v>317678810</v>
      </c>
      <c r="H46" s="216"/>
      <c r="AB46" s="213"/>
    </row>
    <row r="47" spans="1:30">
      <c r="C47" s="214" t="s">
        <v>316</v>
      </c>
      <c r="D47" s="215" t="s">
        <v>286</v>
      </c>
      <c r="E47" s="180">
        <f>H32</f>
        <v>451057314</v>
      </c>
      <c r="AB47" s="213"/>
    </row>
    <row r="48" spans="1:30">
      <c r="C48" s="214" t="s">
        <v>317</v>
      </c>
      <c r="D48" s="215" t="s">
        <v>289</v>
      </c>
      <c r="E48" s="180">
        <f>L33</f>
        <v>285629495</v>
      </c>
      <c r="AB48" s="213"/>
    </row>
    <row r="49" spans="1:31">
      <c r="C49" s="214" t="s">
        <v>318</v>
      </c>
      <c r="D49" s="217"/>
      <c r="E49" s="180">
        <v>1</v>
      </c>
      <c r="AB49" s="213"/>
    </row>
    <row r="50" spans="1:31" ht="13.5" thickBot="1">
      <c r="C50" s="218" t="s">
        <v>319</v>
      </c>
      <c r="D50" s="212"/>
      <c r="E50" s="219">
        <f>SUM(E43:E49)</f>
        <v>40821769108</v>
      </c>
      <c r="F50" s="197" t="s">
        <v>292</v>
      </c>
      <c r="AB50" s="213"/>
    </row>
    <row r="51" spans="1:31" ht="13.5" thickTop="1">
      <c r="D51" s="178"/>
      <c r="E51" s="216"/>
      <c r="AB51" s="213"/>
    </row>
    <row r="52" spans="1:31" ht="15">
      <c r="A52" s="220" t="s">
        <v>320</v>
      </c>
      <c r="D52" s="178"/>
      <c r="AB52" s="213"/>
    </row>
    <row r="53" spans="1:31" ht="15">
      <c r="A53" s="220" t="s">
        <v>321</v>
      </c>
      <c r="D53" s="178"/>
      <c r="AB53" s="213"/>
    </row>
    <row r="54" spans="1:31" ht="13.5" thickBot="1">
      <c r="D54" s="223"/>
      <c r="AB54" s="213"/>
    </row>
    <row r="55" spans="1:31" ht="15.75" thickBot="1">
      <c r="A55" s="224"/>
      <c r="B55" s="225"/>
      <c r="C55" s="226" t="s">
        <v>322</v>
      </c>
      <c r="D55" s="227"/>
      <c r="E55" s="228"/>
      <c r="F55" s="228"/>
      <c r="G55" s="229" t="s">
        <v>323</v>
      </c>
      <c r="H55" s="226">
        <f>L55+P55+T55+X55+AB55</f>
        <v>2018691121</v>
      </c>
      <c r="I55" s="226"/>
      <c r="J55" s="226"/>
      <c r="K55" s="226"/>
      <c r="L55" s="230">
        <v>1943637184</v>
      </c>
      <c r="M55" s="230"/>
      <c r="N55" s="230"/>
      <c r="O55" s="230"/>
      <c r="P55" s="230">
        <v>12577014</v>
      </c>
      <c r="Q55" s="230"/>
      <c r="R55" s="230"/>
      <c r="S55" s="230"/>
      <c r="T55" s="230">
        <v>61199878</v>
      </c>
      <c r="U55" s="230"/>
      <c r="V55" s="230"/>
      <c r="W55" s="230"/>
      <c r="X55" s="230">
        <v>1277045</v>
      </c>
      <c r="Y55" s="230"/>
      <c r="Z55" s="230"/>
      <c r="AA55" s="230"/>
      <c r="AB55" s="231">
        <v>0</v>
      </c>
      <c r="AC55" s="228"/>
      <c r="AD55" s="232" t="s">
        <v>126</v>
      </c>
      <c r="AE55" s="194"/>
    </row>
    <row r="56" spans="1:31">
      <c r="A56" s="157"/>
      <c r="B56" s="157"/>
      <c r="C56" s="157"/>
      <c r="D56" s="233"/>
      <c r="E56" s="157"/>
      <c r="F56" s="157"/>
      <c r="G56" s="157"/>
      <c r="H56" s="157"/>
      <c r="I56" s="157"/>
      <c r="J56" s="157"/>
      <c r="K56" s="157"/>
      <c r="L56" s="157"/>
      <c r="M56" s="157"/>
      <c r="N56" s="157"/>
      <c r="O56" s="157"/>
      <c r="P56" s="157"/>
      <c r="Q56" s="157"/>
      <c r="R56" s="157"/>
      <c r="S56" s="157"/>
      <c r="T56" s="157"/>
      <c r="U56" s="157"/>
      <c r="V56" s="157"/>
      <c r="W56" s="157"/>
      <c r="X56" s="157"/>
      <c r="Y56" s="157"/>
      <c r="Z56" s="157"/>
      <c r="AA56" s="163"/>
      <c r="AB56" s="234"/>
      <c r="AC56" s="235"/>
    </row>
    <row r="57" spans="1:31">
      <c r="G57" s="161"/>
      <c r="K57" s="161"/>
      <c r="O57" s="161"/>
      <c r="S57" s="161"/>
      <c r="W57" s="161"/>
      <c r="AA57" s="161"/>
    </row>
    <row r="58" spans="1:31">
      <c r="C58" s="176" t="s">
        <v>366</v>
      </c>
      <c r="G58" s="238"/>
      <c r="K58" s="238"/>
      <c r="L58" s="180"/>
      <c r="O58" s="161"/>
      <c r="S58" s="161"/>
      <c r="W58" s="161"/>
      <c r="AA58" s="161"/>
      <c r="AB58" s="216"/>
    </row>
    <row r="59" spans="1:31">
      <c r="A59" s="178" t="s">
        <v>326</v>
      </c>
      <c r="B59" s="178"/>
      <c r="C59" s="161" t="s">
        <v>2</v>
      </c>
      <c r="G59" s="238" t="s">
        <v>327</v>
      </c>
      <c r="H59" s="161">
        <f>SUM(L59:AB59)</f>
        <v>2739119740</v>
      </c>
      <c r="K59" s="238" t="s">
        <v>327</v>
      </c>
      <c r="L59" s="185">
        <v>2739119740</v>
      </c>
      <c r="O59" s="238" t="s">
        <v>327</v>
      </c>
      <c r="P59" s="177">
        <v>0</v>
      </c>
      <c r="S59" s="238" t="s">
        <v>327</v>
      </c>
      <c r="T59" s="177">
        <v>0</v>
      </c>
      <c r="W59" s="161"/>
      <c r="X59" s="161">
        <v>0</v>
      </c>
      <c r="AA59" s="161"/>
      <c r="AB59" s="239">
        <v>0</v>
      </c>
    </row>
    <row r="60" spans="1:31">
      <c r="A60" s="178"/>
      <c r="B60" s="178"/>
      <c r="C60" s="161" t="s">
        <v>328</v>
      </c>
      <c r="G60" s="161"/>
      <c r="H60" s="161">
        <f t="shared" ref="H60:H66" si="2">SUM(L60:X60)</f>
        <v>0</v>
      </c>
      <c r="K60" s="161"/>
      <c r="L60" s="185">
        <v>0</v>
      </c>
      <c r="O60" s="161"/>
      <c r="S60" s="161"/>
      <c r="W60" s="161"/>
      <c r="X60" s="161">
        <v>0</v>
      </c>
      <c r="AA60" s="161"/>
    </row>
    <row r="61" spans="1:31">
      <c r="C61" s="161" t="s">
        <v>329</v>
      </c>
      <c r="G61" s="216"/>
      <c r="H61" s="161">
        <f t="shared" si="2"/>
        <v>13020641</v>
      </c>
      <c r="K61" s="161"/>
      <c r="L61" s="185">
        <v>13020641</v>
      </c>
      <c r="O61" s="161"/>
      <c r="S61" s="161"/>
      <c r="W61" s="161"/>
      <c r="AA61" s="161"/>
    </row>
    <row r="62" spans="1:31">
      <c r="C62" s="161" t="s">
        <v>330</v>
      </c>
      <c r="G62" s="216"/>
      <c r="H62" s="161">
        <f t="shared" si="2"/>
        <v>42531</v>
      </c>
      <c r="K62" s="161"/>
      <c r="L62" s="185">
        <v>42531</v>
      </c>
      <c r="O62" s="161"/>
      <c r="S62" s="161"/>
      <c r="W62" s="161"/>
      <c r="AA62" s="161"/>
    </row>
    <row r="63" spans="1:31">
      <c r="A63" s="178"/>
      <c r="B63" s="178"/>
      <c r="C63" s="161" t="s">
        <v>331</v>
      </c>
      <c r="G63" s="216"/>
      <c r="H63" s="161">
        <f t="shared" si="2"/>
        <v>6244525</v>
      </c>
      <c r="K63" s="161"/>
      <c r="L63" s="185">
        <v>996941</v>
      </c>
      <c r="O63" s="161"/>
      <c r="P63" s="185">
        <v>5247584</v>
      </c>
      <c r="S63" s="161"/>
      <c r="W63" s="161"/>
      <c r="AA63" s="161"/>
    </row>
    <row r="64" spans="1:31">
      <c r="A64" s="161" t="s">
        <v>304</v>
      </c>
      <c r="C64" s="161" t="s">
        <v>332</v>
      </c>
      <c r="G64" s="216"/>
      <c r="H64" s="161">
        <f t="shared" si="2"/>
        <v>181055027</v>
      </c>
      <c r="K64" s="161"/>
      <c r="L64" s="185">
        <v>0</v>
      </c>
      <c r="O64" s="161"/>
      <c r="P64" s="161">
        <v>181055027</v>
      </c>
      <c r="S64" s="161"/>
      <c r="W64" s="161"/>
      <c r="AA64" s="161"/>
    </row>
    <row r="65" spans="1:29">
      <c r="C65" s="161" t="s">
        <v>333</v>
      </c>
      <c r="G65" s="216"/>
      <c r="H65" s="216">
        <f t="shared" si="2"/>
        <v>70447481</v>
      </c>
      <c r="I65" s="216"/>
      <c r="J65" s="216"/>
      <c r="K65" s="216"/>
      <c r="L65" s="240">
        <v>70447481</v>
      </c>
      <c r="M65" s="216"/>
      <c r="O65" s="161"/>
      <c r="P65" s="216"/>
      <c r="Q65" s="216"/>
      <c r="R65" s="216"/>
      <c r="S65" s="216"/>
      <c r="T65" s="216"/>
      <c r="U65" s="216"/>
      <c r="V65" s="216"/>
      <c r="W65" s="216"/>
      <c r="X65" s="216"/>
      <c r="Y65" s="216"/>
      <c r="Z65" s="216"/>
      <c r="AA65" s="216"/>
      <c r="AB65" s="216"/>
      <c r="AC65" s="216"/>
    </row>
    <row r="66" spans="1:29">
      <c r="G66" s="216"/>
      <c r="H66" s="241">
        <f t="shared" si="2"/>
        <v>0</v>
      </c>
      <c r="I66" s="216"/>
      <c r="J66" s="216"/>
      <c r="K66" s="216"/>
      <c r="L66" s="242"/>
      <c r="M66" s="216"/>
      <c r="O66" s="161"/>
      <c r="P66" s="241"/>
      <c r="S66" s="161"/>
      <c r="T66" s="241"/>
      <c r="W66" s="161"/>
      <c r="X66" s="241"/>
      <c r="AA66" s="161"/>
      <c r="AB66" s="241"/>
    </row>
    <row r="67" spans="1:29">
      <c r="C67" s="243" t="s">
        <v>334</v>
      </c>
      <c r="G67" s="216"/>
      <c r="H67" s="243">
        <f>SUM(H59:H66)</f>
        <v>3009929945</v>
      </c>
      <c r="K67" s="161"/>
      <c r="L67" s="243">
        <f>SUM(L59:L66)</f>
        <v>2823627334</v>
      </c>
      <c r="O67" s="161"/>
      <c r="P67" s="243">
        <f>SUM(P59:P66)</f>
        <v>186302611</v>
      </c>
      <c r="S67" s="161"/>
      <c r="T67" s="243">
        <f>SUM(T59:T66)</f>
        <v>0</v>
      </c>
      <c r="W67" s="161"/>
      <c r="X67" s="243">
        <f>SUM(X59:X66)</f>
        <v>0</v>
      </c>
      <c r="AA67" s="161"/>
      <c r="AB67" s="243">
        <f>SUM(AB59:AB66)</f>
        <v>0</v>
      </c>
    </row>
    <row r="68" spans="1:29">
      <c r="A68" s="157"/>
      <c r="B68" s="157"/>
      <c r="C68" s="157"/>
      <c r="D68" s="157"/>
      <c r="E68" s="157"/>
      <c r="F68" s="157"/>
      <c r="G68" s="208"/>
      <c r="H68" s="243"/>
      <c r="K68" s="161"/>
      <c r="O68" s="161"/>
      <c r="S68" s="161"/>
      <c r="W68" s="161"/>
      <c r="AA68" s="161"/>
    </row>
    <row r="69" spans="1:29" ht="15.75">
      <c r="A69" s="157"/>
      <c r="B69" s="157"/>
      <c r="C69" s="157" t="s">
        <v>335</v>
      </c>
      <c r="D69" s="157"/>
      <c r="E69" s="157"/>
      <c r="F69" s="157"/>
      <c r="G69" s="238" t="s">
        <v>336</v>
      </c>
      <c r="H69" s="161">
        <v>53512</v>
      </c>
      <c r="K69" s="161"/>
      <c r="O69" s="161"/>
      <c r="S69" s="161"/>
      <c r="V69" s="250" t="s">
        <v>343</v>
      </c>
      <c r="W69" s="216"/>
      <c r="X69" s="161">
        <f>AB11</f>
        <v>247908</v>
      </c>
      <c r="Z69" s="161" t="s">
        <v>344</v>
      </c>
      <c r="AA69" s="161"/>
    </row>
    <row r="70" spans="1:29">
      <c r="A70" s="157"/>
      <c r="B70" s="157"/>
      <c r="C70" s="157" t="s">
        <v>337</v>
      </c>
      <c r="D70" s="157"/>
      <c r="E70" s="157"/>
      <c r="F70" s="157"/>
      <c r="G70" s="238" t="s">
        <v>327</v>
      </c>
      <c r="H70" s="161">
        <v>9312448108</v>
      </c>
      <c r="K70" s="161"/>
      <c r="L70" s="244" t="s">
        <v>367</v>
      </c>
      <c r="N70" s="161">
        <f>H70+H59</f>
        <v>12051567848</v>
      </c>
      <c r="O70" s="161"/>
      <c r="S70" s="161"/>
      <c r="V70" s="216"/>
      <c r="W70" s="216"/>
      <c r="X70" s="161">
        <f>AD11</f>
        <v>247908</v>
      </c>
      <c r="Z70" s="157" t="s">
        <v>347</v>
      </c>
      <c r="AA70" s="161"/>
    </row>
    <row r="71" spans="1:29" ht="15.75" thickBot="1">
      <c r="A71" s="157"/>
      <c r="B71" s="157"/>
      <c r="C71" s="156" t="s">
        <v>339</v>
      </c>
      <c r="D71" s="157"/>
      <c r="E71" s="157"/>
      <c r="F71" s="157"/>
      <c r="G71" s="208"/>
      <c r="H71" s="245">
        <f>H67+H69+H70</f>
        <v>12322431565</v>
      </c>
      <c r="J71" s="161" t="s">
        <v>340</v>
      </c>
      <c r="K71" s="161"/>
      <c r="N71" s="161">
        <f>H70+L59</f>
        <v>12051567848</v>
      </c>
      <c r="O71" s="161"/>
      <c r="S71" s="161"/>
      <c r="V71" s="216"/>
      <c r="W71" s="216"/>
      <c r="X71" s="255">
        <f>SUM(X69:X70)</f>
        <v>495816</v>
      </c>
      <c r="Y71" s="216"/>
      <c r="Z71" s="161">
        <f>X71/2</f>
        <v>247908</v>
      </c>
      <c r="AA71" s="161" t="s">
        <v>349</v>
      </c>
    </row>
    <row r="72" spans="1:29" ht="15.75" thickTop="1">
      <c r="A72" s="157"/>
      <c r="B72" s="157"/>
      <c r="C72" s="156"/>
      <c r="D72" s="157"/>
      <c r="E72" s="157"/>
      <c r="F72" s="157"/>
      <c r="G72" s="208"/>
      <c r="H72" s="285"/>
      <c r="K72" s="161"/>
      <c r="O72" s="161"/>
      <c r="S72" s="161"/>
      <c r="V72" s="216"/>
      <c r="W72" s="216"/>
      <c r="X72" s="194"/>
      <c r="Y72" s="194"/>
      <c r="Z72" s="161">
        <f>AB39</f>
        <v>307456</v>
      </c>
      <c r="AA72" s="161" t="s">
        <v>351</v>
      </c>
    </row>
    <row r="73" spans="1:29" ht="15.75" thickBot="1">
      <c r="A73" s="157"/>
      <c r="B73" s="157"/>
      <c r="C73" s="156"/>
      <c r="D73" s="157"/>
      <c r="E73" s="157"/>
      <c r="F73" s="157"/>
      <c r="G73" s="208"/>
      <c r="H73" s="285"/>
      <c r="K73" s="161"/>
      <c r="O73" s="161"/>
      <c r="S73" s="161"/>
      <c r="V73" s="216"/>
      <c r="W73" s="216"/>
      <c r="Y73" s="216"/>
      <c r="Z73" s="198">
        <f>SUM(Z71:Z72)</f>
        <v>555364</v>
      </c>
      <c r="AA73" s="243" t="s">
        <v>37</v>
      </c>
    </row>
    <row r="74" spans="1:29" ht="16.5" thickTop="1">
      <c r="A74" s="157"/>
      <c r="B74" s="157"/>
      <c r="C74" s="286" t="s">
        <v>360</v>
      </c>
      <c r="D74" s="269"/>
      <c r="E74" s="269"/>
      <c r="F74" s="269"/>
      <c r="G74" s="271"/>
      <c r="H74" s="216"/>
      <c r="I74" s="216"/>
      <c r="K74" s="161"/>
      <c r="O74" s="161"/>
      <c r="S74" s="161"/>
      <c r="V74" s="216"/>
      <c r="W74" s="216"/>
      <c r="X74" s="157" t="s">
        <v>348</v>
      </c>
      <c r="Y74" s="194"/>
      <c r="Z74" s="157"/>
      <c r="AA74" s="163"/>
    </row>
    <row r="75" spans="1:29">
      <c r="A75" s="157"/>
      <c r="B75" s="157"/>
      <c r="C75" s="180"/>
      <c r="D75" s="270"/>
      <c r="E75" s="270"/>
      <c r="F75" s="270"/>
      <c r="G75" s="270"/>
      <c r="H75" s="287" t="s">
        <v>231</v>
      </c>
      <c r="I75" s="272"/>
      <c r="J75" s="287" t="s">
        <v>232</v>
      </c>
      <c r="K75" s="161"/>
      <c r="O75" s="161"/>
      <c r="S75" s="161"/>
      <c r="V75" s="216"/>
      <c r="W75" s="216"/>
      <c r="X75" s="161" t="s">
        <v>15</v>
      </c>
      <c r="Y75" s="216"/>
      <c r="Z75" s="288">
        <f>+Z73/H40</f>
        <v>1.3776542737990089E-5</v>
      </c>
      <c r="AA75" s="161"/>
      <c r="AB75" s="289"/>
    </row>
    <row r="76" spans="1:29">
      <c r="A76" s="157"/>
      <c r="B76" s="157"/>
      <c r="C76" s="180"/>
      <c r="D76" s="270"/>
      <c r="E76" s="270"/>
      <c r="F76" s="253" t="s">
        <v>5</v>
      </c>
      <c r="G76" s="270"/>
      <c r="H76" s="256">
        <f>ROUND(L67/H67,6)</f>
        <v>0.93810400000000005</v>
      </c>
      <c r="I76" s="253"/>
      <c r="J76" s="256">
        <v>1</v>
      </c>
      <c r="K76" s="161"/>
      <c r="O76" s="161"/>
      <c r="S76" s="161"/>
      <c r="V76" s="216"/>
      <c r="W76" s="216"/>
      <c r="X76" s="161" t="s">
        <v>84</v>
      </c>
      <c r="Y76" s="262"/>
      <c r="Z76" s="288">
        <f>AB55/H55</f>
        <v>0</v>
      </c>
      <c r="AA76" s="161"/>
    </row>
    <row r="77" spans="1:29" ht="15">
      <c r="A77" s="157"/>
      <c r="B77" s="157"/>
      <c r="C77" s="156"/>
      <c r="D77" s="157"/>
      <c r="E77" s="157"/>
      <c r="F77" s="157"/>
      <c r="G77" s="208"/>
      <c r="H77" s="285"/>
      <c r="K77" s="161"/>
      <c r="O77" s="161"/>
      <c r="S77" s="161"/>
      <c r="V77" s="216"/>
      <c r="W77" s="216"/>
      <c r="X77" s="161" t="s">
        <v>5</v>
      </c>
      <c r="Y77" s="262"/>
      <c r="Z77" s="161">
        <v>0</v>
      </c>
      <c r="AA77" s="161"/>
    </row>
    <row r="78" spans="1:29" ht="15">
      <c r="A78" s="157"/>
      <c r="B78" s="157"/>
      <c r="C78" s="156"/>
      <c r="D78" s="157"/>
      <c r="E78" s="157"/>
      <c r="F78" s="157"/>
      <c r="G78" s="208"/>
      <c r="H78" s="285"/>
      <c r="K78" s="161"/>
      <c r="O78" s="161"/>
      <c r="S78" s="161"/>
      <c r="V78" s="216"/>
      <c r="W78" s="216"/>
      <c r="X78" s="161" t="s">
        <v>5</v>
      </c>
      <c r="Y78" s="262"/>
      <c r="Z78" s="161">
        <v>0</v>
      </c>
      <c r="AA78" s="161"/>
    </row>
    <row r="79" spans="1:29" ht="15.75" thickBot="1">
      <c r="A79" s="157"/>
      <c r="B79" s="157"/>
      <c r="C79" s="156"/>
      <c r="D79" s="157"/>
      <c r="E79" s="157"/>
      <c r="F79" s="157"/>
      <c r="G79" s="208"/>
      <c r="H79" s="285"/>
      <c r="K79" s="161"/>
      <c r="O79" s="161"/>
      <c r="S79" s="161"/>
      <c r="V79" s="216"/>
      <c r="W79" s="216"/>
      <c r="X79" s="161" t="s">
        <v>358</v>
      </c>
      <c r="Y79" s="216"/>
      <c r="Z79" s="290">
        <f>(Z75+Z76+Z77+Z78)/4</f>
        <v>3.4441356844975222E-6</v>
      </c>
      <c r="AA79" s="267"/>
      <c r="AB79" s="268" t="s">
        <v>359</v>
      </c>
    </row>
    <row r="80" spans="1:29" ht="15.75" thickTop="1">
      <c r="A80" s="157"/>
      <c r="B80" s="157"/>
      <c r="C80" s="156"/>
      <c r="D80" s="157"/>
      <c r="E80" s="157"/>
      <c r="F80" s="157"/>
      <c r="G80" s="208"/>
      <c r="H80" s="285"/>
      <c r="K80" s="161"/>
      <c r="O80" s="161"/>
      <c r="S80" s="161"/>
    </row>
    <row r="81" spans="1:28" ht="15">
      <c r="A81" s="157"/>
      <c r="B81" s="157"/>
      <c r="C81" s="156"/>
      <c r="D81" s="157"/>
      <c r="E81" s="157"/>
      <c r="F81" s="157"/>
      <c r="G81" s="208"/>
      <c r="H81" s="285"/>
      <c r="K81" s="161"/>
      <c r="O81" s="161"/>
      <c r="S81" s="161"/>
      <c r="W81" s="161"/>
      <c r="AA81" s="161"/>
    </row>
    <row r="82" spans="1:28">
      <c r="A82" s="157"/>
      <c r="B82" s="157"/>
      <c r="C82" s="176" t="s">
        <v>368</v>
      </c>
      <c r="G82" s="238"/>
      <c r="K82" s="238"/>
      <c r="L82" s="180"/>
      <c r="O82" s="161"/>
      <c r="S82" s="161"/>
      <c r="W82" s="161"/>
      <c r="AA82" s="161"/>
      <c r="AB82" s="216"/>
    </row>
    <row r="83" spans="1:28">
      <c r="A83" s="157"/>
      <c r="B83" s="157"/>
      <c r="C83" s="161" t="s">
        <v>2</v>
      </c>
      <c r="G83" s="238" t="s">
        <v>327</v>
      </c>
      <c r="H83" s="161">
        <f>SUM(L83:AB83)</f>
        <v>2739119740.0000005</v>
      </c>
      <c r="K83" s="238" t="s">
        <v>327</v>
      </c>
      <c r="L83" s="185">
        <v>2451069824.9200153</v>
      </c>
      <c r="O83" s="238" t="s">
        <v>327</v>
      </c>
      <c r="P83" s="177">
        <v>146726968.68249798</v>
      </c>
      <c r="S83" s="238" t="s">
        <v>327</v>
      </c>
      <c r="T83" s="177">
        <v>141322946.3974871</v>
      </c>
      <c r="W83" s="161"/>
      <c r="X83" s="161">
        <v>0</v>
      </c>
      <c r="AA83" s="161"/>
      <c r="AB83" s="239">
        <v>0</v>
      </c>
    </row>
    <row r="84" spans="1:28">
      <c r="A84" s="157"/>
      <c r="B84" s="157"/>
      <c r="C84" s="161" t="s">
        <v>328</v>
      </c>
      <c r="G84" s="161"/>
      <c r="H84" s="161">
        <f t="shared" ref="H84:H90" si="3">SUM(L84:X84)</f>
        <v>0</v>
      </c>
      <c r="K84" s="161"/>
      <c r="L84" s="185">
        <v>0</v>
      </c>
      <c r="O84" s="161"/>
      <c r="S84" s="161"/>
      <c r="W84" s="161"/>
      <c r="X84" s="161">
        <v>0</v>
      </c>
      <c r="AA84" s="161"/>
    </row>
    <row r="85" spans="1:28">
      <c r="A85" s="157"/>
      <c r="B85" s="157"/>
      <c r="C85" s="161" t="s">
        <v>329</v>
      </c>
      <c r="G85" s="216"/>
      <c r="H85" s="161">
        <f t="shared" si="3"/>
        <v>13020641</v>
      </c>
      <c r="K85" s="161"/>
      <c r="L85" s="185">
        <v>13020641</v>
      </c>
      <c r="O85" s="161"/>
      <c r="S85" s="161"/>
      <c r="W85" s="161"/>
      <c r="AA85" s="161"/>
    </row>
    <row r="86" spans="1:28">
      <c r="A86" s="157"/>
      <c r="B86" s="157"/>
      <c r="C86" s="161" t="s">
        <v>330</v>
      </c>
      <c r="G86" s="216"/>
      <c r="H86" s="161">
        <f t="shared" si="3"/>
        <v>42531</v>
      </c>
      <c r="K86" s="161"/>
      <c r="L86" s="185">
        <v>42531</v>
      </c>
      <c r="O86" s="161"/>
      <c r="S86" s="161"/>
      <c r="W86" s="161"/>
      <c r="AA86" s="161"/>
    </row>
    <row r="87" spans="1:28">
      <c r="A87" s="157"/>
      <c r="B87" s="157"/>
      <c r="C87" s="161" t="s">
        <v>331</v>
      </c>
      <c r="G87" s="216"/>
      <c r="H87" s="161">
        <f t="shared" si="3"/>
        <v>6244525</v>
      </c>
      <c r="K87" s="161"/>
      <c r="L87" s="185">
        <v>996941</v>
      </c>
      <c r="O87" s="161"/>
      <c r="P87" s="291">
        <v>5247584</v>
      </c>
      <c r="S87" s="161"/>
      <c r="W87" s="161"/>
      <c r="AA87" s="161"/>
    </row>
    <row r="88" spans="1:28">
      <c r="A88" s="157"/>
      <c r="B88" s="157"/>
      <c r="C88" s="161" t="s">
        <v>332</v>
      </c>
      <c r="G88" s="216"/>
      <c r="H88" s="161">
        <f t="shared" si="3"/>
        <v>181055027</v>
      </c>
      <c r="K88" s="161"/>
      <c r="L88" s="185">
        <v>0</v>
      </c>
      <c r="O88" s="161"/>
      <c r="P88" s="291">
        <v>181055027</v>
      </c>
      <c r="S88" s="161"/>
      <c r="W88" s="161"/>
      <c r="AA88" s="161"/>
    </row>
    <row r="89" spans="1:28">
      <c r="A89" s="157"/>
      <c r="B89" s="157"/>
      <c r="C89" s="161" t="s">
        <v>333</v>
      </c>
      <c r="G89" s="216"/>
      <c r="H89" s="216">
        <f t="shared" si="3"/>
        <v>70447481</v>
      </c>
      <c r="I89" s="216"/>
      <c r="J89" s="216"/>
      <c r="K89" s="216"/>
      <c r="L89" s="240">
        <v>70447481</v>
      </c>
      <c r="M89" s="216"/>
      <c r="O89" s="161"/>
      <c r="P89" s="216"/>
      <c r="Q89" s="216"/>
      <c r="R89" s="216"/>
      <c r="S89" s="216"/>
      <c r="T89" s="216"/>
      <c r="U89" s="216"/>
      <c r="V89" s="216"/>
      <c r="W89" s="216"/>
      <c r="X89" s="216"/>
      <c r="Y89" s="216"/>
      <c r="Z89" s="216"/>
      <c r="AA89" s="216"/>
      <c r="AB89" s="216"/>
    </row>
    <row r="90" spans="1:28">
      <c r="A90" s="157"/>
      <c r="B90" s="157"/>
      <c r="G90" s="216"/>
      <c r="H90" s="216">
        <f t="shared" si="3"/>
        <v>0</v>
      </c>
      <c r="I90" s="216"/>
      <c r="J90" s="216"/>
      <c r="K90" s="216"/>
      <c r="L90" s="242"/>
      <c r="M90" s="216"/>
      <c r="O90" s="161"/>
      <c r="P90" s="241"/>
      <c r="S90" s="161"/>
      <c r="T90" s="241"/>
      <c r="W90" s="161"/>
      <c r="X90" s="241"/>
      <c r="AA90" s="161"/>
      <c r="AB90" s="241"/>
    </row>
    <row r="91" spans="1:28" ht="13.5" thickBot="1">
      <c r="A91" s="157"/>
      <c r="B91" s="157"/>
      <c r="C91" s="243" t="s">
        <v>334</v>
      </c>
      <c r="G91" s="216"/>
      <c r="H91" s="292">
        <f>SUM(H83:H90)</f>
        <v>3009929945.0000005</v>
      </c>
      <c r="K91" s="161"/>
      <c r="L91" s="292">
        <f>SUM(L83:L90)</f>
        <v>2535577418.9200153</v>
      </c>
      <c r="O91" s="161"/>
      <c r="P91" s="292">
        <f>SUM(P83:P90)</f>
        <v>333029579.68249798</v>
      </c>
      <c r="S91" s="161"/>
      <c r="T91" s="292">
        <f>SUM(T83:T90)</f>
        <v>141322946.3974871</v>
      </c>
      <c r="W91" s="161"/>
      <c r="X91" s="292">
        <f>SUM(X83:X90)</f>
        <v>0</v>
      </c>
      <c r="AA91" s="161"/>
      <c r="AB91" s="292">
        <f>SUM(AB83:AB90)</f>
        <v>0</v>
      </c>
    </row>
    <row r="92" spans="1:28" ht="15.75" thickTop="1">
      <c r="A92" s="157"/>
      <c r="B92" s="157"/>
      <c r="C92" s="156"/>
      <c r="D92" s="157"/>
      <c r="E92" s="157"/>
      <c r="F92" s="157"/>
      <c r="G92" s="208"/>
      <c r="H92" s="285"/>
      <c r="K92" s="161"/>
      <c r="O92" s="161"/>
      <c r="S92" s="161"/>
      <c r="W92" s="161"/>
      <c r="AA92" s="161"/>
    </row>
    <row r="93" spans="1:28" ht="10.5" customHeight="1">
      <c r="A93" s="157"/>
      <c r="B93" s="157"/>
      <c r="C93" s="156"/>
      <c r="D93" s="157"/>
      <c r="E93" s="157"/>
      <c r="F93" s="157"/>
      <c r="G93" s="208"/>
      <c r="K93" s="161"/>
      <c r="O93" s="161"/>
      <c r="S93" s="161"/>
      <c r="W93" s="161"/>
      <c r="AA93" s="161"/>
    </row>
    <row r="94" spans="1:28" ht="15.75">
      <c r="A94" s="157"/>
      <c r="B94" s="157"/>
      <c r="C94" s="286" t="s">
        <v>341</v>
      </c>
      <c r="D94" s="157"/>
      <c r="E94" s="157"/>
      <c r="F94" s="157"/>
      <c r="H94" s="157"/>
      <c r="K94" s="161"/>
      <c r="L94" s="279"/>
      <c r="O94" s="161"/>
      <c r="P94" s="249"/>
      <c r="Q94" s="216"/>
      <c r="R94" s="216"/>
      <c r="S94" s="216"/>
      <c r="T94" s="216"/>
      <c r="U94" s="216"/>
    </row>
    <row r="95" spans="1:28">
      <c r="A95" s="157"/>
      <c r="B95" s="157"/>
      <c r="C95" s="157"/>
      <c r="D95" s="157"/>
      <c r="E95" s="157"/>
      <c r="F95" s="157"/>
      <c r="H95" s="287" t="s">
        <v>231</v>
      </c>
      <c r="I95" s="208"/>
      <c r="J95" s="287" t="s">
        <v>232</v>
      </c>
      <c r="K95" s="161"/>
      <c r="L95" s="287" t="s">
        <v>346</v>
      </c>
      <c r="O95" s="161"/>
      <c r="P95" s="252"/>
      <c r="Q95" s="216"/>
      <c r="R95" s="252"/>
      <c r="S95" s="216"/>
      <c r="T95" s="223"/>
      <c r="U95" s="216"/>
    </row>
    <row r="96" spans="1:28">
      <c r="A96" s="157"/>
      <c r="B96" s="157"/>
      <c r="C96" s="157"/>
      <c r="D96" s="157"/>
      <c r="E96" s="157"/>
      <c r="F96" s="157"/>
      <c r="G96" s="253" t="s">
        <v>348</v>
      </c>
      <c r="H96" s="178"/>
      <c r="J96" s="157"/>
      <c r="K96" s="161"/>
      <c r="O96" s="161"/>
      <c r="P96" s="254"/>
      <c r="Q96" s="216"/>
      <c r="R96" s="216"/>
      <c r="S96" s="216"/>
      <c r="T96" s="216"/>
      <c r="U96" s="216"/>
    </row>
    <row r="97" spans="1:30">
      <c r="A97" s="157"/>
      <c r="B97" s="157"/>
      <c r="C97" s="157"/>
      <c r="D97" s="157"/>
      <c r="E97" s="157"/>
      <c r="F97" s="157"/>
      <c r="G97" s="253" t="s">
        <v>350</v>
      </c>
      <c r="H97" s="256">
        <f>L40/H40</f>
        <v>0.92408101070090476</v>
      </c>
      <c r="J97" s="256">
        <v>0.91518600000000006</v>
      </c>
      <c r="K97" s="157"/>
      <c r="L97" s="256">
        <f>+H97-J97</f>
        <v>8.8950107009047041E-3</v>
      </c>
      <c r="M97" s="157"/>
      <c r="O97" s="157"/>
      <c r="P97" s="157" t="s">
        <v>369</v>
      </c>
      <c r="Q97" s="157"/>
      <c r="R97" s="157"/>
      <c r="S97" s="157"/>
      <c r="T97" s="293">
        <f>H70</f>
        <v>9312448108</v>
      </c>
    </row>
    <row r="98" spans="1:30">
      <c r="A98" s="157"/>
      <c r="B98" s="157"/>
      <c r="C98" s="157"/>
      <c r="D98" s="157"/>
      <c r="E98" s="157"/>
      <c r="F98" s="157"/>
      <c r="G98" s="253" t="s">
        <v>352</v>
      </c>
      <c r="H98" s="256">
        <f>L55/H55</f>
        <v>0.96282049481506582</v>
      </c>
      <c r="J98" s="256">
        <v>0.96192599999999995</v>
      </c>
      <c r="K98" s="161"/>
      <c r="L98" s="256">
        <f>+H98-J98</f>
        <v>8.9449481506587158E-4</v>
      </c>
      <c r="O98" s="161"/>
      <c r="P98" s="254"/>
      <c r="Q98" s="216"/>
      <c r="R98" s="216"/>
      <c r="S98" s="216"/>
      <c r="T98" s="216"/>
      <c r="U98" s="216"/>
    </row>
    <row r="99" spans="1:30">
      <c r="A99" s="157"/>
      <c r="B99" s="157"/>
      <c r="C99" s="157"/>
      <c r="D99" s="157"/>
      <c r="E99" s="157"/>
      <c r="F99" s="157"/>
      <c r="G99" s="253" t="s">
        <v>353</v>
      </c>
      <c r="H99" s="294">
        <f>L91/H91</f>
        <v>0.84240413074464926</v>
      </c>
      <c r="J99" s="294">
        <v>0.94698800000000005</v>
      </c>
      <c r="K99" s="157"/>
      <c r="L99" s="294">
        <f>+H99-J99</f>
        <v>-0.10458386925535079</v>
      </c>
      <c r="M99" s="157"/>
      <c r="O99" s="157"/>
      <c r="P99" s="252"/>
      <c r="Q99" s="216"/>
      <c r="R99" s="244" t="s">
        <v>367</v>
      </c>
      <c r="S99" s="216"/>
      <c r="T99" s="223">
        <f>T97+H83</f>
        <v>12051567848</v>
      </c>
      <c r="U99" s="216"/>
    </row>
    <row r="100" spans="1:30">
      <c r="A100" s="157"/>
      <c r="B100" s="157"/>
      <c r="C100" s="157"/>
      <c r="D100" s="157"/>
      <c r="E100" s="157"/>
      <c r="F100" s="157"/>
      <c r="G100" s="157"/>
      <c r="H100" s="256">
        <f>SUM(H97:H99)</f>
        <v>2.7293056362606198</v>
      </c>
      <c r="I100" s="254"/>
      <c r="J100" s="256">
        <f>SUM(J97:J99)</f>
        <v>2.8241000000000001</v>
      </c>
      <c r="K100" s="157"/>
      <c r="L100" s="256">
        <f>SUM(L97:L99)</f>
        <v>-9.4794363739380216E-2</v>
      </c>
      <c r="M100" s="157"/>
      <c r="Q100" s="216"/>
      <c r="R100" s="214" t="s">
        <v>340</v>
      </c>
      <c r="S100" s="216"/>
      <c r="T100" s="223">
        <f>T97+L83</f>
        <v>11763517932.920015</v>
      </c>
      <c r="U100" s="216"/>
    </row>
    <row r="101" spans="1:30">
      <c r="A101" s="157"/>
      <c r="B101" s="157"/>
      <c r="C101" s="157"/>
      <c r="D101" s="157"/>
      <c r="E101" s="157"/>
      <c r="F101" s="157"/>
      <c r="G101" s="157"/>
      <c r="H101" s="263" t="s">
        <v>354</v>
      </c>
      <c r="I101" s="257"/>
      <c r="J101" s="263" t="s">
        <v>354</v>
      </c>
      <c r="K101" s="161"/>
      <c r="L101" s="263" t="s">
        <v>354</v>
      </c>
      <c r="O101" s="161"/>
      <c r="P101" s="254"/>
      <c r="Q101" s="216"/>
      <c r="R101" s="216"/>
      <c r="S101" s="216"/>
      <c r="T101" s="216"/>
      <c r="U101" s="216"/>
    </row>
    <row r="102" spans="1:30" ht="13.5" thickBot="1">
      <c r="A102" s="157"/>
      <c r="B102" s="157"/>
      <c r="C102" s="157"/>
      <c r="D102" s="157"/>
      <c r="E102" s="157"/>
      <c r="F102" s="157"/>
      <c r="G102" s="208"/>
      <c r="H102" s="295">
        <f>H100/3</f>
        <v>0.90976854542020658</v>
      </c>
      <c r="I102" s="254"/>
      <c r="J102" s="295">
        <f>J100/3</f>
        <v>0.94136666666666668</v>
      </c>
      <c r="K102" s="161"/>
      <c r="L102" s="295">
        <f>L100/3</f>
        <v>-3.1598121246460074E-2</v>
      </c>
      <c r="O102" s="161"/>
      <c r="P102" s="252"/>
      <c r="Q102" s="216"/>
      <c r="R102" s="252"/>
      <c r="S102" s="216"/>
      <c r="T102" s="223"/>
      <c r="U102" s="216"/>
    </row>
    <row r="103" spans="1:30" ht="13.5" thickTop="1">
      <c r="A103" s="157"/>
      <c r="B103" s="157"/>
      <c r="C103" s="158"/>
      <c r="D103" s="158"/>
      <c r="E103" s="158"/>
      <c r="F103" s="158"/>
      <c r="G103" s="181"/>
      <c r="H103" s="178" t="s">
        <v>356</v>
      </c>
      <c r="J103" s="178" t="s">
        <v>356</v>
      </c>
      <c r="K103" s="161"/>
      <c r="L103" s="178" t="s">
        <v>356</v>
      </c>
      <c r="O103" s="161"/>
      <c r="P103" s="254"/>
      <c r="Q103" s="216"/>
      <c r="R103" s="216"/>
      <c r="S103" s="216"/>
      <c r="T103" s="216"/>
      <c r="U103" s="216"/>
    </row>
    <row r="104" spans="1:30" ht="1.5" hidden="1" customHeight="1" thickTop="1">
      <c r="A104" s="157"/>
      <c r="B104" s="157"/>
      <c r="C104" s="158"/>
      <c r="D104" s="269"/>
      <c r="E104" s="270"/>
      <c r="F104" s="269"/>
      <c r="G104" s="271"/>
      <c r="H104" s="216"/>
      <c r="I104" s="216"/>
      <c r="J104" s="295">
        <f>J102/3</f>
        <v>0.31378888888888889</v>
      </c>
      <c r="K104" s="216"/>
      <c r="L104" s="223"/>
      <c r="M104" s="216"/>
      <c r="N104" s="216"/>
      <c r="O104" s="216"/>
      <c r="P104" s="252"/>
      <c r="Q104" s="216"/>
      <c r="R104" s="252"/>
      <c r="S104" s="216"/>
      <c r="T104" s="223"/>
      <c r="U104" s="216"/>
    </row>
    <row r="105" spans="1:30">
      <c r="A105" s="157"/>
      <c r="B105" s="157"/>
      <c r="K105" s="216"/>
      <c r="L105" s="216"/>
      <c r="M105" s="216"/>
      <c r="N105" s="216"/>
      <c r="O105" s="216"/>
      <c r="P105" s="254"/>
      <c r="Q105" s="216"/>
      <c r="R105" s="216"/>
      <c r="S105" s="216"/>
      <c r="T105" s="216"/>
      <c r="U105" s="216"/>
      <c r="V105" s="216"/>
      <c r="W105" s="216"/>
      <c r="X105" s="216"/>
      <c r="AA105" s="216"/>
    </row>
    <row r="106" spans="1:30" s="274" customFormat="1" ht="56.25" customHeight="1">
      <c r="A106" s="203"/>
      <c r="B106" s="203"/>
      <c r="C106" s="353" t="s">
        <v>361</v>
      </c>
      <c r="D106" s="354"/>
      <c r="E106" s="354"/>
      <c r="F106" s="354"/>
      <c r="G106" s="354"/>
      <c r="H106" s="354"/>
      <c r="I106" s="354"/>
      <c r="J106" s="354"/>
      <c r="K106" s="354"/>
      <c r="L106" s="354"/>
      <c r="M106" s="355"/>
      <c r="N106" s="355"/>
      <c r="O106" s="355"/>
      <c r="P106" s="355"/>
      <c r="Q106" s="355"/>
      <c r="R106" s="355"/>
      <c r="S106" s="355"/>
      <c r="T106" s="355"/>
      <c r="U106" s="355"/>
      <c r="V106" s="355"/>
      <c r="W106" s="355"/>
      <c r="X106" s="355"/>
      <c r="Y106" s="355"/>
      <c r="Z106" s="355"/>
      <c r="AA106" s="355"/>
      <c r="AB106" s="355"/>
      <c r="AC106" s="355"/>
      <c r="AD106" s="355"/>
    </row>
    <row r="107" spans="1:30">
      <c r="A107" s="157"/>
      <c r="B107" s="157"/>
      <c r="C107" s="158"/>
      <c r="D107" s="269"/>
      <c r="E107" s="269"/>
      <c r="F107" s="269"/>
      <c r="G107" s="269"/>
      <c r="H107" s="194"/>
      <c r="I107" s="194"/>
      <c r="J107" s="216"/>
      <c r="K107" s="194"/>
      <c r="L107" s="216"/>
      <c r="M107" s="194"/>
      <c r="N107" s="216"/>
      <c r="O107" s="194"/>
      <c r="P107" s="252"/>
      <c r="Q107" s="216"/>
      <c r="R107" s="252"/>
      <c r="S107" s="216"/>
      <c r="T107" s="223"/>
      <c r="U107" s="216"/>
      <c r="V107" s="216"/>
      <c r="W107" s="216"/>
      <c r="X107" s="216"/>
      <c r="AA107" s="216"/>
    </row>
    <row r="108" spans="1:30" s="274" customFormat="1">
      <c r="A108" s="203"/>
      <c r="B108" s="203"/>
      <c r="C108" s="353" t="s">
        <v>362</v>
      </c>
      <c r="D108" s="354"/>
      <c r="E108" s="354"/>
      <c r="F108" s="354"/>
      <c r="G108" s="354"/>
      <c r="H108" s="354"/>
      <c r="I108" s="354"/>
      <c r="J108" s="354"/>
      <c r="K108" s="354"/>
      <c r="L108" s="354"/>
      <c r="M108" s="355"/>
      <c r="N108" s="355"/>
      <c r="O108" s="355"/>
      <c r="P108" s="355"/>
      <c r="Q108" s="355"/>
      <c r="R108" s="355"/>
      <c r="S108" s="355"/>
      <c r="T108" s="355"/>
      <c r="U108" s="355"/>
      <c r="V108" s="355"/>
      <c r="W108" s="355"/>
      <c r="X108" s="355"/>
      <c r="Y108" s="355"/>
      <c r="Z108" s="355"/>
      <c r="AA108" s="355"/>
      <c r="AB108" s="355"/>
      <c r="AC108" s="355"/>
      <c r="AD108" s="355"/>
    </row>
    <row r="109" spans="1:30">
      <c r="C109" s="180"/>
      <c r="D109" s="270"/>
      <c r="E109" s="270"/>
      <c r="F109" s="270"/>
      <c r="G109" s="271"/>
      <c r="H109" s="216"/>
      <c r="I109" s="216"/>
      <c r="J109" s="270"/>
      <c r="K109" s="275"/>
      <c r="L109" s="216"/>
      <c r="M109" s="216"/>
      <c r="N109" s="216"/>
      <c r="O109" s="275"/>
      <c r="P109" s="252"/>
      <c r="Q109" s="216"/>
      <c r="R109" s="252"/>
      <c r="S109" s="216"/>
      <c r="T109" s="223"/>
      <c r="U109" s="216"/>
      <c r="V109" s="216"/>
      <c r="W109" s="216"/>
      <c r="X109" s="216"/>
      <c r="AA109" s="216"/>
    </row>
    <row r="110" spans="1:30">
      <c r="D110" s="216"/>
      <c r="E110" s="216"/>
      <c r="F110" s="216"/>
      <c r="G110" s="275"/>
      <c r="H110" s="216"/>
      <c r="I110" s="216"/>
      <c r="J110" s="270"/>
      <c r="K110" s="275"/>
      <c r="L110" s="270"/>
      <c r="M110" s="216"/>
      <c r="N110" s="216"/>
      <c r="O110" s="275"/>
      <c r="P110" s="254"/>
      <c r="Q110" s="216"/>
      <c r="R110" s="216"/>
      <c r="S110" s="216"/>
      <c r="T110" s="216"/>
      <c r="U110" s="216"/>
      <c r="V110" s="216"/>
      <c r="W110" s="216"/>
      <c r="X110" s="216"/>
      <c r="AA110" s="216"/>
    </row>
    <row r="111" spans="1:30">
      <c r="D111" s="216"/>
      <c r="E111" s="216"/>
      <c r="F111" s="216"/>
      <c r="G111" s="275"/>
      <c r="H111" s="216"/>
      <c r="I111" s="216"/>
      <c r="J111" s="254"/>
      <c r="K111" s="275"/>
      <c r="L111" s="270"/>
      <c r="M111" s="216"/>
      <c r="N111" s="270"/>
      <c r="O111" s="275"/>
      <c r="P111" s="252"/>
      <c r="Q111" s="216"/>
      <c r="R111" s="252"/>
      <c r="S111" s="216"/>
      <c r="T111" s="223"/>
      <c r="U111" s="216"/>
      <c r="V111" s="216"/>
      <c r="W111" s="216"/>
      <c r="X111" s="216"/>
      <c r="AA111" s="216"/>
    </row>
    <row r="112" spans="1:30">
      <c r="D112" s="216"/>
      <c r="E112" s="216"/>
      <c r="F112" s="216"/>
      <c r="G112" s="275"/>
      <c r="H112" s="216"/>
      <c r="I112" s="216"/>
      <c r="J112" s="270"/>
      <c r="K112" s="275"/>
      <c r="L112" s="270"/>
      <c r="M112" s="216"/>
      <c r="N112" s="270"/>
      <c r="O112" s="275"/>
      <c r="P112" s="254"/>
      <c r="Q112" s="216"/>
      <c r="R112" s="216"/>
      <c r="S112" s="216"/>
      <c r="T112" s="216"/>
      <c r="U112" s="216"/>
      <c r="V112" s="216"/>
      <c r="W112" s="216"/>
      <c r="X112" s="216"/>
      <c r="AA112" s="216"/>
    </row>
    <row r="113" spans="4:27">
      <c r="D113" s="216"/>
      <c r="E113" s="216"/>
      <c r="F113" s="216"/>
      <c r="G113" s="275"/>
      <c r="H113" s="216"/>
      <c r="I113" s="216"/>
      <c r="J113" s="270"/>
      <c r="K113" s="275"/>
      <c r="L113" s="270"/>
      <c r="M113" s="216"/>
      <c r="N113" s="270"/>
      <c r="O113" s="275"/>
      <c r="P113" s="252"/>
      <c r="Q113" s="216"/>
      <c r="R113" s="252"/>
      <c r="S113" s="216"/>
      <c r="T113" s="223"/>
      <c r="U113" s="216"/>
      <c r="V113" s="216"/>
      <c r="W113" s="216"/>
      <c r="X113" s="216"/>
      <c r="AA113" s="216"/>
    </row>
    <row r="114" spans="4:27">
      <c r="D114" s="216"/>
      <c r="E114" s="216"/>
      <c r="F114" s="216"/>
      <c r="G114" s="275"/>
      <c r="H114" s="216"/>
      <c r="I114" s="216"/>
      <c r="J114" s="270"/>
      <c r="K114" s="275"/>
      <c r="L114" s="270"/>
      <c r="M114" s="216"/>
      <c r="N114" s="270"/>
      <c r="O114" s="275"/>
      <c r="P114" s="254"/>
      <c r="Q114" s="216"/>
      <c r="R114" s="216"/>
      <c r="S114" s="216"/>
      <c r="T114" s="216"/>
      <c r="U114" s="216"/>
      <c r="V114" s="216"/>
      <c r="W114" s="216"/>
      <c r="X114" s="216"/>
      <c r="AA114" s="216"/>
    </row>
    <row r="115" spans="4:27">
      <c r="D115" s="216"/>
      <c r="E115" s="216"/>
      <c r="F115" s="216"/>
      <c r="G115" s="275"/>
      <c r="H115" s="216"/>
      <c r="I115" s="216"/>
      <c r="J115" s="270"/>
      <c r="K115" s="275"/>
      <c r="L115" s="216"/>
      <c r="M115" s="216"/>
      <c r="N115" s="270"/>
      <c r="O115" s="275"/>
      <c r="P115" s="252"/>
      <c r="Q115" s="216"/>
      <c r="R115" s="252"/>
      <c r="S115" s="216"/>
      <c r="T115" s="223"/>
      <c r="U115" s="216"/>
      <c r="V115" s="216"/>
      <c r="W115" s="216"/>
      <c r="X115" s="216"/>
      <c r="AA115" s="216"/>
    </row>
    <row r="116" spans="4:27">
      <c r="D116" s="216"/>
      <c r="E116" s="216"/>
      <c r="F116" s="216"/>
      <c r="G116" s="275"/>
      <c r="H116" s="216"/>
      <c r="I116" s="216"/>
      <c r="J116" s="270"/>
      <c r="K116" s="275"/>
      <c r="L116" s="270"/>
      <c r="M116" s="216"/>
      <c r="N116" s="270"/>
      <c r="O116" s="275"/>
      <c r="P116" s="254"/>
      <c r="Q116" s="216"/>
      <c r="R116" s="216"/>
      <c r="S116" s="216"/>
      <c r="T116" s="216"/>
      <c r="U116" s="216"/>
      <c r="V116" s="216"/>
      <c r="W116" s="216"/>
      <c r="X116" s="216"/>
      <c r="AA116" s="216"/>
    </row>
    <row r="117" spans="4:27">
      <c r="D117" s="216"/>
      <c r="E117" s="216"/>
      <c r="F117" s="216"/>
      <c r="G117" s="275"/>
      <c r="H117" s="216"/>
      <c r="I117" s="216"/>
      <c r="J117" s="270"/>
      <c r="K117" s="275"/>
      <c r="L117" s="270"/>
      <c r="M117" s="216"/>
      <c r="N117" s="270"/>
      <c r="O117" s="275"/>
      <c r="P117" s="254"/>
      <c r="Q117" s="216"/>
      <c r="R117" s="252"/>
      <c r="S117" s="216"/>
      <c r="T117" s="223"/>
      <c r="U117" s="216"/>
      <c r="V117" s="216"/>
      <c r="W117" s="216"/>
      <c r="X117" s="216"/>
      <c r="AA117" s="216"/>
    </row>
    <row r="118" spans="4:27">
      <c r="D118" s="216"/>
      <c r="E118" s="216"/>
      <c r="F118" s="216"/>
      <c r="G118" s="275"/>
      <c r="H118" s="216"/>
      <c r="I118" s="216"/>
      <c r="J118" s="270"/>
      <c r="K118" s="275"/>
      <c r="L118" s="270"/>
      <c r="M118" s="216"/>
      <c r="N118" s="270"/>
      <c r="O118" s="275"/>
      <c r="P118" s="254"/>
      <c r="Q118" s="270"/>
      <c r="R118" s="270"/>
      <c r="S118" s="270"/>
      <c r="T118" s="270"/>
      <c r="U118" s="270"/>
      <c r="V118" s="270"/>
      <c r="W118" s="270"/>
      <c r="X118" s="216"/>
      <c r="AA118" s="216"/>
    </row>
    <row r="119" spans="4:27">
      <c r="D119" s="216"/>
      <c r="E119" s="216"/>
      <c r="F119" s="216"/>
      <c r="G119" s="275"/>
      <c r="H119" s="216"/>
      <c r="I119" s="216"/>
      <c r="J119" s="270"/>
      <c r="K119" s="275"/>
      <c r="L119" s="270"/>
      <c r="M119" s="216"/>
      <c r="N119" s="270"/>
      <c r="O119" s="275"/>
      <c r="P119" s="254"/>
      <c r="Q119" s="270"/>
      <c r="R119" s="276"/>
      <c r="S119" s="270"/>
      <c r="T119" s="277"/>
      <c r="U119" s="270"/>
      <c r="V119" s="270"/>
      <c r="W119" s="270"/>
      <c r="X119" s="216"/>
      <c r="AA119" s="216"/>
    </row>
    <row r="120" spans="4:27">
      <c r="D120" s="216"/>
      <c r="E120" s="216"/>
      <c r="F120" s="216"/>
      <c r="G120" s="275"/>
      <c r="H120" s="216"/>
      <c r="I120" s="216"/>
      <c r="J120" s="216"/>
      <c r="K120" s="275"/>
      <c r="L120" s="241"/>
      <c r="M120" s="216"/>
      <c r="N120" s="241"/>
      <c r="O120" s="275"/>
      <c r="P120" s="254"/>
      <c r="Q120" s="270"/>
      <c r="R120" s="270"/>
      <c r="S120" s="270"/>
      <c r="T120" s="270"/>
      <c r="U120" s="270"/>
      <c r="V120" s="270"/>
      <c r="W120" s="270"/>
      <c r="X120" s="216"/>
      <c r="AA120" s="216"/>
    </row>
    <row r="121" spans="4:27">
      <c r="D121" s="216"/>
      <c r="E121" s="216"/>
      <c r="F121" s="216"/>
      <c r="G121" s="275"/>
      <c r="H121" s="216"/>
      <c r="I121" s="216"/>
      <c r="J121" s="216"/>
      <c r="K121" s="275"/>
      <c r="L121" s="216"/>
      <c r="M121" s="216"/>
      <c r="N121" s="216"/>
      <c r="O121" s="275"/>
      <c r="P121" s="254"/>
      <c r="X121" s="216"/>
    </row>
    <row r="122" spans="4:27">
      <c r="D122" s="216"/>
      <c r="E122" s="216"/>
      <c r="F122" s="216"/>
      <c r="G122" s="275"/>
      <c r="H122" s="216"/>
      <c r="I122" s="216"/>
      <c r="J122" s="216"/>
      <c r="K122" s="275"/>
      <c r="L122" s="216"/>
      <c r="M122" s="216"/>
      <c r="N122" s="216"/>
      <c r="O122" s="275"/>
      <c r="P122" s="254"/>
      <c r="X122" s="216"/>
    </row>
    <row r="123" spans="4:27">
      <c r="D123" s="216"/>
      <c r="E123" s="216"/>
      <c r="F123" s="216"/>
      <c r="G123" s="275"/>
      <c r="H123" s="216"/>
      <c r="I123" s="216"/>
      <c r="J123" s="270"/>
      <c r="K123" s="275"/>
      <c r="L123" s="270"/>
      <c r="M123" s="216"/>
      <c r="N123" s="216"/>
      <c r="O123" s="275"/>
      <c r="X123" s="216"/>
    </row>
    <row r="124" spans="4:27">
      <c r="D124" s="216"/>
      <c r="E124" s="216"/>
      <c r="F124" s="216"/>
      <c r="G124" s="275"/>
      <c r="H124" s="216"/>
      <c r="I124" s="216"/>
      <c r="J124" s="270"/>
      <c r="K124" s="275"/>
      <c r="L124" s="216"/>
      <c r="M124" s="216"/>
      <c r="N124" s="216"/>
      <c r="O124" s="275"/>
      <c r="X124" s="216"/>
    </row>
    <row r="125" spans="4:27">
      <c r="D125" s="216"/>
      <c r="E125" s="216"/>
      <c r="F125" s="216"/>
      <c r="G125" s="275"/>
      <c r="H125" s="216"/>
      <c r="I125" s="216"/>
      <c r="J125" s="270"/>
      <c r="K125" s="275"/>
      <c r="L125" s="216"/>
      <c r="M125" s="216"/>
      <c r="N125" s="216"/>
      <c r="O125" s="275"/>
      <c r="X125" s="216"/>
    </row>
    <row r="126" spans="4:27">
      <c r="D126" s="216"/>
      <c r="E126" s="216"/>
      <c r="F126" s="216"/>
      <c r="G126" s="275"/>
      <c r="H126" s="216"/>
      <c r="I126" s="216"/>
      <c r="J126" s="270"/>
      <c r="K126" s="275"/>
      <c r="L126" s="216"/>
      <c r="M126" s="216"/>
      <c r="N126" s="270"/>
      <c r="O126" s="275"/>
      <c r="X126" s="216"/>
    </row>
    <row r="127" spans="4:27">
      <c r="D127" s="216"/>
      <c r="E127" s="216"/>
      <c r="F127" s="216"/>
      <c r="G127" s="275"/>
      <c r="H127" s="216"/>
      <c r="I127" s="216"/>
      <c r="J127" s="270"/>
      <c r="K127" s="275"/>
      <c r="L127" s="270"/>
      <c r="M127" s="216"/>
      <c r="N127" s="270"/>
      <c r="O127" s="275"/>
    </row>
    <row r="128" spans="4:27">
      <c r="D128" s="216"/>
      <c r="E128" s="216"/>
      <c r="F128" s="216"/>
      <c r="G128" s="275"/>
      <c r="H128" s="216"/>
      <c r="I128" s="216"/>
      <c r="J128" s="216"/>
      <c r="K128" s="275"/>
      <c r="L128" s="241"/>
      <c r="M128" s="216"/>
      <c r="N128" s="241"/>
      <c r="O128" s="275"/>
    </row>
    <row r="129" spans="4:15">
      <c r="D129" s="216"/>
      <c r="E129" s="216"/>
      <c r="F129" s="216"/>
      <c r="G129" s="275"/>
      <c r="H129" s="216"/>
      <c r="I129" s="216"/>
      <c r="J129" s="216"/>
      <c r="K129" s="275"/>
      <c r="L129" s="216"/>
      <c r="M129" s="216"/>
      <c r="N129" s="216"/>
      <c r="O129" s="275"/>
    </row>
    <row r="130" spans="4:15">
      <c r="D130" s="216"/>
      <c r="E130" s="216"/>
      <c r="F130" s="216"/>
      <c r="G130" s="275"/>
      <c r="H130" s="216"/>
      <c r="I130" s="216"/>
      <c r="J130" s="216"/>
      <c r="K130" s="275"/>
      <c r="L130" s="216"/>
      <c r="M130" s="216"/>
      <c r="N130" s="216"/>
      <c r="O130" s="275"/>
    </row>
    <row r="134" spans="4:15">
      <c r="L134" s="216"/>
    </row>
    <row r="135" spans="4:15">
      <c r="L135" s="216"/>
    </row>
    <row r="136" spans="4:15">
      <c r="L136" s="241"/>
    </row>
  </sheetData>
  <mergeCells count="3">
    <mergeCell ref="X5:Z5"/>
    <mergeCell ref="C106:AD106"/>
    <mergeCell ref="C108:AD108"/>
  </mergeCells>
  <pageMargins left="0" right="0" top="0" bottom="0.5" header="0.5" footer="0.3"/>
  <pageSetup scale="48" fitToHeight="2" orientation="landscape" r:id="rId1"/>
  <headerFooter alignWithMargins="0">
    <oddFooter>&amp;L&amp;"Arial MT,Bold"&amp;16&amp;KFF0000A1&amp;CPage &amp;P of &amp;N&amp;R&amp;Z&amp;F&amp;A</oddFooter>
  </headerFooter>
  <rowBreaks count="1" manualBreakCount="1">
    <brk id="81" max="2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G123"/>
  <sheetViews>
    <sheetView defaultGridColor="0" colorId="22" zoomScale="85" zoomScaleNormal="85" workbookViewId="0">
      <pane xSplit="7" ySplit="8" topLeftCell="H9" activePane="bottomRight" state="frozen"/>
      <selection activeCell="AA44" sqref="AA44"/>
      <selection pane="topRight" activeCell="AA44" sqref="AA44"/>
      <selection pane="bottomLeft" activeCell="AA44" sqref="AA44"/>
      <selection pane="bottomRight" activeCell="AA44" sqref="AA44"/>
    </sheetView>
  </sheetViews>
  <sheetFormatPr defaultRowHeight="12.75"/>
  <cols>
    <col min="1" max="2" width="10.7109375" style="161" customWidth="1"/>
    <col min="3" max="3" width="27.42578125" style="161" customWidth="1"/>
    <col min="4" max="4" width="5.5703125" style="161" customWidth="1"/>
    <col min="5" max="5" width="14.5703125" style="161" bestFit="1" customWidth="1"/>
    <col min="6" max="6" width="6.42578125" style="161" bestFit="1" customWidth="1"/>
    <col min="7" max="7" width="3.5703125" style="165" customWidth="1"/>
    <col min="8" max="8" width="17" style="161" customWidth="1"/>
    <col min="9" max="9" width="3.42578125" style="161" customWidth="1"/>
    <col min="10" max="10" width="18.28515625" style="161" bestFit="1" customWidth="1"/>
    <col min="11" max="11" width="3.140625" style="165" customWidth="1"/>
    <col min="12" max="12" width="16.28515625" style="161" customWidth="1"/>
    <col min="13" max="13" width="1.28515625" style="161" customWidth="1"/>
    <col min="14" max="14" width="15.5703125" style="161" bestFit="1" customWidth="1"/>
    <col min="15" max="15" width="1.42578125" style="165" customWidth="1"/>
    <col min="16" max="16" width="15" style="161" customWidth="1"/>
    <col min="17" max="17" width="1.7109375" style="161" customWidth="1"/>
    <col min="18" max="18" width="12.85546875" style="161" bestFit="1" customWidth="1"/>
    <col min="19" max="19" width="2.85546875" style="165" customWidth="1"/>
    <col min="20" max="20" width="15.42578125" style="161" bestFit="1" customWidth="1"/>
    <col min="21" max="21" width="1.7109375" style="161" customWidth="1"/>
    <col min="22" max="22" width="14.5703125" style="161" bestFit="1" customWidth="1"/>
    <col min="23" max="23" width="1.5703125" style="165" customWidth="1"/>
    <col min="24" max="24" width="16" style="161" bestFit="1" customWidth="1"/>
    <col min="25" max="25" width="3" style="161" customWidth="1"/>
    <col min="26" max="26" width="15.85546875" style="161" bestFit="1" customWidth="1"/>
    <col min="27" max="27" width="1.85546875" style="165" customWidth="1"/>
    <col min="28" max="28" width="15.28515625" style="161" customWidth="1"/>
    <col min="29" max="29" width="1.7109375" style="161" customWidth="1"/>
    <col min="30" max="30" width="11.85546875" style="161" bestFit="1" customWidth="1"/>
    <col min="31" max="31" width="1.7109375" style="161" customWidth="1"/>
    <col min="32" max="32" width="14.42578125" style="161" bestFit="1" customWidth="1"/>
    <col min="33" max="33" width="34.7109375" style="161" customWidth="1"/>
    <col min="34" max="256" width="9.140625" style="161"/>
    <col min="257" max="258" width="10.7109375" style="161" customWidth="1"/>
    <col min="259" max="259" width="27.42578125" style="161" customWidth="1"/>
    <col min="260" max="260" width="5.5703125" style="161" customWidth="1"/>
    <col min="261" max="261" width="14.5703125" style="161" bestFit="1" customWidth="1"/>
    <col min="262" max="262" width="6.42578125" style="161" bestFit="1" customWidth="1"/>
    <col min="263" max="263" width="3.5703125" style="161" customWidth="1"/>
    <col min="264" max="264" width="17" style="161" customWidth="1"/>
    <col min="265" max="265" width="3.42578125" style="161" customWidth="1"/>
    <col min="266" max="266" width="18.28515625" style="161" bestFit="1" customWidth="1"/>
    <col min="267" max="267" width="3.140625" style="161" customWidth="1"/>
    <col min="268" max="268" width="16.28515625" style="161" customWidth="1"/>
    <col min="269" max="269" width="1.28515625" style="161" customWidth="1"/>
    <col min="270" max="270" width="15.5703125" style="161" bestFit="1" customWidth="1"/>
    <col min="271" max="271" width="1.42578125" style="161" customWidth="1"/>
    <col min="272" max="272" width="15" style="161" customWidth="1"/>
    <col min="273" max="273" width="1.7109375" style="161" customWidth="1"/>
    <col min="274" max="274" width="12.85546875" style="161" bestFit="1" customWidth="1"/>
    <col min="275" max="275" width="2.85546875" style="161" customWidth="1"/>
    <col min="276" max="276" width="15.42578125" style="161" bestFit="1" customWidth="1"/>
    <col min="277" max="277" width="1.7109375" style="161" customWidth="1"/>
    <col min="278" max="278" width="14.5703125" style="161" bestFit="1" customWidth="1"/>
    <col min="279" max="279" width="1.5703125" style="161" customWidth="1"/>
    <col min="280" max="280" width="16" style="161" bestFit="1" customWidth="1"/>
    <col min="281" max="281" width="3" style="161" customWidth="1"/>
    <col min="282" max="282" width="15.85546875" style="161" bestFit="1" customWidth="1"/>
    <col min="283" max="283" width="1.85546875" style="161" customWidth="1"/>
    <col min="284" max="284" width="15.28515625" style="161" customWidth="1"/>
    <col min="285" max="285" width="1.7109375" style="161" customWidth="1"/>
    <col min="286" max="286" width="11.85546875" style="161" bestFit="1" customWidth="1"/>
    <col min="287" max="287" width="1.7109375" style="161" customWidth="1"/>
    <col min="288" max="288" width="14.42578125" style="161" bestFit="1" customWidth="1"/>
    <col min="289" max="289" width="34.7109375" style="161" customWidth="1"/>
    <col min="290" max="512" width="9.140625" style="161"/>
    <col min="513" max="514" width="10.7109375" style="161" customWidth="1"/>
    <col min="515" max="515" width="27.42578125" style="161" customWidth="1"/>
    <col min="516" max="516" width="5.5703125" style="161" customWidth="1"/>
    <col min="517" max="517" width="14.5703125" style="161" bestFit="1" customWidth="1"/>
    <col min="518" max="518" width="6.42578125" style="161" bestFit="1" customWidth="1"/>
    <col min="519" max="519" width="3.5703125" style="161" customWidth="1"/>
    <col min="520" max="520" width="17" style="161" customWidth="1"/>
    <col min="521" max="521" width="3.42578125" style="161" customWidth="1"/>
    <col min="522" max="522" width="18.28515625" style="161" bestFit="1" customWidth="1"/>
    <col min="523" max="523" width="3.140625" style="161" customWidth="1"/>
    <col min="524" max="524" width="16.28515625" style="161" customWidth="1"/>
    <col min="525" max="525" width="1.28515625" style="161" customWidth="1"/>
    <col min="526" max="526" width="15.5703125" style="161" bestFit="1" customWidth="1"/>
    <col min="527" max="527" width="1.42578125" style="161" customWidth="1"/>
    <col min="528" max="528" width="15" style="161" customWidth="1"/>
    <col min="529" max="529" width="1.7109375" style="161" customWidth="1"/>
    <col min="530" max="530" width="12.85546875" style="161" bestFit="1" customWidth="1"/>
    <col min="531" max="531" width="2.85546875" style="161" customWidth="1"/>
    <col min="532" max="532" width="15.42578125" style="161" bestFit="1" customWidth="1"/>
    <col min="533" max="533" width="1.7109375" style="161" customWidth="1"/>
    <col min="534" max="534" width="14.5703125" style="161" bestFit="1" customWidth="1"/>
    <col min="535" max="535" width="1.5703125" style="161" customWidth="1"/>
    <col min="536" max="536" width="16" style="161" bestFit="1" customWidth="1"/>
    <col min="537" max="537" width="3" style="161" customWidth="1"/>
    <col min="538" max="538" width="15.85546875" style="161" bestFit="1" customWidth="1"/>
    <col min="539" max="539" width="1.85546875" style="161" customWidth="1"/>
    <col min="540" max="540" width="15.28515625" style="161" customWidth="1"/>
    <col min="541" max="541" width="1.7109375" style="161" customWidth="1"/>
    <col min="542" max="542" width="11.85546875" style="161" bestFit="1" customWidth="1"/>
    <col min="543" max="543" width="1.7109375" style="161" customWidth="1"/>
    <col min="544" max="544" width="14.42578125" style="161" bestFit="1" customWidth="1"/>
    <col min="545" max="545" width="34.7109375" style="161" customWidth="1"/>
    <col min="546" max="768" width="9.140625" style="161"/>
    <col min="769" max="770" width="10.7109375" style="161" customWidth="1"/>
    <col min="771" max="771" width="27.42578125" style="161" customWidth="1"/>
    <col min="772" max="772" width="5.5703125" style="161" customWidth="1"/>
    <col min="773" max="773" width="14.5703125" style="161" bestFit="1" customWidth="1"/>
    <col min="774" max="774" width="6.42578125" style="161" bestFit="1" customWidth="1"/>
    <col min="775" max="775" width="3.5703125" style="161" customWidth="1"/>
    <col min="776" max="776" width="17" style="161" customWidth="1"/>
    <col min="777" max="777" width="3.42578125" style="161" customWidth="1"/>
    <col min="778" max="778" width="18.28515625" style="161" bestFit="1" customWidth="1"/>
    <col min="779" max="779" width="3.140625" style="161" customWidth="1"/>
    <col min="780" max="780" width="16.28515625" style="161" customWidth="1"/>
    <col min="781" max="781" width="1.28515625" style="161" customWidth="1"/>
    <col min="782" max="782" width="15.5703125" style="161" bestFit="1" customWidth="1"/>
    <col min="783" max="783" width="1.42578125" style="161" customWidth="1"/>
    <col min="784" max="784" width="15" style="161" customWidth="1"/>
    <col min="785" max="785" width="1.7109375" style="161" customWidth="1"/>
    <col min="786" max="786" width="12.85546875" style="161" bestFit="1" customWidth="1"/>
    <col min="787" max="787" width="2.85546875" style="161" customWidth="1"/>
    <col min="788" max="788" width="15.42578125" style="161" bestFit="1" customWidth="1"/>
    <col min="789" max="789" width="1.7109375" style="161" customWidth="1"/>
    <col min="790" max="790" width="14.5703125" style="161" bestFit="1" customWidth="1"/>
    <col min="791" max="791" width="1.5703125" style="161" customWidth="1"/>
    <col min="792" max="792" width="16" style="161" bestFit="1" customWidth="1"/>
    <col min="793" max="793" width="3" style="161" customWidth="1"/>
    <col min="794" max="794" width="15.85546875" style="161" bestFit="1" customWidth="1"/>
    <col min="795" max="795" width="1.85546875" style="161" customWidth="1"/>
    <col min="796" max="796" width="15.28515625" style="161" customWidth="1"/>
    <col min="797" max="797" width="1.7109375" style="161" customWidth="1"/>
    <col min="798" max="798" width="11.85546875" style="161" bestFit="1" customWidth="1"/>
    <col min="799" max="799" width="1.7109375" style="161" customWidth="1"/>
    <col min="800" max="800" width="14.42578125" style="161" bestFit="1" customWidth="1"/>
    <col min="801" max="801" width="34.7109375" style="161" customWidth="1"/>
    <col min="802" max="1024" width="9.140625" style="161"/>
    <col min="1025" max="1026" width="10.7109375" style="161" customWidth="1"/>
    <col min="1027" max="1027" width="27.42578125" style="161" customWidth="1"/>
    <col min="1028" max="1028" width="5.5703125" style="161" customWidth="1"/>
    <col min="1029" max="1029" width="14.5703125" style="161" bestFit="1" customWidth="1"/>
    <col min="1030" max="1030" width="6.42578125" style="161" bestFit="1" customWidth="1"/>
    <col min="1031" max="1031" width="3.5703125" style="161" customWidth="1"/>
    <col min="1032" max="1032" width="17" style="161" customWidth="1"/>
    <col min="1033" max="1033" width="3.42578125" style="161" customWidth="1"/>
    <col min="1034" max="1034" width="18.28515625" style="161" bestFit="1" customWidth="1"/>
    <col min="1035" max="1035" width="3.140625" style="161" customWidth="1"/>
    <col min="1036" max="1036" width="16.28515625" style="161" customWidth="1"/>
    <col min="1037" max="1037" width="1.28515625" style="161" customWidth="1"/>
    <col min="1038" max="1038" width="15.5703125" style="161" bestFit="1" customWidth="1"/>
    <col min="1039" max="1039" width="1.42578125" style="161" customWidth="1"/>
    <col min="1040" max="1040" width="15" style="161" customWidth="1"/>
    <col min="1041" max="1041" width="1.7109375" style="161" customWidth="1"/>
    <col min="1042" max="1042" width="12.85546875" style="161" bestFit="1" customWidth="1"/>
    <col min="1043" max="1043" width="2.85546875" style="161" customWidth="1"/>
    <col min="1044" max="1044" width="15.42578125" style="161" bestFit="1" customWidth="1"/>
    <col min="1045" max="1045" width="1.7109375" style="161" customWidth="1"/>
    <col min="1046" max="1046" width="14.5703125" style="161" bestFit="1" customWidth="1"/>
    <col min="1047" max="1047" width="1.5703125" style="161" customWidth="1"/>
    <col min="1048" max="1048" width="16" style="161" bestFit="1" customWidth="1"/>
    <col min="1049" max="1049" width="3" style="161" customWidth="1"/>
    <col min="1050" max="1050" width="15.85546875" style="161" bestFit="1" customWidth="1"/>
    <col min="1051" max="1051" width="1.85546875" style="161" customWidth="1"/>
    <col min="1052" max="1052" width="15.28515625" style="161" customWidth="1"/>
    <col min="1053" max="1053" width="1.7109375" style="161" customWidth="1"/>
    <col min="1054" max="1054" width="11.85546875" style="161" bestFit="1" customWidth="1"/>
    <col min="1055" max="1055" width="1.7109375" style="161" customWidth="1"/>
    <col min="1056" max="1056" width="14.42578125" style="161" bestFit="1" customWidth="1"/>
    <col min="1057" max="1057" width="34.7109375" style="161" customWidth="1"/>
    <col min="1058" max="1280" width="9.140625" style="161"/>
    <col min="1281" max="1282" width="10.7109375" style="161" customWidth="1"/>
    <col min="1283" max="1283" width="27.42578125" style="161" customWidth="1"/>
    <col min="1284" max="1284" width="5.5703125" style="161" customWidth="1"/>
    <col min="1285" max="1285" width="14.5703125" style="161" bestFit="1" customWidth="1"/>
    <col min="1286" max="1286" width="6.42578125" style="161" bestFit="1" customWidth="1"/>
    <col min="1287" max="1287" width="3.5703125" style="161" customWidth="1"/>
    <col min="1288" max="1288" width="17" style="161" customWidth="1"/>
    <col min="1289" max="1289" width="3.42578125" style="161" customWidth="1"/>
    <col min="1290" max="1290" width="18.28515625" style="161" bestFit="1" customWidth="1"/>
    <col min="1291" max="1291" width="3.140625" style="161" customWidth="1"/>
    <col min="1292" max="1292" width="16.28515625" style="161" customWidth="1"/>
    <col min="1293" max="1293" width="1.28515625" style="161" customWidth="1"/>
    <col min="1294" max="1294" width="15.5703125" style="161" bestFit="1" customWidth="1"/>
    <col min="1295" max="1295" width="1.42578125" style="161" customWidth="1"/>
    <col min="1296" max="1296" width="15" style="161" customWidth="1"/>
    <col min="1297" max="1297" width="1.7109375" style="161" customWidth="1"/>
    <col min="1298" max="1298" width="12.85546875" style="161" bestFit="1" customWidth="1"/>
    <col min="1299" max="1299" width="2.85546875" style="161" customWidth="1"/>
    <col min="1300" max="1300" width="15.42578125" style="161" bestFit="1" customWidth="1"/>
    <col min="1301" max="1301" width="1.7109375" style="161" customWidth="1"/>
    <col min="1302" max="1302" width="14.5703125" style="161" bestFit="1" customWidth="1"/>
    <col min="1303" max="1303" width="1.5703125" style="161" customWidth="1"/>
    <col min="1304" max="1304" width="16" style="161" bestFit="1" customWidth="1"/>
    <col min="1305" max="1305" width="3" style="161" customWidth="1"/>
    <col min="1306" max="1306" width="15.85546875" style="161" bestFit="1" customWidth="1"/>
    <col min="1307" max="1307" width="1.85546875" style="161" customWidth="1"/>
    <col min="1308" max="1308" width="15.28515625" style="161" customWidth="1"/>
    <col min="1309" max="1309" width="1.7109375" style="161" customWidth="1"/>
    <col min="1310" max="1310" width="11.85546875" style="161" bestFit="1" customWidth="1"/>
    <col min="1311" max="1311" width="1.7109375" style="161" customWidth="1"/>
    <col min="1312" max="1312" width="14.42578125" style="161" bestFit="1" customWidth="1"/>
    <col min="1313" max="1313" width="34.7109375" style="161" customWidth="1"/>
    <col min="1314" max="1536" width="9.140625" style="161"/>
    <col min="1537" max="1538" width="10.7109375" style="161" customWidth="1"/>
    <col min="1539" max="1539" width="27.42578125" style="161" customWidth="1"/>
    <col min="1540" max="1540" width="5.5703125" style="161" customWidth="1"/>
    <col min="1541" max="1541" width="14.5703125" style="161" bestFit="1" customWidth="1"/>
    <col min="1542" max="1542" width="6.42578125" style="161" bestFit="1" customWidth="1"/>
    <col min="1543" max="1543" width="3.5703125" style="161" customWidth="1"/>
    <col min="1544" max="1544" width="17" style="161" customWidth="1"/>
    <col min="1545" max="1545" width="3.42578125" style="161" customWidth="1"/>
    <col min="1546" max="1546" width="18.28515625" style="161" bestFit="1" customWidth="1"/>
    <col min="1547" max="1547" width="3.140625" style="161" customWidth="1"/>
    <col min="1548" max="1548" width="16.28515625" style="161" customWidth="1"/>
    <col min="1549" max="1549" width="1.28515625" style="161" customWidth="1"/>
    <col min="1550" max="1550" width="15.5703125" style="161" bestFit="1" customWidth="1"/>
    <col min="1551" max="1551" width="1.42578125" style="161" customWidth="1"/>
    <col min="1552" max="1552" width="15" style="161" customWidth="1"/>
    <col min="1553" max="1553" width="1.7109375" style="161" customWidth="1"/>
    <col min="1554" max="1554" width="12.85546875" style="161" bestFit="1" customWidth="1"/>
    <col min="1555" max="1555" width="2.85546875" style="161" customWidth="1"/>
    <col min="1556" max="1556" width="15.42578125" style="161" bestFit="1" customWidth="1"/>
    <col min="1557" max="1557" width="1.7109375" style="161" customWidth="1"/>
    <col min="1558" max="1558" width="14.5703125" style="161" bestFit="1" customWidth="1"/>
    <col min="1559" max="1559" width="1.5703125" style="161" customWidth="1"/>
    <col min="1560" max="1560" width="16" style="161" bestFit="1" customWidth="1"/>
    <col min="1561" max="1561" width="3" style="161" customWidth="1"/>
    <col min="1562" max="1562" width="15.85546875" style="161" bestFit="1" customWidth="1"/>
    <col min="1563" max="1563" width="1.85546875" style="161" customWidth="1"/>
    <col min="1564" max="1564" width="15.28515625" style="161" customWidth="1"/>
    <col min="1565" max="1565" width="1.7109375" style="161" customWidth="1"/>
    <col min="1566" max="1566" width="11.85546875" style="161" bestFit="1" customWidth="1"/>
    <col min="1567" max="1567" width="1.7109375" style="161" customWidth="1"/>
    <col min="1568" max="1568" width="14.42578125" style="161" bestFit="1" customWidth="1"/>
    <col min="1569" max="1569" width="34.7109375" style="161" customWidth="1"/>
    <col min="1570" max="1792" width="9.140625" style="161"/>
    <col min="1793" max="1794" width="10.7109375" style="161" customWidth="1"/>
    <col min="1795" max="1795" width="27.42578125" style="161" customWidth="1"/>
    <col min="1796" max="1796" width="5.5703125" style="161" customWidth="1"/>
    <col min="1797" max="1797" width="14.5703125" style="161" bestFit="1" customWidth="1"/>
    <col min="1798" max="1798" width="6.42578125" style="161" bestFit="1" customWidth="1"/>
    <col min="1799" max="1799" width="3.5703125" style="161" customWidth="1"/>
    <col min="1800" max="1800" width="17" style="161" customWidth="1"/>
    <col min="1801" max="1801" width="3.42578125" style="161" customWidth="1"/>
    <col min="1802" max="1802" width="18.28515625" style="161" bestFit="1" customWidth="1"/>
    <col min="1803" max="1803" width="3.140625" style="161" customWidth="1"/>
    <col min="1804" max="1804" width="16.28515625" style="161" customWidth="1"/>
    <col min="1805" max="1805" width="1.28515625" style="161" customWidth="1"/>
    <col min="1806" max="1806" width="15.5703125" style="161" bestFit="1" customWidth="1"/>
    <col min="1807" max="1807" width="1.42578125" style="161" customWidth="1"/>
    <col min="1808" max="1808" width="15" style="161" customWidth="1"/>
    <col min="1809" max="1809" width="1.7109375" style="161" customWidth="1"/>
    <col min="1810" max="1810" width="12.85546875" style="161" bestFit="1" customWidth="1"/>
    <col min="1811" max="1811" width="2.85546875" style="161" customWidth="1"/>
    <col min="1812" max="1812" width="15.42578125" style="161" bestFit="1" customWidth="1"/>
    <col min="1813" max="1813" width="1.7109375" style="161" customWidth="1"/>
    <col min="1814" max="1814" width="14.5703125" style="161" bestFit="1" customWidth="1"/>
    <col min="1815" max="1815" width="1.5703125" style="161" customWidth="1"/>
    <col min="1816" max="1816" width="16" style="161" bestFit="1" customWidth="1"/>
    <col min="1817" max="1817" width="3" style="161" customWidth="1"/>
    <col min="1818" max="1818" width="15.85546875" style="161" bestFit="1" customWidth="1"/>
    <col min="1819" max="1819" width="1.85546875" style="161" customWidth="1"/>
    <col min="1820" max="1820" width="15.28515625" style="161" customWidth="1"/>
    <col min="1821" max="1821" width="1.7109375" style="161" customWidth="1"/>
    <col min="1822" max="1822" width="11.85546875" style="161" bestFit="1" customWidth="1"/>
    <col min="1823" max="1823" width="1.7109375" style="161" customWidth="1"/>
    <col min="1824" max="1824" width="14.42578125" style="161" bestFit="1" customWidth="1"/>
    <col min="1825" max="1825" width="34.7109375" style="161" customWidth="1"/>
    <col min="1826" max="2048" width="9.140625" style="161"/>
    <col min="2049" max="2050" width="10.7109375" style="161" customWidth="1"/>
    <col min="2051" max="2051" width="27.42578125" style="161" customWidth="1"/>
    <col min="2052" max="2052" width="5.5703125" style="161" customWidth="1"/>
    <col min="2053" max="2053" width="14.5703125" style="161" bestFit="1" customWidth="1"/>
    <col min="2054" max="2054" width="6.42578125" style="161" bestFit="1" customWidth="1"/>
    <col min="2055" max="2055" width="3.5703125" style="161" customWidth="1"/>
    <col min="2056" max="2056" width="17" style="161" customWidth="1"/>
    <col min="2057" max="2057" width="3.42578125" style="161" customWidth="1"/>
    <col min="2058" max="2058" width="18.28515625" style="161" bestFit="1" customWidth="1"/>
    <col min="2059" max="2059" width="3.140625" style="161" customWidth="1"/>
    <col min="2060" max="2060" width="16.28515625" style="161" customWidth="1"/>
    <col min="2061" max="2061" width="1.28515625" style="161" customWidth="1"/>
    <col min="2062" max="2062" width="15.5703125" style="161" bestFit="1" customWidth="1"/>
    <col min="2063" max="2063" width="1.42578125" style="161" customWidth="1"/>
    <col min="2064" max="2064" width="15" style="161" customWidth="1"/>
    <col min="2065" max="2065" width="1.7109375" style="161" customWidth="1"/>
    <col min="2066" max="2066" width="12.85546875" style="161" bestFit="1" customWidth="1"/>
    <col min="2067" max="2067" width="2.85546875" style="161" customWidth="1"/>
    <col min="2068" max="2068" width="15.42578125" style="161" bestFit="1" customWidth="1"/>
    <col min="2069" max="2069" width="1.7109375" style="161" customWidth="1"/>
    <col min="2070" max="2070" width="14.5703125" style="161" bestFit="1" customWidth="1"/>
    <col min="2071" max="2071" width="1.5703125" style="161" customWidth="1"/>
    <col min="2072" max="2072" width="16" style="161" bestFit="1" customWidth="1"/>
    <col min="2073" max="2073" width="3" style="161" customWidth="1"/>
    <col min="2074" max="2074" width="15.85546875" style="161" bestFit="1" customWidth="1"/>
    <col min="2075" max="2075" width="1.85546875" style="161" customWidth="1"/>
    <col min="2076" max="2076" width="15.28515625" style="161" customWidth="1"/>
    <col min="2077" max="2077" width="1.7109375" style="161" customWidth="1"/>
    <col min="2078" max="2078" width="11.85546875" style="161" bestFit="1" customWidth="1"/>
    <col min="2079" max="2079" width="1.7109375" style="161" customWidth="1"/>
    <col min="2080" max="2080" width="14.42578125" style="161" bestFit="1" customWidth="1"/>
    <col min="2081" max="2081" width="34.7109375" style="161" customWidth="1"/>
    <col min="2082" max="2304" width="9.140625" style="161"/>
    <col min="2305" max="2306" width="10.7109375" style="161" customWidth="1"/>
    <col min="2307" max="2307" width="27.42578125" style="161" customWidth="1"/>
    <col min="2308" max="2308" width="5.5703125" style="161" customWidth="1"/>
    <col min="2309" max="2309" width="14.5703125" style="161" bestFit="1" customWidth="1"/>
    <col min="2310" max="2310" width="6.42578125" style="161" bestFit="1" customWidth="1"/>
    <col min="2311" max="2311" width="3.5703125" style="161" customWidth="1"/>
    <col min="2312" max="2312" width="17" style="161" customWidth="1"/>
    <col min="2313" max="2313" width="3.42578125" style="161" customWidth="1"/>
    <col min="2314" max="2314" width="18.28515625" style="161" bestFit="1" customWidth="1"/>
    <col min="2315" max="2315" width="3.140625" style="161" customWidth="1"/>
    <col min="2316" max="2316" width="16.28515625" style="161" customWidth="1"/>
    <col min="2317" max="2317" width="1.28515625" style="161" customWidth="1"/>
    <col min="2318" max="2318" width="15.5703125" style="161" bestFit="1" customWidth="1"/>
    <col min="2319" max="2319" width="1.42578125" style="161" customWidth="1"/>
    <col min="2320" max="2320" width="15" style="161" customWidth="1"/>
    <col min="2321" max="2321" width="1.7109375" style="161" customWidth="1"/>
    <col min="2322" max="2322" width="12.85546875" style="161" bestFit="1" customWidth="1"/>
    <col min="2323" max="2323" width="2.85546875" style="161" customWidth="1"/>
    <col min="2324" max="2324" width="15.42578125" style="161" bestFit="1" customWidth="1"/>
    <col min="2325" max="2325" width="1.7109375" style="161" customWidth="1"/>
    <col min="2326" max="2326" width="14.5703125" style="161" bestFit="1" customWidth="1"/>
    <col min="2327" max="2327" width="1.5703125" style="161" customWidth="1"/>
    <col min="2328" max="2328" width="16" style="161" bestFit="1" customWidth="1"/>
    <col min="2329" max="2329" width="3" style="161" customWidth="1"/>
    <col min="2330" max="2330" width="15.85546875" style="161" bestFit="1" customWidth="1"/>
    <col min="2331" max="2331" width="1.85546875" style="161" customWidth="1"/>
    <col min="2332" max="2332" width="15.28515625" style="161" customWidth="1"/>
    <col min="2333" max="2333" width="1.7109375" style="161" customWidth="1"/>
    <col min="2334" max="2334" width="11.85546875" style="161" bestFit="1" customWidth="1"/>
    <col min="2335" max="2335" width="1.7109375" style="161" customWidth="1"/>
    <col min="2336" max="2336" width="14.42578125" style="161" bestFit="1" customWidth="1"/>
    <col min="2337" max="2337" width="34.7109375" style="161" customWidth="1"/>
    <col min="2338" max="2560" width="9.140625" style="161"/>
    <col min="2561" max="2562" width="10.7109375" style="161" customWidth="1"/>
    <col min="2563" max="2563" width="27.42578125" style="161" customWidth="1"/>
    <col min="2564" max="2564" width="5.5703125" style="161" customWidth="1"/>
    <col min="2565" max="2565" width="14.5703125" style="161" bestFit="1" customWidth="1"/>
    <col min="2566" max="2566" width="6.42578125" style="161" bestFit="1" customWidth="1"/>
    <col min="2567" max="2567" width="3.5703125" style="161" customWidth="1"/>
    <col min="2568" max="2568" width="17" style="161" customWidth="1"/>
    <col min="2569" max="2569" width="3.42578125" style="161" customWidth="1"/>
    <col min="2570" max="2570" width="18.28515625" style="161" bestFit="1" customWidth="1"/>
    <col min="2571" max="2571" width="3.140625" style="161" customWidth="1"/>
    <col min="2572" max="2572" width="16.28515625" style="161" customWidth="1"/>
    <col min="2573" max="2573" width="1.28515625" style="161" customWidth="1"/>
    <col min="2574" max="2574" width="15.5703125" style="161" bestFit="1" customWidth="1"/>
    <col min="2575" max="2575" width="1.42578125" style="161" customWidth="1"/>
    <col min="2576" max="2576" width="15" style="161" customWidth="1"/>
    <col min="2577" max="2577" width="1.7109375" style="161" customWidth="1"/>
    <col min="2578" max="2578" width="12.85546875" style="161" bestFit="1" customWidth="1"/>
    <col min="2579" max="2579" width="2.85546875" style="161" customWidth="1"/>
    <col min="2580" max="2580" width="15.42578125" style="161" bestFit="1" customWidth="1"/>
    <col min="2581" max="2581" width="1.7109375" style="161" customWidth="1"/>
    <col min="2582" max="2582" width="14.5703125" style="161" bestFit="1" customWidth="1"/>
    <col min="2583" max="2583" width="1.5703125" style="161" customWidth="1"/>
    <col min="2584" max="2584" width="16" style="161" bestFit="1" customWidth="1"/>
    <col min="2585" max="2585" width="3" style="161" customWidth="1"/>
    <col min="2586" max="2586" width="15.85546875" style="161" bestFit="1" customWidth="1"/>
    <col min="2587" max="2587" width="1.85546875" style="161" customWidth="1"/>
    <col min="2588" max="2588" width="15.28515625" style="161" customWidth="1"/>
    <col min="2589" max="2589" width="1.7109375" style="161" customWidth="1"/>
    <col min="2590" max="2590" width="11.85546875" style="161" bestFit="1" customWidth="1"/>
    <col min="2591" max="2591" width="1.7109375" style="161" customWidth="1"/>
    <col min="2592" max="2592" width="14.42578125" style="161" bestFit="1" customWidth="1"/>
    <col min="2593" max="2593" width="34.7109375" style="161" customWidth="1"/>
    <col min="2594" max="2816" width="9.140625" style="161"/>
    <col min="2817" max="2818" width="10.7109375" style="161" customWidth="1"/>
    <col min="2819" max="2819" width="27.42578125" style="161" customWidth="1"/>
    <col min="2820" max="2820" width="5.5703125" style="161" customWidth="1"/>
    <col min="2821" max="2821" width="14.5703125" style="161" bestFit="1" customWidth="1"/>
    <col min="2822" max="2822" width="6.42578125" style="161" bestFit="1" customWidth="1"/>
    <col min="2823" max="2823" width="3.5703125" style="161" customWidth="1"/>
    <col min="2824" max="2824" width="17" style="161" customWidth="1"/>
    <col min="2825" max="2825" width="3.42578125" style="161" customWidth="1"/>
    <col min="2826" max="2826" width="18.28515625" style="161" bestFit="1" customWidth="1"/>
    <col min="2827" max="2827" width="3.140625" style="161" customWidth="1"/>
    <col min="2828" max="2828" width="16.28515625" style="161" customWidth="1"/>
    <col min="2829" max="2829" width="1.28515625" style="161" customWidth="1"/>
    <col min="2830" max="2830" width="15.5703125" style="161" bestFit="1" customWidth="1"/>
    <col min="2831" max="2831" width="1.42578125" style="161" customWidth="1"/>
    <col min="2832" max="2832" width="15" style="161" customWidth="1"/>
    <col min="2833" max="2833" width="1.7109375" style="161" customWidth="1"/>
    <col min="2834" max="2834" width="12.85546875" style="161" bestFit="1" customWidth="1"/>
    <col min="2835" max="2835" width="2.85546875" style="161" customWidth="1"/>
    <col min="2836" max="2836" width="15.42578125" style="161" bestFit="1" customWidth="1"/>
    <col min="2837" max="2837" width="1.7109375" style="161" customWidth="1"/>
    <col min="2838" max="2838" width="14.5703125" style="161" bestFit="1" customWidth="1"/>
    <col min="2839" max="2839" width="1.5703125" style="161" customWidth="1"/>
    <col min="2840" max="2840" width="16" style="161" bestFit="1" customWidth="1"/>
    <col min="2841" max="2841" width="3" style="161" customWidth="1"/>
    <col min="2842" max="2842" width="15.85546875" style="161" bestFit="1" customWidth="1"/>
    <col min="2843" max="2843" width="1.85546875" style="161" customWidth="1"/>
    <col min="2844" max="2844" width="15.28515625" style="161" customWidth="1"/>
    <col min="2845" max="2845" width="1.7109375" style="161" customWidth="1"/>
    <col min="2846" max="2846" width="11.85546875" style="161" bestFit="1" customWidth="1"/>
    <col min="2847" max="2847" width="1.7109375" style="161" customWidth="1"/>
    <col min="2848" max="2848" width="14.42578125" style="161" bestFit="1" customWidth="1"/>
    <col min="2849" max="2849" width="34.7109375" style="161" customWidth="1"/>
    <col min="2850" max="3072" width="9.140625" style="161"/>
    <col min="3073" max="3074" width="10.7109375" style="161" customWidth="1"/>
    <col min="3075" max="3075" width="27.42578125" style="161" customWidth="1"/>
    <col min="3076" max="3076" width="5.5703125" style="161" customWidth="1"/>
    <col min="3077" max="3077" width="14.5703125" style="161" bestFit="1" customWidth="1"/>
    <col min="3078" max="3078" width="6.42578125" style="161" bestFit="1" customWidth="1"/>
    <col min="3079" max="3079" width="3.5703125" style="161" customWidth="1"/>
    <col min="3080" max="3080" width="17" style="161" customWidth="1"/>
    <col min="3081" max="3081" width="3.42578125" style="161" customWidth="1"/>
    <col min="3082" max="3082" width="18.28515625" style="161" bestFit="1" customWidth="1"/>
    <col min="3083" max="3083" width="3.140625" style="161" customWidth="1"/>
    <col min="3084" max="3084" width="16.28515625" style="161" customWidth="1"/>
    <col min="3085" max="3085" width="1.28515625" style="161" customWidth="1"/>
    <col min="3086" max="3086" width="15.5703125" style="161" bestFit="1" customWidth="1"/>
    <col min="3087" max="3087" width="1.42578125" style="161" customWidth="1"/>
    <col min="3088" max="3088" width="15" style="161" customWidth="1"/>
    <col min="3089" max="3089" width="1.7109375" style="161" customWidth="1"/>
    <col min="3090" max="3090" width="12.85546875" style="161" bestFit="1" customWidth="1"/>
    <col min="3091" max="3091" width="2.85546875" style="161" customWidth="1"/>
    <col min="3092" max="3092" width="15.42578125" style="161" bestFit="1" customWidth="1"/>
    <col min="3093" max="3093" width="1.7109375" style="161" customWidth="1"/>
    <col min="3094" max="3094" width="14.5703125" style="161" bestFit="1" customWidth="1"/>
    <col min="3095" max="3095" width="1.5703125" style="161" customWidth="1"/>
    <col min="3096" max="3096" width="16" style="161" bestFit="1" customWidth="1"/>
    <col min="3097" max="3097" width="3" style="161" customWidth="1"/>
    <col min="3098" max="3098" width="15.85546875" style="161" bestFit="1" customWidth="1"/>
    <col min="3099" max="3099" width="1.85546875" style="161" customWidth="1"/>
    <col min="3100" max="3100" width="15.28515625" style="161" customWidth="1"/>
    <col min="3101" max="3101" width="1.7109375" style="161" customWidth="1"/>
    <col min="3102" max="3102" width="11.85546875" style="161" bestFit="1" customWidth="1"/>
    <col min="3103" max="3103" width="1.7109375" style="161" customWidth="1"/>
    <col min="3104" max="3104" width="14.42578125" style="161" bestFit="1" customWidth="1"/>
    <col min="3105" max="3105" width="34.7109375" style="161" customWidth="1"/>
    <col min="3106" max="3328" width="9.140625" style="161"/>
    <col min="3329" max="3330" width="10.7109375" style="161" customWidth="1"/>
    <col min="3331" max="3331" width="27.42578125" style="161" customWidth="1"/>
    <col min="3332" max="3332" width="5.5703125" style="161" customWidth="1"/>
    <col min="3333" max="3333" width="14.5703125" style="161" bestFit="1" customWidth="1"/>
    <col min="3334" max="3334" width="6.42578125" style="161" bestFit="1" customWidth="1"/>
    <col min="3335" max="3335" width="3.5703125" style="161" customWidth="1"/>
    <col min="3336" max="3336" width="17" style="161" customWidth="1"/>
    <col min="3337" max="3337" width="3.42578125" style="161" customWidth="1"/>
    <col min="3338" max="3338" width="18.28515625" style="161" bestFit="1" customWidth="1"/>
    <col min="3339" max="3339" width="3.140625" style="161" customWidth="1"/>
    <col min="3340" max="3340" width="16.28515625" style="161" customWidth="1"/>
    <col min="3341" max="3341" width="1.28515625" style="161" customWidth="1"/>
    <col min="3342" max="3342" width="15.5703125" style="161" bestFit="1" customWidth="1"/>
    <col min="3343" max="3343" width="1.42578125" style="161" customWidth="1"/>
    <col min="3344" max="3344" width="15" style="161" customWidth="1"/>
    <col min="3345" max="3345" width="1.7109375" style="161" customWidth="1"/>
    <col min="3346" max="3346" width="12.85546875" style="161" bestFit="1" customWidth="1"/>
    <col min="3347" max="3347" width="2.85546875" style="161" customWidth="1"/>
    <col min="3348" max="3348" width="15.42578125" style="161" bestFit="1" customWidth="1"/>
    <col min="3349" max="3349" width="1.7109375" style="161" customWidth="1"/>
    <col min="3350" max="3350" width="14.5703125" style="161" bestFit="1" customWidth="1"/>
    <col min="3351" max="3351" width="1.5703125" style="161" customWidth="1"/>
    <col min="3352" max="3352" width="16" style="161" bestFit="1" customWidth="1"/>
    <col min="3353" max="3353" width="3" style="161" customWidth="1"/>
    <col min="3354" max="3354" width="15.85546875" style="161" bestFit="1" customWidth="1"/>
    <col min="3355" max="3355" width="1.85546875" style="161" customWidth="1"/>
    <col min="3356" max="3356" width="15.28515625" style="161" customWidth="1"/>
    <col min="3357" max="3357" width="1.7109375" style="161" customWidth="1"/>
    <col min="3358" max="3358" width="11.85546875" style="161" bestFit="1" customWidth="1"/>
    <col min="3359" max="3359" width="1.7109375" style="161" customWidth="1"/>
    <col min="3360" max="3360" width="14.42578125" style="161" bestFit="1" customWidth="1"/>
    <col min="3361" max="3361" width="34.7109375" style="161" customWidth="1"/>
    <col min="3362" max="3584" width="9.140625" style="161"/>
    <col min="3585" max="3586" width="10.7109375" style="161" customWidth="1"/>
    <col min="3587" max="3587" width="27.42578125" style="161" customWidth="1"/>
    <col min="3588" max="3588" width="5.5703125" style="161" customWidth="1"/>
    <col min="3589" max="3589" width="14.5703125" style="161" bestFit="1" customWidth="1"/>
    <col min="3590" max="3590" width="6.42578125" style="161" bestFit="1" customWidth="1"/>
    <col min="3591" max="3591" width="3.5703125" style="161" customWidth="1"/>
    <col min="3592" max="3592" width="17" style="161" customWidth="1"/>
    <col min="3593" max="3593" width="3.42578125" style="161" customWidth="1"/>
    <col min="3594" max="3594" width="18.28515625" style="161" bestFit="1" customWidth="1"/>
    <col min="3595" max="3595" width="3.140625" style="161" customWidth="1"/>
    <col min="3596" max="3596" width="16.28515625" style="161" customWidth="1"/>
    <col min="3597" max="3597" width="1.28515625" style="161" customWidth="1"/>
    <col min="3598" max="3598" width="15.5703125" style="161" bestFit="1" customWidth="1"/>
    <col min="3599" max="3599" width="1.42578125" style="161" customWidth="1"/>
    <col min="3600" max="3600" width="15" style="161" customWidth="1"/>
    <col min="3601" max="3601" width="1.7109375" style="161" customWidth="1"/>
    <col min="3602" max="3602" width="12.85546875" style="161" bestFit="1" customWidth="1"/>
    <col min="3603" max="3603" width="2.85546875" style="161" customWidth="1"/>
    <col min="3604" max="3604" width="15.42578125" style="161" bestFit="1" customWidth="1"/>
    <col min="3605" max="3605" width="1.7109375" style="161" customWidth="1"/>
    <col min="3606" max="3606" width="14.5703125" style="161" bestFit="1" customWidth="1"/>
    <col min="3607" max="3607" width="1.5703125" style="161" customWidth="1"/>
    <col min="3608" max="3608" width="16" style="161" bestFit="1" customWidth="1"/>
    <col min="3609" max="3609" width="3" style="161" customWidth="1"/>
    <col min="3610" max="3610" width="15.85546875" style="161" bestFit="1" customWidth="1"/>
    <col min="3611" max="3611" width="1.85546875" style="161" customWidth="1"/>
    <col min="3612" max="3612" width="15.28515625" style="161" customWidth="1"/>
    <col min="3613" max="3613" width="1.7109375" style="161" customWidth="1"/>
    <col min="3614" max="3614" width="11.85546875" style="161" bestFit="1" customWidth="1"/>
    <col min="3615" max="3615" width="1.7109375" style="161" customWidth="1"/>
    <col min="3616" max="3616" width="14.42578125" style="161" bestFit="1" customWidth="1"/>
    <col min="3617" max="3617" width="34.7109375" style="161" customWidth="1"/>
    <col min="3618" max="3840" width="9.140625" style="161"/>
    <col min="3841" max="3842" width="10.7109375" style="161" customWidth="1"/>
    <col min="3843" max="3843" width="27.42578125" style="161" customWidth="1"/>
    <col min="3844" max="3844" width="5.5703125" style="161" customWidth="1"/>
    <col min="3845" max="3845" width="14.5703125" style="161" bestFit="1" customWidth="1"/>
    <col min="3846" max="3846" width="6.42578125" style="161" bestFit="1" customWidth="1"/>
    <col min="3847" max="3847" width="3.5703125" style="161" customWidth="1"/>
    <col min="3848" max="3848" width="17" style="161" customWidth="1"/>
    <col min="3849" max="3849" width="3.42578125" style="161" customWidth="1"/>
    <col min="3850" max="3850" width="18.28515625" style="161" bestFit="1" customWidth="1"/>
    <col min="3851" max="3851" width="3.140625" style="161" customWidth="1"/>
    <col min="3852" max="3852" width="16.28515625" style="161" customWidth="1"/>
    <col min="3853" max="3853" width="1.28515625" style="161" customWidth="1"/>
    <col min="3854" max="3854" width="15.5703125" style="161" bestFit="1" customWidth="1"/>
    <col min="3855" max="3855" width="1.42578125" style="161" customWidth="1"/>
    <col min="3856" max="3856" width="15" style="161" customWidth="1"/>
    <col min="3857" max="3857" width="1.7109375" style="161" customWidth="1"/>
    <col min="3858" max="3858" width="12.85546875" style="161" bestFit="1" customWidth="1"/>
    <col min="3859" max="3859" width="2.85546875" style="161" customWidth="1"/>
    <col min="3860" max="3860" width="15.42578125" style="161" bestFit="1" customWidth="1"/>
    <col min="3861" max="3861" width="1.7109375" style="161" customWidth="1"/>
    <col min="3862" max="3862" width="14.5703125" style="161" bestFit="1" customWidth="1"/>
    <col min="3863" max="3863" width="1.5703125" style="161" customWidth="1"/>
    <col min="3864" max="3864" width="16" style="161" bestFit="1" customWidth="1"/>
    <col min="3865" max="3865" width="3" style="161" customWidth="1"/>
    <col min="3866" max="3866" width="15.85546875" style="161" bestFit="1" customWidth="1"/>
    <col min="3867" max="3867" width="1.85546875" style="161" customWidth="1"/>
    <col min="3868" max="3868" width="15.28515625" style="161" customWidth="1"/>
    <col min="3869" max="3869" width="1.7109375" style="161" customWidth="1"/>
    <col min="3870" max="3870" width="11.85546875" style="161" bestFit="1" customWidth="1"/>
    <col min="3871" max="3871" width="1.7109375" style="161" customWidth="1"/>
    <col min="3872" max="3872" width="14.42578125" style="161" bestFit="1" customWidth="1"/>
    <col min="3873" max="3873" width="34.7109375" style="161" customWidth="1"/>
    <col min="3874" max="4096" width="9.140625" style="161"/>
    <col min="4097" max="4098" width="10.7109375" style="161" customWidth="1"/>
    <col min="4099" max="4099" width="27.42578125" style="161" customWidth="1"/>
    <col min="4100" max="4100" width="5.5703125" style="161" customWidth="1"/>
    <col min="4101" max="4101" width="14.5703125" style="161" bestFit="1" customWidth="1"/>
    <col min="4102" max="4102" width="6.42578125" style="161" bestFit="1" customWidth="1"/>
    <col min="4103" max="4103" width="3.5703125" style="161" customWidth="1"/>
    <col min="4104" max="4104" width="17" style="161" customWidth="1"/>
    <col min="4105" max="4105" width="3.42578125" style="161" customWidth="1"/>
    <col min="4106" max="4106" width="18.28515625" style="161" bestFit="1" customWidth="1"/>
    <col min="4107" max="4107" width="3.140625" style="161" customWidth="1"/>
    <col min="4108" max="4108" width="16.28515625" style="161" customWidth="1"/>
    <col min="4109" max="4109" width="1.28515625" style="161" customWidth="1"/>
    <col min="4110" max="4110" width="15.5703125" style="161" bestFit="1" customWidth="1"/>
    <col min="4111" max="4111" width="1.42578125" style="161" customWidth="1"/>
    <col min="4112" max="4112" width="15" style="161" customWidth="1"/>
    <col min="4113" max="4113" width="1.7109375" style="161" customWidth="1"/>
    <col min="4114" max="4114" width="12.85546875" style="161" bestFit="1" customWidth="1"/>
    <col min="4115" max="4115" width="2.85546875" style="161" customWidth="1"/>
    <col min="4116" max="4116" width="15.42578125" style="161" bestFit="1" customWidth="1"/>
    <col min="4117" max="4117" width="1.7109375" style="161" customWidth="1"/>
    <col min="4118" max="4118" width="14.5703125" style="161" bestFit="1" customWidth="1"/>
    <col min="4119" max="4119" width="1.5703125" style="161" customWidth="1"/>
    <col min="4120" max="4120" width="16" style="161" bestFit="1" customWidth="1"/>
    <col min="4121" max="4121" width="3" style="161" customWidth="1"/>
    <col min="4122" max="4122" width="15.85546875" style="161" bestFit="1" customWidth="1"/>
    <col min="4123" max="4123" width="1.85546875" style="161" customWidth="1"/>
    <col min="4124" max="4124" width="15.28515625" style="161" customWidth="1"/>
    <col min="4125" max="4125" width="1.7109375" style="161" customWidth="1"/>
    <col min="4126" max="4126" width="11.85546875" style="161" bestFit="1" customWidth="1"/>
    <col min="4127" max="4127" width="1.7109375" style="161" customWidth="1"/>
    <col min="4128" max="4128" width="14.42578125" style="161" bestFit="1" customWidth="1"/>
    <col min="4129" max="4129" width="34.7109375" style="161" customWidth="1"/>
    <col min="4130" max="4352" width="9.140625" style="161"/>
    <col min="4353" max="4354" width="10.7109375" style="161" customWidth="1"/>
    <col min="4355" max="4355" width="27.42578125" style="161" customWidth="1"/>
    <col min="4356" max="4356" width="5.5703125" style="161" customWidth="1"/>
    <col min="4357" max="4357" width="14.5703125" style="161" bestFit="1" customWidth="1"/>
    <col min="4358" max="4358" width="6.42578125" style="161" bestFit="1" customWidth="1"/>
    <col min="4359" max="4359" width="3.5703125" style="161" customWidth="1"/>
    <col min="4360" max="4360" width="17" style="161" customWidth="1"/>
    <col min="4361" max="4361" width="3.42578125" style="161" customWidth="1"/>
    <col min="4362" max="4362" width="18.28515625" style="161" bestFit="1" customWidth="1"/>
    <col min="4363" max="4363" width="3.140625" style="161" customWidth="1"/>
    <col min="4364" max="4364" width="16.28515625" style="161" customWidth="1"/>
    <col min="4365" max="4365" width="1.28515625" style="161" customWidth="1"/>
    <col min="4366" max="4366" width="15.5703125" style="161" bestFit="1" customWidth="1"/>
    <col min="4367" max="4367" width="1.42578125" style="161" customWidth="1"/>
    <col min="4368" max="4368" width="15" style="161" customWidth="1"/>
    <col min="4369" max="4369" width="1.7109375" style="161" customWidth="1"/>
    <col min="4370" max="4370" width="12.85546875" style="161" bestFit="1" customWidth="1"/>
    <col min="4371" max="4371" width="2.85546875" style="161" customWidth="1"/>
    <col min="4372" max="4372" width="15.42578125" style="161" bestFit="1" customWidth="1"/>
    <col min="4373" max="4373" width="1.7109375" style="161" customWidth="1"/>
    <col min="4374" max="4374" width="14.5703125" style="161" bestFit="1" customWidth="1"/>
    <col min="4375" max="4375" width="1.5703125" style="161" customWidth="1"/>
    <col min="4376" max="4376" width="16" style="161" bestFit="1" customWidth="1"/>
    <col min="4377" max="4377" width="3" style="161" customWidth="1"/>
    <col min="4378" max="4378" width="15.85546875" style="161" bestFit="1" customWidth="1"/>
    <col min="4379" max="4379" width="1.85546875" style="161" customWidth="1"/>
    <col min="4380" max="4380" width="15.28515625" style="161" customWidth="1"/>
    <col min="4381" max="4381" width="1.7109375" style="161" customWidth="1"/>
    <col min="4382" max="4382" width="11.85546875" style="161" bestFit="1" customWidth="1"/>
    <col min="4383" max="4383" width="1.7109375" style="161" customWidth="1"/>
    <col min="4384" max="4384" width="14.42578125" style="161" bestFit="1" customWidth="1"/>
    <col min="4385" max="4385" width="34.7109375" style="161" customWidth="1"/>
    <col min="4386" max="4608" width="9.140625" style="161"/>
    <col min="4609" max="4610" width="10.7109375" style="161" customWidth="1"/>
    <col min="4611" max="4611" width="27.42578125" style="161" customWidth="1"/>
    <col min="4612" max="4612" width="5.5703125" style="161" customWidth="1"/>
    <col min="4613" max="4613" width="14.5703125" style="161" bestFit="1" customWidth="1"/>
    <col min="4614" max="4614" width="6.42578125" style="161" bestFit="1" customWidth="1"/>
    <col min="4615" max="4615" width="3.5703125" style="161" customWidth="1"/>
    <col min="4616" max="4616" width="17" style="161" customWidth="1"/>
    <col min="4617" max="4617" width="3.42578125" style="161" customWidth="1"/>
    <col min="4618" max="4618" width="18.28515625" style="161" bestFit="1" customWidth="1"/>
    <col min="4619" max="4619" width="3.140625" style="161" customWidth="1"/>
    <col min="4620" max="4620" width="16.28515625" style="161" customWidth="1"/>
    <col min="4621" max="4621" width="1.28515625" style="161" customWidth="1"/>
    <col min="4622" max="4622" width="15.5703125" style="161" bestFit="1" customWidth="1"/>
    <col min="4623" max="4623" width="1.42578125" style="161" customWidth="1"/>
    <col min="4624" max="4624" width="15" style="161" customWidth="1"/>
    <col min="4625" max="4625" width="1.7109375" style="161" customWidth="1"/>
    <col min="4626" max="4626" width="12.85546875" style="161" bestFit="1" customWidth="1"/>
    <col min="4627" max="4627" width="2.85546875" style="161" customWidth="1"/>
    <col min="4628" max="4628" width="15.42578125" style="161" bestFit="1" customWidth="1"/>
    <col min="4629" max="4629" width="1.7109375" style="161" customWidth="1"/>
    <col min="4630" max="4630" width="14.5703125" style="161" bestFit="1" customWidth="1"/>
    <col min="4631" max="4631" width="1.5703125" style="161" customWidth="1"/>
    <col min="4632" max="4632" width="16" style="161" bestFit="1" customWidth="1"/>
    <col min="4633" max="4633" width="3" style="161" customWidth="1"/>
    <col min="4634" max="4634" width="15.85546875" style="161" bestFit="1" customWidth="1"/>
    <col min="4635" max="4635" width="1.85546875" style="161" customWidth="1"/>
    <col min="4636" max="4636" width="15.28515625" style="161" customWidth="1"/>
    <col min="4637" max="4637" width="1.7109375" style="161" customWidth="1"/>
    <col min="4638" max="4638" width="11.85546875" style="161" bestFit="1" customWidth="1"/>
    <col min="4639" max="4639" width="1.7109375" style="161" customWidth="1"/>
    <col min="4640" max="4640" width="14.42578125" style="161" bestFit="1" customWidth="1"/>
    <col min="4641" max="4641" width="34.7109375" style="161" customWidth="1"/>
    <col min="4642" max="4864" width="9.140625" style="161"/>
    <col min="4865" max="4866" width="10.7109375" style="161" customWidth="1"/>
    <col min="4867" max="4867" width="27.42578125" style="161" customWidth="1"/>
    <col min="4868" max="4868" width="5.5703125" style="161" customWidth="1"/>
    <col min="4869" max="4869" width="14.5703125" style="161" bestFit="1" customWidth="1"/>
    <col min="4870" max="4870" width="6.42578125" style="161" bestFit="1" customWidth="1"/>
    <col min="4871" max="4871" width="3.5703125" style="161" customWidth="1"/>
    <col min="4872" max="4872" width="17" style="161" customWidth="1"/>
    <col min="4873" max="4873" width="3.42578125" style="161" customWidth="1"/>
    <col min="4874" max="4874" width="18.28515625" style="161" bestFit="1" customWidth="1"/>
    <col min="4875" max="4875" width="3.140625" style="161" customWidth="1"/>
    <col min="4876" max="4876" width="16.28515625" style="161" customWidth="1"/>
    <col min="4877" max="4877" width="1.28515625" style="161" customWidth="1"/>
    <col min="4878" max="4878" width="15.5703125" style="161" bestFit="1" customWidth="1"/>
    <col min="4879" max="4879" width="1.42578125" style="161" customWidth="1"/>
    <col min="4880" max="4880" width="15" style="161" customWidth="1"/>
    <col min="4881" max="4881" width="1.7109375" style="161" customWidth="1"/>
    <col min="4882" max="4882" width="12.85546875" style="161" bestFit="1" customWidth="1"/>
    <col min="4883" max="4883" width="2.85546875" style="161" customWidth="1"/>
    <col min="4884" max="4884" width="15.42578125" style="161" bestFit="1" customWidth="1"/>
    <col min="4885" max="4885" width="1.7109375" style="161" customWidth="1"/>
    <col min="4886" max="4886" width="14.5703125" style="161" bestFit="1" customWidth="1"/>
    <col min="4887" max="4887" width="1.5703125" style="161" customWidth="1"/>
    <col min="4888" max="4888" width="16" style="161" bestFit="1" customWidth="1"/>
    <col min="4889" max="4889" width="3" style="161" customWidth="1"/>
    <col min="4890" max="4890" width="15.85546875" style="161" bestFit="1" customWidth="1"/>
    <col min="4891" max="4891" width="1.85546875" style="161" customWidth="1"/>
    <col min="4892" max="4892" width="15.28515625" style="161" customWidth="1"/>
    <col min="4893" max="4893" width="1.7109375" style="161" customWidth="1"/>
    <col min="4894" max="4894" width="11.85546875" style="161" bestFit="1" customWidth="1"/>
    <col min="4895" max="4895" width="1.7109375" style="161" customWidth="1"/>
    <col min="4896" max="4896" width="14.42578125" style="161" bestFit="1" customWidth="1"/>
    <col min="4897" max="4897" width="34.7109375" style="161" customWidth="1"/>
    <col min="4898" max="5120" width="9.140625" style="161"/>
    <col min="5121" max="5122" width="10.7109375" style="161" customWidth="1"/>
    <col min="5123" max="5123" width="27.42578125" style="161" customWidth="1"/>
    <col min="5124" max="5124" width="5.5703125" style="161" customWidth="1"/>
    <col min="5125" max="5125" width="14.5703125" style="161" bestFit="1" customWidth="1"/>
    <col min="5126" max="5126" width="6.42578125" style="161" bestFit="1" customWidth="1"/>
    <col min="5127" max="5127" width="3.5703125" style="161" customWidth="1"/>
    <col min="5128" max="5128" width="17" style="161" customWidth="1"/>
    <col min="5129" max="5129" width="3.42578125" style="161" customWidth="1"/>
    <col min="5130" max="5130" width="18.28515625" style="161" bestFit="1" customWidth="1"/>
    <col min="5131" max="5131" width="3.140625" style="161" customWidth="1"/>
    <col min="5132" max="5132" width="16.28515625" style="161" customWidth="1"/>
    <col min="5133" max="5133" width="1.28515625" style="161" customWidth="1"/>
    <col min="5134" max="5134" width="15.5703125" style="161" bestFit="1" customWidth="1"/>
    <col min="5135" max="5135" width="1.42578125" style="161" customWidth="1"/>
    <col min="5136" max="5136" width="15" style="161" customWidth="1"/>
    <col min="5137" max="5137" width="1.7109375" style="161" customWidth="1"/>
    <col min="5138" max="5138" width="12.85546875" style="161" bestFit="1" customWidth="1"/>
    <col min="5139" max="5139" width="2.85546875" style="161" customWidth="1"/>
    <col min="5140" max="5140" width="15.42578125" style="161" bestFit="1" customWidth="1"/>
    <col min="5141" max="5141" width="1.7109375" style="161" customWidth="1"/>
    <col min="5142" max="5142" width="14.5703125" style="161" bestFit="1" customWidth="1"/>
    <col min="5143" max="5143" width="1.5703125" style="161" customWidth="1"/>
    <col min="5144" max="5144" width="16" style="161" bestFit="1" customWidth="1"/>
    <col min="5145" max="5145" width="3" style="161" customWidth="1"/>
    <col min="5146" max="5146" width="15.85546875" style="161" bestFit="1" customWidth="1"/>
    <col min="5147" max="5147" width="1.85546875" style="161" customWidth="1"/>
    <col min="5148" max="5148" width="15.28515625" style="161" customWidth="1"/>
    <col min="5149" max="5149" width="1.7109375" style="161" customWidth="1"/>
    <col min="5150" max="5150" width="11.85546875" style="161" bestFit="1" customWidth="1"/>
    <col min="5151" max="5151" width="1.7109375" style="161" customWidth="1"/>
    <col min="5152" max="5152" width="14.42578125" style="161" bestFit="1" customWidth="1"/>
    <col min="5153" max="5153" width="34.7109375" style="161" customWidth="1"/>
    <col min="5154" max="5376" width="9.140625" style="161"/>
    <col min="5377" max="5378" width="10.7109375" style="161" customWidth="1"/>
    <col min="5379" max="5379" width="27.42578125" style="161" customWidth="1"/>
    <col min="5380" max="5380" width="5.5703125" style="161" customWidth="1"/>
    <col min="5381" max="5381" width="14.5703125" style="161" bestFit="1" customWidth="1"/>
    <col min="5382" max="5382" width="6.42578125" style="161" bestFit="1" customWidth="1"/>
    <col min="5383" max="5383" width="3.5703125" style="161" customWidth="1"/>
    <col min="5384" max="5384" width="17" style="161" customWidth="1"/>
    <col min="5385" max="5385" width="3.42578125" style="161" customWidth="1"/>
    <col min="5386" max="5386" width="18.28515625" style="161" bestFit="1" customWidth="1"/>
    <col min="5387" max="5387" width="3.140625" style="161" customWidth="1"/>
    <col min="5388" max="5388" width="16.28515625" style="161" customWidth="1"/>
    <col min="5389" max="5389" width="1.28515625" style="161" customWidth="1"/>
    <col min="5390" max="5390" width="15.5703125" style="161" bestFit="1" customWidth="1"/>
    <col min="5391" max="5391" width="1.42578125" style="161" customWidth="1"/>
    <col min="5392" max="5392" width="15" style="161" customWidth="1"/>
    <col min="5393" max="5393" width="1.7109375" style="161" customWidth="1"/>
    <col min="5394" max="5394" width="12.85546875" style="161" bestFit="1" customWidth="1"/>
    <col min="5395" max="5395" width="2.85546875" style="161" customWidth="1"/>
    <col min="5396" max="5396" width="15.42578125" style="161" bestFit="1" customWidth="1"/>
    <col min="5397" max="5397" width="1.7109375" style="161" customWidth="1"/>
    <col min="5398" max="5398" width="14.5703125" style="161" bestFit="1" customWidth="1"/>
    <col min="5399" max="5399" width="1.5703125" style="161" customWidth="1"/>
    <col min="5400" max="5400" width="16" style="161" bestFit="1" customWidth="1"/>
    <col min="5401" max="5401" width="3" style="161" customWidth="1"/>
    <col min="5402" max="5402" width="15.85546875" style="161" bestFit="1" customWidth="1"/>
    <col min="5403" max="5403" width="1.85546875" style="161" customWidth="1"/>
    <col min="5404" max="5404" width="15.28515625" style="161" customWidth="1"/>
    <col min="5405" max="5405" width="1.7109375" style="161" customWidth="1"/>
    <col min="5406" max="5406" width="11.85546875" style="161" bestFit="1" customWidth="1"/>
    <col min="5407" max="5407" width="1.7109375" style="161" customWidth="1"/>
    <col min="5408" max="5408" width="14.42578125" style="161" bestFit="1" customWidth="1"/>
    <col min="5409" max="5409" width="34.7109375" style="161" customWidth="1"/>
    <col min="5410" max="5632" width="9.140625" style="161"/>
    <col min="5633" max="5634" width="10.7109375" style="161" customWidth="1"/>
    <col min="5635" max="5635" width="27.42578125" style="161" customWidth="1"/>
    <col min="5636" max="5636" width="5.5703125" style="161" customWidth="1"/>
    <col min="5637" max="5637" width="14.5703125" style="161" bestFit="1" customWidth="1"/>
    <col min="5638" max="5638" width="6.42578125" style="161" bestFit="1" customWidth="1"/>
    <col min="5639" max="5639" width="3.5703125" style="161" customWidth="1"/>
    <col min="5640" max="5640" width="17" style="161" customWidth="1"/>
    <col min="5641" max="5641" width="3.42578125" style="161" customWidth="1"/>
    <col min="5642" max="5642" width="18.28515625" style="161" bestFit="1" customWidth="1"/>
    <col min="5643" max="5643" width="3.140625" style="161" customWidth="1"/>
    <col min="5644" max="5644" width="16.28515625" style="161" customWidth="1"/>
    <col min="5645" max="5645" width="1.28515625" style="161" customWidth="1"/>
    <col min="5646" max="5646" width="15.5703125" style="161" bestFit="1" customWidth="1"/>
    <col min="5647" max="5647" width="1.42578125" style="161" customWidth="1"/>
    <col min="5648" max="5648" width="15" style="161" customWidth="1"/>
    <col min="5649" max="5649" width="1.7109375" style="161" customWidth="1"/>
    <col min="5650" max="5650" width="12.85546875" style="161" bestFit="1" customWidth="1"/>
    <col min="5651" max="5651" width="2.85546875" style="161" customWidth="1"/>
    <col min="5652" max="5652" width="15.42578125" style="161" bestFit="1" customWidth="1"/>
    <col min="5653" max="5653" width="1.7109375" style="161" customWidth="1"/>
    <col min="5654" max="5654" width="14.5703125" style="161" bestFit="1" customWidth="1"/>
    <col min="5655" max="5655" width="1.5703125" style="161" customWidth="1"/>
    <col min="5656" max="5656" width="16" style="161" bestFit="1" customWidth="1"/>
    <col min="5657" max="5657" width="3" style="161" customWidth="1"/>
    <col min="5658" max="5658" width="15.85546875" style="161" bestFit="1" customWidth="1"/>
    <col min="5659" max="5659" width="1.85546875" style="161" customWidth="1"/>
    <col min="5660" max="5660" width="15.28515625" style="161" customWidth="1"/>
    <col min="5661" max="5661" width="1.7109375" style="161" customWidth="1"/>
    <col min="5662" max="5662" width="11.85546875" style="161" bestFit="1" customWidth="1"/>
    <col min="5663" max="5663" width="1.7109375" style="161" customWidth="1"/>
    <col min="5664" max="5664" width="14.42578125" style="161" bestFit="1" customWidth="1"/>
    <col min="5665" max="5665" width="34.7109375" style="161" customWidth="1"/>
    <col min="5666" max="5888" width="9.140625" style="161"/>
    <col min="5889" max="5890" width="10.7109375" style="161" customWidth="1"/>
    <col min="5891" max="5891" width="27.42578125" style="161" customWidth="1"/>
    <col min="5892" max="5892" width="5.5703125" style="161" customWidth="1"/>
    <col min="5893" max="5893" width="14.5703125" style="161" bestFit="1" customWidth="1"/>
    <col min="5894" max="5894" width="6.42578125" style="161" bestFit="1" customWidth="1"/>
    <col min="5895" max="5895" width="3.5703125" style="161" customWidth="1"/>
    <col min="5896" max="5896" width="17" style="161" customWidth="1"/>
    <col min="5897" max="5897" width="3.42578125" style="161" customWidth="1"/>
    <col min="5898" max="5898" width="18.28515625" style="161" bestFit="1" customWidth="1"/>
    <col min="5899" max="5899" width="3.140625" style="161" customWidth="1"/>
    <col min="5900" max="5900" width="16.28515625" style="161" customWidth="1"/>
    <col min="5901" max="5901" width="1.28515625" style="161" customWidth="1"/>
    <col min="5902" max="5902" width="15.5703125" style="161" bestFit="1" customWidth="1"/>
    <col min="5903" max="5903" width="1.42578125" style="161" customWidth="1"/>
    <col min="5904" max="5904" width="15" style="161" customWidth="1"/>
    <col min="5905" max="5905" width="1.7109375" style="161" customWidth="1"/>
    <col min="5906" max="5906" width="12.85546875" style="161" bestFit="1" customWidth="1"/>
    <col min="5907" max="5907" width="2.85546875" style="161" customWidth="1"/>
    <col min="5908" max="5908" width="15.42578125" style="161" bestFit="1" customWidth="1"/>
    <col min="5909" max="5909" width="1.7109375" style="161" customWidth="1"/>
    <col min="5910" max="5910" width="14.5703125" style="161" bestFit="1" customWidth="1"/>
    <col min="5911" max="5911" width="1.5703125" style="161" customWidth="1"/>
    <col min="5912" max="5912" width="16" style="161" bestFit="1" customWidth="1"/>
    <col min="5913" max="5913" width="3" style="161" customWidth="1"/>
    <col min="5914" max="5914" width="15.85546875" style="161" bestFit="1" customWidth="1"/>
    <col min="5915" max="5915" width="1.85546875" style="161" customWidth="1"/>
    <col min="5916" max="5916" width="15.28515625" style="161" customWidth="1"/>
    <col min="5917" max="5917" width="1.7109375" style="161" customWidth="1"/>
    <col min="5918" max="5918" width="11.85546875" style="161" bestFit="1" customWidth="1"/>
    <col min="5919" max="5919" width="1.7109375" style="161" customWidth="1"/>
    <col min="5920" max="5920" width="14.42578125" style="161" bestFit="1" customWidth="1"/>
    <col min="5921" max="5921" width="34.7109375" style="161" customWidth="1"/>
    <col min="5922" max="6144" width="9.140625" style="161"/>
    <col min="6145" max="6146" width="10.7109375" style="161" customWidth="1"/>
    <col min="6147" max="6147" width="27.42578125" style="161" customWidth="1"/>
    <col min="6148" max="6148" width="5.5703125" style="161" customWidth="1"/>
    <col min="6149" max="6149" width="14.5703125" style="161" bestFit="1" customWidth="1"/>
    <col min="6150" max="6150" width="6.42578125" style="161" bestFit="1" customWidth="1"/>
    <col min="6151" max="6151" width="3.5703125" style="161" customWidth="1"/>
    <col min="6152" max="6152" width="17" style="161" customWidth="1"/>
    <col min="6153" max="6153" width="3.42578125" style="161" customWidth="1"/>
    <col min="6154" max="6154" width="18.28515625" style="161" bestFit="1" customWidth="1"/>
    <col min="6155" max="6155" width="3.140625" style="161" customWidth="1"/>
    <col min="6156" max="6156" width="16.28515625" style="161" customWidth="1"/>
    <col min="6157" max="6157" width="1.28515625" style="161" customWidth="1"/>
    <col min="6158" max="6158" width="15.5703125" style="161" bestFit="1" customWidth="1"/>
    <col min="6159" max="6159" width="1.42578125" style="161" customWidth="1"/>
    <col min="6160" max="6160" width="15" style="161" customWidth="1"/>
    <col min="6161" max="6161" width="1.7109375" style="161" customWidth="1"/>
    <col min="6162" max="6162" width="12.85546875" style="161" bestFit="1" customWidth="1"/>
    <col min="6163" max="6163" width="2.85546875" style="161" customWidth="1"/>
    <col min="6164" max="6164" width="15.42578125" style="161" bestFit="1" customWidth="1"/>
    <col min="6165" max="6165" width="1.7109375" style="161" customWidth="1"/>
    <col min="6166" max="6166" width="14.5703125" style="161" bestFit="1" customWidth="1"/>
    <col min="6167" max="6167" width="1.5703125" style="161" customWidth="1"/>
    <col min="6168" max="6168" width="16" style="161" bestFit="1" customWidth="1"/>
    <col min="6169" max="6169" width="3" style="161" customWidth="1"/>
    <col min="6170" max="6170" width="15.85546875" style="161" bestFit="1" customWidth="1"/>
    <col min="6171" max="6171" width="1.85546875" style="161" customWidth="1"/>
    <col min="6172" max="6172" width="15.28515625" style="161" customWidth="1"/>
    <col min="6173" max="6173" width="1.7109375" style="161" customWidth="1"/>
    <col min="6174" max="6174" width="11.85546875" style="161" bestFit="1" customWidth="1"/>
    <col min="6175" max="6175" width="1.7109375" style="161" customWidth="1"/>
    <col min="6176" max="6176" width="14.42578125" style="161" bestFit="1" customWidth="1"/>
    <col min="6177" max="6177" width="34.7109375" style="161" customWidth="1"/>
    <col min="6178" max="6400" width="9.140625" style="161"/>
    <col min="6401" max="6402" width="10.7109375" style="161" customWidth="1"/>
    <col min="6403" max="6403" width="27.42578125" style="161" customWidth="1"/>
    <col min="6404" max="6404" width="5.5703125" style="161" customWidth="1"/>
    <col min="6405" max="6405" width="14.5703125" style="161" bestFit="1" customWidth="1"/>
    <col min="6406" max="6406" width="6.42578125" style="161" bestFit="1" customWidth="1"/>
    <col min="6407" max="6407" width="3.5703125" style="161" customWidth="1"/>
    <col min="6408" max="6408" width="17" style="161" customWidth="1"/>
    <col min="6409" max="6409" width="3.42578125" style="161" customWidth="1"/>
    <col min="6410" max="6410" width="18.28515625" style="161" bestFit="1" customWidth="1"/>
    <col min="6411" max="6411" width="3.140625" style="161" customWidth="1"/>
    <col min="6412" max="6412" width="16.28515625" style="161" customWidth="1"/>
    <col min="6413" max="6413" width="1.28515625" style="161" customWidth="1"/>
    <col min="6414" max="6414" width="15.5703125" style="161" bestFit="1" customWidth="1"/>
    <col min="6415" max="6415" width="1.42578125" style="161" customWidth="1"/>
    <col min="6416" max="6416" width="15" style="161" customWidth="1"/>
    <col min="6417" max="6417" width="1.7109375" style="161" customWidth="1"/>
    <col min="6418" max="6418" width="12.85546875" style="161" bestFit="1" customWidth="1"/>
    <col min="6419" max="6419" width="2.85546875" style="161" customWidth="1"/>
    <col min="6420" max="6420" width="15.42578125" style="161" bestFit="1" customWidth="1"/>
    <col min="6421" max="6421" width="1.7109375" style="161" customWidth="1"/>
    <col min="6422" max="6422" width="14.5703125" style="161" bestFit="1" customWidth="1"/>
    <col min="6423" max="6423" width="1.5703125" style="161" customWidth="1"/>
    <col min="6424" max="6424" width="16" style="161" bestFit="1" customWidth="1"/>
    <col min="6425" max="6425" width="3" style="161" customWidth="1"/>
    <col min="6426" max="6426" width="15.85546875" style="161" bestFit="1" customWidth="1"/>
    <col min="6427" max="6427" width="1.85546875" style="161" customWidth="1"/>
    <col min="6428" max="6428" width="15.28515625" style="161" customWidth="1"/>
    <col min="6429" max="6429" width="1.7109375" style="161" customWidth="1"/>
    <col min="6430" max="6430" width="11.85546875" style="161" bestFit="1" customWidth="1"/>
    <col min="6431" max="6431" width="1.7109375" style="161" customWidth="1"/>
    <col min="6432" max="6432" width="14.42578125" style="161" bestFit="1" customWidth="1"/>
    <col min="6433" max="6433" width="34.7109375" style="161" customWidth="1"/>
    <col min="6434" max="6656" width="9.140625" style="161"/>
    <col min="6657" max="6658" width="10.7109375" style="161" customWidth="1"/>
    <col min="6659" max="6659" width="27.42578125" style="161" customWidth="1"/>
    <col min="6660" max="6660" width="5.5703125" style="161" customWidth="1"/>
    <col min="6661" max="6661" width="14.5703125" style="161" bestFit="1" customWidth="1"/>
    <col min="6662" max="6662" width="6.42578125" style="161" bestFit="1" customWidth="1"/>
    <col min="6663" max="6663" width="3.5703125" style="161" customWidth="1"/>
    <col min="6664" max="6664" width="17" style="161" customWidth="1"/>
    <col min="6665" max="6665" width="3.42578125" style="161" customWidth="1"/>
    <col min="6666" max="6666" width="18.28515625" style="161" bestFit="1" customWidth="1"/>
    <col min="6667" max="6667" width="3.140625" style="161" customWidth="1"/>
    <col min="6668" max="6668" width="16.28515625" style="161" customWidth="1"/>
    <col min="6669" max="6669" width="1.28515625" style="161" customWidth="1"/>
    <col min="6670" max="6670" width="15.5703125" style="161" bestFit="1" customWidth="1"/>
    <col min="6671" max="6671" width="1.42578125" style="161" customWidth="1"/>
    <col min="6672" max="6672" width="15" style="161" customWidth="1"/>
    <col min="6673" max="6673" width="1.7109375" style="161" customWidth="1"/>
    <col min="6674" max="6674" width="12.85546875" style="161" bestFit="1" customWidth="1"/>
    <col min="6675" max="6675" width="2.85546875" style="161" customWidth="1"/>
    <col min="6676" max="6676" width="15.42578125" style="161" bestFit="1" customWidth="1"/>
    <col min="6677" max="6677" width="1.7109375" style="161" customWidth="1"/>
    <col min="6678" max="6678" width="14.5703125" style="161" bestFit="1" customWidth="1"/>
    <col min="6679" max="6679" width="1.5703125" style="161" customWidth="1"/>
    <col min="6680" max="6680" width="16" style="161" bestFit="1" customWidth="1"/>
    <col min="6681" max="6681" width="3" style="161" customWidth="1"/>
    <col min="6682" max="6682" width="15.85546875" style="161" bestFit="1" customWidth="1"/>
    <col min="6683" max="6683" width="1.85546875" style="161" customWidth="1"/>
    <col min="6684" max="6684" width="15.28515625" style="161" customWidth="1"/>
    <col min="6685" max="6685" width="1.7109375" style="161" customWidth="1"/>
    <col min="6686" max="6686" width="11.85546875" style="161" bestFit="1" customWidth="1"/>
    <col min="6687" max="6687" width="1.7109375" style="161" customWidth="1"/>
    <col min="6688" max="6688" width="14.42578125" style="161" bestFit="1" customWidth="1"/>
    <col min="6689" max="6689" width="34.7109375" style="161" customWidth="1"/>
    <col min="6690" max="6912" width="9.140625" style="161"/>
    <col min="6913" max="6914" width="10.7109375" style="161" customWidth="1"/>
    <col min="6915" max="6915" width="27.42578125" style="161" customWidth="1"/>
    <col min="6916" max="6916" width="5.5703125" style="161" customWidth="1"/>
    <col min="6917" max="6917" width="14.5703125" style="161" bestFit="1" customWidth="1"/>
    <col min="6918" max="6918" width="6.42578125" style="161" bestFit="1" customWidth="1"/>
    <col min="6919" max="6919" width="3.5703125" style="161" customWidth="1"/>
    <col min="6920" max="6920" width="17" style="161" customWidth="1"/>
    <col min="6921" max="6921" width="3.42578125" style="161" customWidth="1"/>
    <col min="6922" max="6922" width="18.28515625" style="161" bestFit="1" customWidth="1"/>
    <col min="6923" max="6923" width="3.140625" style="161" customWidth="1"/>
    <col min="6924" max="6924" width="16.28515625" style="161" customWidth="1"/>
    <col min="6925" max="6925" width="1.28515625" style="161" customWidth="1"/>
    <col min="6926" max="6926" width="15.5703125" style="161" bestFit="1" customWidth="1"/>
    <col min="6927" max="6927" width="1.42578125" style="161" customWidth="1"/>
    <col min="6928" max="6928" width="15" style="161" customWidth="1"/>
    <col min="6929" max="6929" width="1.7109375" style="161" customWidth="1"/>
    <col min="6930" max="6930" width="12.85546875" style="161" bestFit="1" customWidth="1"/>
    <col min="6931" max="6931" width="2.85546875" style="161" customWidth="1"/>
    <col min="6932" max="6932" width="15.42578125" style="161" bestFit="1" customWidth="1"/>
    <col min="6933" max="6933" width="1.7109375" style="161" customWidth="1"/>
    <col min="6934" max="6934" width="14.5703125" style="161" bestFit="1" customWidth="1"/>
    <col min="6935" max="6935" width="1.5703125" style="161" customWidth="1"/>
    <col min="6936" max="6936" width="16" style="161" bestFit="1" customWidth="1"/>
    <col min="6937" max="6937" width="3" style="161" customWidth="1"/>
    <col min="6938" max="6938" width="15.85546875" style="161" bestFit="1" customWidth="1"/>
    <col min="6939" max="6939" width="1.85546875" style="161" customWidth="1"/>
    <col min="6940" max="6940" width="15.28515625" style="161" customWidth="1"/>
    <col min="6941" max="6941" width="1.7109375" style="161" customWidth="1"/>
    <col min="6942" max="6942" width="11.85546875" style="161" bestFit="1" customWidth="1"/>
    <col min="6943" max="6943" width="1.7109375" style="161" customWidth="1"/>
    <col min="6944" max="6944" width="14.42578125" style="161" bestFit="1" customWidth="1"/>
    <col min="6945" max="6945" width="34.7109375" style="161" customWidth="1"/>
    <col min="6946" max="7168" width="9.140625" style="161"/>
    <col min="7169" max="7170" width="10.7109375" style="161" customWidth="1"/>
    <col min="7171" max="7171" width="27.42578125" style="161" customWidth="1"/>
    <col min="7172" max="7172" width="5.5703125" style="161" customWidth="1"/>
    <col min="7173" max="7173" width="14.5703125" style="161" bestFit="1" customWidth="1"/>
    <col min="7174" max="7174" width="6.42578125" style="161" bestFit="1" customWidth="1"/>
    <col min="7175" max="7175" width="3.5703125" style="161" customWidth="1"/>
    <col min="7176" max="7176" width="17" style="161" customWidth="1"/>
    <col min="7177" max="7177" width="3.42578125" style="161" customWidth="1"/>
    <col min="7178" max="7178" width="18.28515625" style="161" bestFit="1" customWidth="1"/>
    <col min="7179" max="7179" width="3.140625" style="161" customWidth="1"/>
    <col min="7180" max="7180" width="16.28515625" style="161" customWidth="1"/>
    <col min="7181" max="7181" width="1.28515625" style="161" customWidth="1"/>
    <col min="7182" max="7182" width="15.5703125" style="161" bestFit="1" customWidth="1"/>
    <col min="7183" max="7183" width="1.42578125" style="161" customWidth="1"/>
    <col min="7184" max="7184" width="15" style="161" customWidth="1"/>
    <col min="7185" max="7185" width="1.7109375" style="161" customWidth="1"/>
    <col min="7186" max="7186" width="12.85546875" style="161" bestFit="1" customWidth="1"/>
    <col min="7187" max="7187" width="2.85546875" style="161" customWidth="1"/>
    <col min="7188" max="7188" width="15.42578125" style="161" bestFit="1" customWidth="1"/>
    <col min="7189" max="7189" width="1.7109375" style="161" customWidth="1"/>
    <col min="7190" max="7190" width="14.5703125" style="161" bestFit="1" customWidth="1"/>
    <col min="7191" max="7191" width="1.5703125" style="161" customWidth="1"/>
    <col min="7192" max="7192" width="16" style="161" bestFit="1" customWidth="1"/>
    <col min="7193" max="7193" width="3" style="161" customWidth="1"/>
    <col min="7194" max="7194" width="15.85546875" style="161" bestFit="1" customWidth="1"/>
    <col min="7195" max="7195" width="1.85546875" style="161" customWidth="1"/>
    <col min="7196" max="7196" width="15.28515625" style="161" customWidth="1"/>
    <col min="7197" max="7197" width="1.7109375" style="161" customWidth="1"/>
    <col min="7198" max="7198" width="11.85546875" style="161" bestFit="1" customWidth="1"/>
    <col min="7199" max="7199" width="1.7109375" style="161" customWidth="1"/>
    <col min="7200" max="7200" width="14.42578125" style="161" bestFit="1" customWidth="1"/>
    <col min="7201" max="7201" width="34.7109375" style="161" customWidth="1"/>
    <col min="7202" max="7424" width="9.140625" style="161"/>
    <col min="7425" max="7426" width="10.7109375" style="161" customWidth="1"/>
    <col min="7427" max="7427" width="27.42578125" style="161" customWidth="1"/>
    <col min="7428" max="7428" width="5.5703125" style="161" customWidth="1"/>
    <col min="7429" max="7429" width="14.5703125" style="161" bestFit="1" customWidth="1"/>
    <col min="7430" max="7430" width="6.42578125" style="161" bestFit="1" customWidth="1"/>
    <col min="7431" max="7431" width="3.5703125" style="161" customWidth="1"/>
    <col min="7432" max="7432" width="17" style="161" customWidth="1"/>
    <col min="7433" max="7433" width="3.42578125" style="161" customWidth="1"/>
    <col min="7434" max="7434" width="18.28515625" style="161" bestFit="1" customWidth="1"/>
    <col min="7435" max="7435" width="3.140625" style="161" customWidth="1"/>
    <col min="7436" max="7436" width="16.28515625" style="161" customWidth="1"/>
    <col min="7437" max="7437" width="1.28515625" style="161" customWidth="1"/>
    <col min="7438" max="7438" width="15.5703125" style="161" bestFit="1" customWidth="1"/>
    <col min="7439" max="7439" width="1.42578125" style="161" customWidth="1"/>
    <col min="7440" max="7440" width="15" style="161" customWidth="1"/>
    <col min="7441" max="7441" width="1.7109375" style="161" customWidth="1"/>
    <col min="7442" max="7442" width="12.85546875" style="161" bestFit="1" customWidth="1"/>
    <col min="7443" max="7443" width="2.85546875" style="161" customWidth="1"/>
    <col min="7444" max="7444" width="15.42578125" style="161" bestFit="1" customWidth="1"/>
    <col min="7445" max="7445" width="1.7109375" style="161" customWidth="1"/>
    <col min="7446" max="7446" width="14.5703125" style="161" bestFit="1" customWidth="1"/>
    <col min="7447" max="7447" width="1.5703125" style="161" customWidth="1"/>
    <col min="7448" max="7448" width="16" style="161" bestFit="1" customWidth="1"/>
    <col min="7449" max="7449" width="3" style="161" customWidth="1"/>
    <col min="7450" max="7450" width="15.85546875" style="161" bestFit="1" customWidth="1"/>
    <col min="7451" max="7451" width="1.85546875" style="161" customWidth="1"/>
    <col min="7452" max="7452" width="15.28515625" style="161" customWidth="1"/>
    <col min="7453" max="7453" width="1.7109375" style="161" customWidth="1"/>
    <col min="7454" max="7454" width="11.85546875" style="161" bestFit="1" customWidth="1"/>
    <col min="7455" max="7455" width="1.7109375" style="161" customWidth="1"/>
    <col min="7456" max="7456" width="14.42578125" style="161" bestFit="1" customWidth="1"/>
    <col min="7457" max="7457" width="34.7109375" style="161" customWidth="1"/>
    <col min="7458" max="7680" width="9.140625" style="161"/>
    <col min="7681" max="7682" width="10.7109375" style="161" customWidth="1"/>
    <col min="7683" max="7683" width="27.42578125" style="161" customWidth="1"/>
    <col min="7684" max="7684" width="5.5703125" style="161" customWidth="1"/>
    <col min="7685" max="7685" width="14.5703125" style="161" bestFit="1" customWidth="1"/>
    <col min="7686" max="7686" width="6.42578125" style="161" bestFit="1" customWidth="1"/>
    <col min="7687" max="7687" width="3.5703125" style="161" customWidth="1"/>
    <col min="7688" max="7688" width="17" style="161" customWidth="1"/>
    <col min="7689" max="7689" width="3.42578125" style="161" customWidth="1"/>
    <col min="7690" max="7690" width="18.28515625" style="161" bestFit="1" customWidth="1"/>
    <col min="7691" max="7691" width="3.140625" style="161" customWidth="1"/>
    <col min="7692" max="7692" width="16.28515625" style="161" customWidth="1"/>
    <col min="7693" max="7693" width="1.28515625" style="161" customWidth="1"/>
    <col min="7694" max="7694" width="15.5703125" style="161" bestFit="1" customWidth="1"/>
    <col min="7695" max="7695" width="1.42578125" style="161" customWidth="1"/>
    <col min="7696" max="7696" width="15" style="161" customWidth="1"/>
    <col min="7697" max="7697" width="1.7109375" style="161" customWidth="1"/>
    <col min="7698" max="7698" width="12.85546875" style="161" bestFit="1" customWidth="1"/>
    <col min="7699" max="7699" width="2.85546875" style="161" customWidth="1"/>
    <col min="7700" max="7700" width="15.42578125" style="161" bestFit="1" customWidth="1"/>
    <col min="7701" max="7701" width="1.7109375" style="161" customWidth="1"/>
    <col min="7702" max="7702" width="14.5703125" style="161" bestFit="1" customWidth="1"/>
    <col min="7703" max="7703" width="1.5703125" style="161" customWidth="1"/>
    <col min="7704" max="7704" width="16" style="161" bestFit="1" customWidth="1"/>
    <col min="7705" max="7705" width="3" style="161" customWidth="1"/>
    <col min="7706" max="7706" width="15.85546875" style="161" bestFit="1" customWidth="1"/>
    <col min="7707" max="7707" width="1.85546875" style="161" customWidth="1"/>
    <col min="7708" max="7708" width="15.28515625" style="161" customWidth="1"/>
    <col min="7709" max="7709" width="1.7109375" style="161" customWidth="1"/>
    <col min="7710" max="7710" width="11.85546875" style="161" bestFit="1" customWidth="1"/>
    <col min="7711" max="7711" width="1.7109375" style="161" customWidth="1"/>
    <col min="7712" max="7712" width="14.42578125" style="161" bestFit="1" customWidth="1"/>
    <col min="7713" max="7713" width="34.7109375" style="161" customWidth="1"/>
    <col min="7714" max="7936" width="9.140625" style="161"/>
    <col min="7937" max="7938" width="10.7109375" style="161" customWidth="1"/>
    <col min="7939" max="7939" width="27.42578125" style="161" customWidth="1"/>
    <col min="7940" max="7940" width="5.5703125" style="161" customWidth="1"/>
    <col min="7941" max="7941" width="14.5703125" style="161" bestFit="1" customWidth="1"/>
    <col min="7942" max="7942" width="6.42578125" style="161" bestFit="1" customWidth="1"/>
    <col min="7943" max="7943" width="3.5703125" style="161" customWidth="1"/>
    <col min="7944" max="7944" width="17" style="161" customWidth="1"/>
    <col min="7945" max="7945" width="3.42578125" style="161" customWidth="1"/>
    <col min="7946" max="7946" width="18.28515625" style="161" bestFit="1" customWidth="1"/>
    <col min="7947" max="7947" width="3.140625" style="161" customWidth="1"/>
    <col min="7948" max="7948" width="16.28515625" style="161" customWidth="1"/>
    <col min="7949" max="7949" width="1.28515625" style="161" customWidth="1"/>
    <col min="7950" max="7950" width="15.5703125" style="161" bestFit="1" customWidth="1"/>
    <col min="7951" max="7951" width="1.42578125" style="161" customWidth="1"/>
    <col min="7952" max="7952" width="15" style="161" customWidth="1"/>
    <col min="7953" max="7953" width="1.7109375" style="161" customWidth="1"/>
    <col min="7954" max="7954" width="12.85546875" style="161" bestFit="1" customWidth="1"/>
    <col min="7955" max="7955" width="2.85546875" style="161" customWidth="1"/>
    <col min="7956" max="7956" width="15.42578125" style="161" bestFit="1" customWidth="1"/>
    <col min="7957" max="7957" width="1.7109375" style="161" customWidth="1"/>
    <col min="7958" max="7958" width="14.5703125" style="161" bestFit="1" customWidth="1"/>
    <col min="7959" max="7959" width="1.5703125" style="161" customWidth="1"/>
    <col min="7960" max="7960" width="16" style="161" bestFit="1" customWidth="1"/>
    <col min="7961" max="7961" width="3" style="161" customWidth="1"/>
    <col min="7962" max="7962" width="15.85546875" style="161" bestFit="1" customWidth="1"/>
    <col min="7963" max="7963" width="1.85546875" style="161" customWidth="1"/>
    <col min="7964" max="7964" width="15.28515625" style="161" customWidth="1"/>
    <col min="7965" max="7965" width="1.7109375" style="161" customWidth="1"/>
    <col min="7966" max="7966" width="11.85546875" style="161" bestFit="1" customWidth="1"/>
    <col min="7967" max="7967" width="1.7109375" style="161" customWidth="1"/>
    <col min="7968" max="7968" width="14.42578125" style="161" bestFit="1" customWidth="1"/>
    <col min="7969" max="7969" width="34.7109375" style="161" customWidth="1"/>
    <col min="7970" max="8192" width="9.140625" style="161"/>
    <col min="8193" max="8194" width="10.7109375" style="161" customWidth="1"/>
    <col min="8195" max="8195" width="27.42578125" style="161" customWidth="1"/>
    <col min="8196" max="8196" width="5.5703125" style="161" customWidth="1"/>
    <col min="8197" max="8197" width="14.5703125" style="161" bestFit="1" customWidth="1"/>
    <col min="8198" max="8198" width="6.42578125" style="161" bestFit="1" customWidth="1"/>
    <col min="8199" max="8199" width="3.5703125" style="161" customWidth="1"/>
    <col min="8200" max="8200" width="17" style="161" customWidth="1"/>
    <col min="8201" max="8201" width="3.42578125" style="161" customWidth="1"/>
    <col min="8202" max="8202" width="18.28515625" style="161" bestFit="1" customWidth="1"/>
    <col min="8203" max="8203" width="3.140625" style="161" customWidth="1"/>
    <col min="8204" max="8204" width="16.28515625" style="161" customWidth="1"/>
    <col min="8205" max="8205" width="1.28515625" style="161" customWidth="1"/>
    <col min="8206" max="8206" width="15.5703125" style="161" bestFit="1" customWidth="1"/>
    <col min="8207" max="8207" width="1.42578125" style="161" customWidth="1"/>
    <col min="8208" max="8208" width="15" style="161" customWidth="1"/>
    <col min="8209" max="8209" width="1.7109375" style="161" customWidth="1"/>
    <col min="8210" max="8210" width="12.85546875" style="161" bestFit="1" customWidth="1"/>
    <col min="8211" max="8211" width="2.85546875" style="161" customWidth="1"/>
    <col min="8212" max="8212" width="15.42578125" style="161" bestFit="1" customWidth="1"/>
    <col min="8213" max="8213" width="1.7109375" style="161" customWidth="1"/>
    <col min="8214" max="8214" width="14.5703125" style="161" bestFit="1" customWidth="1"/>
    <col min="8215" max="8215" width="1.5703125" style="161" customWidth="1"/>
    <col min="8216" max="8216" width="16" style="161" bestFit="1" customWidth="1"/>
    <col min="8217" max="8217" width="3" style="161" customWidth="1"/>
    <col min="8218" max="8218" width="15.85546875" style="161" bestFit="1" customWidth="1"/>
    <col min="8219" max="8219" width="1.85546875" style="161" customWidth="1"/>
    <col min="8220" max="8220" width="15.28515625" style="161" customWidth="1"/>
    <col min="8221" max="8221" width="1.7109375" style="161" customWidth="1"/>
    <col min="8222" max="8222" width="11.85546875" style="161" bestFit="1" customWidth="1"/>
    <col min="8223" max="8223" width="1.7109375" style="161" customWidth="1"/>
    <col min="8224" max="8224" width="14.42578125" style="161" bestFit="1" customWidth="1"/>
    <col min="8225" max="8225" width="34.7109375" style="161" customWidth="1"/>
    <col min="8226" max="8448" width="9.140625" style="161"/>
    <col min="8449" max="8450" width="10.7109375" style="161" customWidth="1"/>
    <col min="8451" max="8451" width="27.42578125" style="161" customWidth="1"/>
    <col min="8452" max="8452" width="5.5703125" style="161" customWidth="1"/>
    <col min="8453" max="8453" width="14.5703125" style="161" bestFit="1" customWidth="1"/>
    <col min="8454" max="8454" width="6.42578125" style="161" bestFit="1" customWidth="1"/>
    <col min="8455" max="8455" width="3.5703125" style="161" customWidth="1"/>
    <col min="8456" max="8456" width="17" style="161" customWidth="1"/>
    <col min="8457" max="8457" width="3.42578125" style="161" customWidth="1"/>
    <col min="8458" max="8458" width="18.28515625" style="161" bestFit="1" customWidth="1"/>
    <col min="8459" max="8459" width="3.140625" style="161" customWidth="1"/>
    <col min="8460" max="8460" width="16.28515625" style="161" customWidth="1"/>
    <col min="8461" max="8461" width="1.28515625" style="161" customWidth="1"/>
    <col min="8462" max="8462" width="15.5703125" style="161" bestFit="1" customWidth="1"/>
    <col min="8463" max="8463" width="1.42578125" style="161" customWidth="1"/>
    <col min="8464" max="8464" width="15" style="161" customWidth="1"/>
    <col min="8465" max="8465" width="1.7109375" style="161" customWidth="1"/>
    <col min="8466" max="8466" width="12.85546875" style="161" bestFit="1" customWidth="1"/>
    <col min="8467" max="8467" width="2.85546875" style="161" customWidth="1"/>
    <col min="8468" max="8468" width="15.42578125" style="161" bestFit="1" customWidth="1"/>
    <col min="8469" max="8469" width="1.7109375" style="161" customWidth="1"/>
    <col min="8470" max="8470" width="14.5703125" style="161" bestFit="1" customWidth="1"/>
    <col min="8471" max="8471" width="1.5703125" style="161" customWidth="1"/>
    <col min="8472" max="8472" width="16" style="161" bestFit="1" customWidth="1"/>
    <col min="8473" max="8473" width="3" style="161" customWidth="1"/>
    <col min="8474" max="8474" width="15.85546875" style="161" bestFit="1" customWidth="1"/>
    <col min="8475" max="8475" width="1.85546875" style="161" customWidth="1"/>
    <col min="8476" max="8476" width="15.28515625" style="161" customWidth="1"/>
    <col min="8477" max="8477" width="1.7109375" style="161" customWidth="1"/>
    <col min="8478" max="8478" width="11.85546875" style="161" bestFit="1" customWidth="1"/>
    <col min="8479" max="8479" width="1.7109375" style="161" customWidth="1"/>
    <col min="8480" max="8480" width="14.42578125" style="161" bestFit="1" customWidth="1"/>
    <col min="8481" max="8481" width="34.7109375" style="161" customWidth="1"/>
    <col min="8482" max="8704" width="9.140625" style="161"/>
    <col min="8705" max="8706" width="10.7109375" style="161" customWidth="1"/>
    <col min="8707" max="8707" width="27.42578125" style="161" customWidth="1"/>
    <col min="8708" max="8708" width="5.5703125" style="161" customWidth="1"/>
    <col min="8709" max="8709" width="14.5703125" style="161" bestFit="1" customWidth="1"/>
    <col min="8710" max="8710" width="6.42578125" style="161" bestFit="1" customWidth="1"/>
    <col min="8711" max="8711" width="3.5703125" style="161" customWidth="1"/>
    <col min="8712" max="8712" width="17" style="161" customWidth="1"/>
    <col min="8713" max="8713" width="3.42578125" style="161" customWidth="1"/>
    <col min="8714" max="8714" width="18.28515625" style="161" bestFit="1" customWidth="1"/>
    <col min="8715" max="8715" width="3.140625" style="161" customWidth="1"/>
    <col min="8716" max="8716" width="16.28515625" style="161" customWidth="1"/>
    <col min="8717" max="8717" width="1.28515625" style="161" customWidth="1"/>
    <col min="8718" max="8718" width="15.5703125" style="161" bestFit="1" customWidth="1"/>
    <col min="8719" max="8719" width="1.42578125" style="161" customWidth="1"/>
    <col min="8720" max="8720" width="15" style="161" customWidth="1"/>
    <col min="8721" max="8721" width="1.7109375" style="161" customWidth="1"/>
    <col min="8722" max="8722" width="12.85546875" style="161" bestFit="1" customWidth="1"/>
    <col min="8723" max="8723" width="2.85546875" style="161" customWidth="1"/>
    <col min="8724" max="8724" width="15.42578125" style="161" bestFit="1" customWidth="1"/>
    <col min="8725" max="8725" width="1.7109375" style="161" customWidth="1"/>
    <col min="8726" max="8726" width="14.5703125" style="161" bestFit="1" customWidth="1"/>
    <col min="8727" max="8727" width="1.5703125" style="161" customWidth="1"/>
    <col min="8728" max="8728" width="16" style="161" bestFit="1" customWidth="1"/>
    <col min="8729" max="8729" width="3" style="161" customWidth="1"/>
    <col min="8730" max="8730" width="15.85546875" style="161" bestFit="1" customWidth="1"/>
    <col min="8731" max="8731" width="1.85546875" style="161" customWidth="1"/>
    <col min="8732" max="8732" width="15.28515625" style="161" customWidth="1"/>
    <col min="8733" max="8733" width="1.7109375" style="161" customWidth="1"/>
    <col min="8734" max="8734" width="11.85546875" style="161" bestFit="1" customWidth="1"/>
    <col min="8735" max="8735" width="1.7109375" style="161" customWidth="1"/>
    <col min="8736" max="8736" width="14.42578125" style="161" bestFit="1" customWidth="1"/>
    <col min="8737" max="8737" width="34.7109375" style="161" customWidth="1"/>
    <col min="8738" max="8960" width="9.140625" style="161"/>
    <col min="8961" max="8962" width="10.7109375" style="161" customWidth="1"/>
    <col min="8963" max="8963" width="27.42578125" style="161" customWidth="1"/>
    <col min="8964" max="8964" width="5.5703125" style="161" customWidth="1"/>
    <col min="8965" max="8965" width="14.5703125" style="161" bestFit="1" customWidth="1"/>
    <col min="8966" max="8966" width="6.42578125" style="161" bestFit="1" customWidth="1"/>
    <col min="8967" max="8967" width="3.5703125" style="161" customWidth="1"/>
    <col min="8968" max="8968" width="17" style="161" customWidth="1"/>
    <col min="8969" max="8969" width="3.42578125" style="161" customWidth="1"/>
    <col min="8970" max="8970" width="18.28515625" style="161" bestFit="1" customWidth="1"/>
    <col min="8971" max="8971" width="3.140625" style="161" customWidth="1"/>
    <col min="8972" max="8972" width="16.28515625" style="161" customWidth="1"/>
    <col min="8973" max="8973" width="1.28515625" style="161" customWidth="1"/>
    <col min="8974" max="8974" width="15.5703125" style="161" bestFit="1" customWidth="1"/>
    <col min="8975" max="8975" width="1.42578125" style="161" customWidth="1"/>
    <col min="8976" max="8976" width="15" style="161" customWidth="1"/>
    <col min="8977" max="8977" width="1.7109375" style="161" customWidth="1"/>
    <col min="8978" max="8978" width="12.85546875" style="161" bestFit="1" customWidth="1"/>
    <col min="8979" max="8979" width="2.85546875" style="161" customWidth="1"/>
    <col min="8980" max="8980" width="15.42578125" style="161" bestFit="1" customWidth="1"/>
    <col min="8981" max="8981" width="1.7109375" style="161" customWidth="1"/>
    <col min="8982" max="8982" width="14.5703125" style="161" bestFit="1" customWidth="1"/>
    <col min="8983" max="8983" width="1.5703125" style="161" customWidth="1"/>
    <col min="8984" max="8984" width="16" style="161" bestFit="1" customWidth="1"/>
    <col min="8985" max="8985" width="3" style="161" customWidth="1"/>
    <col min="8986" max="8986" width="15.85546875" style="161" bestFit="1" customWidth="1"/>
    <col min="8987" max="8987" width="1.85546875" style="161" customWidth="1"/>
    <col min="8988" max="8988" width="15.28515625" style="161" customWidth="1"/>
    <col min="8989" max="8989" width="1.7109375" style="161" customWidth="1"/>
    <col min="8990" max="8990" width="11.85546875" style="161" bestFit="1" customWidth="1"/>
    <col min="8991" max="8991" width="1.7109375" style="161" customWidth="1"/>
    <col min="8992" max="8992" width="14.42578125" style="161" bestFit="1" customWidth="1"/>
    <col min="8993" max="8993" width="34.7109375" style="161" customWidth="1"/>
    <col min="8994" max="9216" width="9.140625" style="161"/>
    <col min="9217" max="9218" width="10.7109375" style="161" customWidth="1"/>
    <col min="9219" max="9219" width="27.42578125" style="161" customWidth="1"/>
    <col min="9220" max="9220" width="5.5703125" style="161" customWidth="1"/>
    <col min="9221" max="9221" width="14.5703125" style="161" bestFit="1" customWidth="1"/>
    <col min="9222" max="9222" width="6.42578125" style="161" bestFit="1" customWidth="1"/>
    <col min="9223" max="9223" width="3.5703125" style="161" customWidth="1"/>
    <col min="9224" max="9224" width="17" style="161" customWidth="1"/>
    <col min="9225" max="9225" width="3.42578125" style="161" customWidth="1"/>
    <col min="9226" max="9226" width="18.28515625" style="161" bestFit="1" customWidth="1"/>
    <col min="9227" max="9227" width="3.140625" style="161" customWidth="1"/>
    <col min="9228" max="9228" width="16.28515625" style="161" customWidth="1"/>
    <col min="9229" max="9229" width="1.28515625" style="161" customWidth="1"/>
    <col min="9230" max="9230" width="15.5703125" style="161" bestFit="1" customWidth="1"/>
    <col min="9231" max="9231" width="1.42578125" style="161" customWidth="1"/>
    <col min="9232" max="9232" width="15" style="161" customWidth="1"/>
    <col min="9233" max="9233" width="1.7109375" style="161" customWidth="1"/>
    <col min="9234" max="9234" width="12.85546875" style="161" bestFit="1" customWidth="1"/>
    <col min="9235" max="9235" width="2.85546875" style="161" customWidth="1"/>
    <col min="9236" max="9236" width="15.42578125" style="161" bestFit="1" customWidth="1"/>
    <col min="9237" max="9237" width="1.7109375" style="161" customWidth="1"/>
    <col min="9238" max="9238" width="14.5703125" style="161" bestFit="1" customWidth="1"/>
    <col min="9239" max="9239" width="1.5703125" style="161" customWidth="1"/>
    <col min="9240" max="9240" width="16" style="161" bestFit="1" customWidth="1"/>
    <col min="9241" max="9241" width="3" style="161" customWidth="1"/>
    <col min="9242" max="9242" width="15.85546875" style="161" bestFit="1" customWidth="1"/>
    <col min="9243" max="9243" width="1.85546875" style="161" customWidth="1"/>
    <col min="9244" max="9244" width="15.28515625" style="161" customWidth="1"/>
    <col min="9245" max="9245" width="1.7109375" style="161" customWidth="1"/>
    <col min="9246" max="9246" width="11.85546875" style="161" bestFit="1" customWidth="1"/>
    <col min="9247" max="9247" width="1.7109375" style="161" customWidth="1"/>
    <col min="9248" max="9248" width="14.42578125" style="161" bestFit="1" customWidth="1"/>
    <col min="9249" max="9249" width="34.7109375" style="161" customWidth="1"/>
    <col min="9250" max="9472" width="9.140625" style="161"/>
    <col min="9473" max="9474" width="10.7109375" style="161" customWidth="1"/>
    <col min="9475" max="9475" width="27.42578125" style="161" customWidth="1"/>
    <col min="9476" max="9476" width="5.5703125" style="161" customWidth="1"/>
    <col min="9477" max="9477" width="14.5703125" style="161" bestFit="1" customWidth="1"/>
    <col min="9478" max="9478" width="6.42578125" style="161" bestFit="1" customWidth="1"/>
    <col min="9479" max="9479" width="3.5703125" style="161" customWidth="1"/>
    <col min="9480" max="9480" width="17" style="161" customWidth="1"/>
    <col min="9481" max="9481" width="3.42578125" style="161" customWidth="1"/>
    <col min="9482" max="9482" width="18.28515625" style="161" bestFit="1" customWidth="1"/>
    <col min="9483" max="9483" width="3.140625" style="161" customWidth="1"/>
    <col min="9484" max="9484" width="16.28515625" style="161" customWidth="1"/>
    <col min="9485" max="9485" width="1.28515625" style="161" customWidth="1"/>
    <col min="9486" max="9486" width="15.5703125" style="161" bestFit="1" customWidth="1"/>
    <col min="9487" max="9487" width="1.42578125" style="161" customWidth="1"/>
    <col min="9488" max="9488" width="15" style="161" customWidth="1"/>
    <col min="9489" max="9489" width="1.7109375" style="161" customWidth="1"/>
    <col min="9490" max="9490" width="12.85546875" style="161" bestFit="1" customWidth="1"/>
    <col min="9491" max="9491" width="2.85546875" style="161" customWidth="1"/>
    <col min="9492" max="9492" width="15.42578125" style="161" bestFit="1" customWidth="1"/>
    <col min="9493" max="9493" width="1.7109375" style="161" customWidth="1"/>
    <col min="9494" max="9494" width="14.5703125" style="161" bestFit="1" customWidth="1"/>
    <col min="9495" max="9495" width="1.5703125" style="161" customWidth="1"/>
    <col min="9496" max="9496" width="16" style="161" bestFit="1" customWidth="1"/>
    <col min="9497" max="9497" width="3" style="161" customWidth="1"/>
    <col min="9498" max="9498" width="15.85546875" style="161" bestFit="1" customWidth="1"/>
    <col min="9499" max="9499" width="1.85546875" style="161" customWidth="1"/>
    <col min="9500" max="9500" width="15.28515625" style="161" customWidth="1"/>
    <col min="9501" max="9501" width="1.7109375" style="161" customWidth="1"/>
    <col min="9502" max="9502" width="11.85546875" style="161" bestFit="1" customWidth="1"/>
    <col min="9503" max="9503" width="1.7109375" style="161" customWidth="1"/>
    <col min="9504" max="9504" width="14.42578125" style="161" bestFit="1" customWidth="1"/>
    <col min="9505" max="9505" width="34.7109375" style="161" customWidth="1"/>
    <col min="9506" max="9728" width="9.140625" style="161"/>
    <col min="9729" max="9730" width="10.7109375" style="161" customWidth="1"/>
    <col min="9731" max="9731" width="27.42578125" style="161" customWidth="1"/>
    <col min="9732" max="9732" width="5.5703125" style="161" customWidth="1"/>
    <col min="9733" max="9733" width="14.5703125" style="161" bestFit="1" customWidth="1"/>
    <col min="9734" max="9734" width="6.42578125" style="161" bestFit="1" customWidth="1"/>
    <col min="9735" max="9735" width="3.5703125" style="161" customWidth="1"/>
    <col min="9736" max="9736" width="17" style="161" customWidth="1"/>
    <col min="9737" max="9737" width="3.42578125" style="161" customWidth="1"/>
    <col min="9738" max="9738" width="18.28515625" style="161" bestFit="1" customWidth="1"/>
    <col min="9739" max="9739" width="3.140625" style="161" customWidth="1"/>
    <col min="9740" max="9740" width="16.28515625" style="161" customWidth="1"/>
    <col min="9741" max="9741" width="1.28515625" style="161" customWidth="1"/>
    <col min="9742" max="9742" width="15.5703125" style="161" bestFit="1" customWidth="1"/>
    <col min="9743" max="9743" width="1.42578125" style="161" customWidth="1"/>
    <col min="9744" max="9744" width="15" style="161" customWidth="1"/>
    <col min="9745" max="9745" width="1.7109375" style="161" customWidth="1"/>
    <col min="9746" max="9746" width="12.85546875" style="161" bestFit="1" customWidth="1"/>
    <col min="9747" max="9747" width="2.85546875" style="161" customWidth="1"/>
    <col min="9748" max="9748" width="15.42578125" style="161" bestFit="1" customWidth="1"/>
    <col min="9749" max="9749" width="1.7109375" style="161" customWidth="1"/>
    <col min="9750" max="9750" width="14.5703125" style="161" bestFit="1" customWidth="1"/>
    <col min="9751" max="9751" width="1.5703125" style="161" customWidth="1"/>
    <col min="9752" max="9752" width="16" style="161" bestFit="1" customWidth="1"/>
    <col min="9753" max="9753" width="3" style="161" customWidth="1"/>
    <col min="9754" max="9754" width="15.85546875" style="161" bestFit="1" customWidth="1"/>
    <col min="9755" max="9755" width="1.85546875" style="161" customWidth="1"/>
    <col min="9756" max="9756" width="15.28515625" style="161" customWidth="1"/>
    <col min="9757" max="9757" width="1.7109375" style="161" customWidth="1"/>
    <col min="9758" max="9758" width="11.85546875" style="161" bestFit="1" customWidth="1"/>
    <col min="9759" max="9759" width="1.7109375" style="161" customWidth="1"/>
    <col min="9760" max="9760" width="14.42578125" style="161" bestFit="1" customWidth="1"/>
    <col min="9761" max="9761" width="34.7109375" style="161" customWidth="1"/>
    <col min="9762" max="9984" width="9.140625" style="161"/>
    <col min="9985" max="9986" width="10.7109375" style="161" customWidth="1"/>
    <col min="9987" max="9987" width="27.42578125" style="161" customWidth="1"/>
    <col min="9988" max="9988" width="5.5703125" style="161" customWidth="1"/>
    <col min="9989" max="9989" width="14.5703125" style="161" bestFit="1" customWidth="1"/>
    <col min="9990" max="9990" width="6.42578125" style="161" bestFit="1" customWidth="1"/>
    <col min="9991" max="9991" width="3.5703125" style="161" customWidth="1"/>
    <col min="9992" max="9992" width="17" style="161" customWidth="1"/>
    <col min="9993" max="9993" width="3.42578125" style="161" customWidth="1"/>
    <col min="9994" max="9994" width="18.28515625" style="161" bestFit="1" customWidth="1"/>
    <col min="9995" max="9995" width="3.140625" style="161" customWidth="1"/>
    <col min="9996" max="9996" width="16.28515625" style="161" customWidth="1"/>
    <col min="9997" max="9997" width="1.28515625" style="161" customWidth="1"/>
    <col min="9998" max="9998" width="15.5703125" style="161" bestFit="1" customWidth="1"/>
    <col min="9999" max="9999" width="1.42578125" style="161" customWidth="1"/>
    <col min="10000" max="10000" width="15" style="161" customWidth="1"/>
    <col min="10001" max="10001" width="1.7109375" style="161" customWidth="1"/>
    <col min="10002" max="10002" width="12.85546875" style="161" bestFit="1" customWidth="1"/>
    <col min="10003" max="10003" width="2.85546875" style="161" customWidth="1"/>
    <col min="10004" max="10004" width="15.42578125" style="161" bestFit="1" customWidth="1"/>
    <col min="10005" max="10005" width="1.7109375" style="161" customWidth="1"/>
    <col min="10006" max="10006" width="14.5703125" style="161" bestFit="1" customWidth="1"/>
    <col min="10007" max="10007" width="1.5703125" style="161" customWidth="1"/>
    <col min="10008" max="10008" width="16" style="161" bestFit="1" customWidth="1"/>
    <col min="10009" max="10009" width="3" style="161" customWidth="1"/>
    <col min="10010" max="10010" width="15.85546875" style="161" bestFit="1" customWidth="1"/>
    <col min="10011" max="10011" width="1.85546875" style="161" customWidth="1"/>
    <col min="10012" max="10012" width="15.28515625" style="161" customWidth="1"/>
    <col min="10013" max="10013" width="1.7109375" style="161" customWidth="1"/>
    <col min="10014" max="10014" width="11.85546875" style="161" bestFit="1" customWidth="1"/>
    <col min="10015" max="10015" width="1.7109375" style="161" customWidth="1"/>
    <col min="10016" max="10016" width="14.42578125" style="161" bestFit="1" customWidth="1"/>
    <col min="10017" max="10017" width="34.7109375" style="161" customWidth="1"/>
    <col min="10018" max="10240" width="9.140625" style="161"/>
    <col min="10241" max="10242" width="10.7109375" style="161" customWidth="1"/>
    <col min="10243" max="10243" width="27.42578125" style="161" customWidth="1"/>
    <col min="10244" max="10244" width="5.5703125" style="161" customWidth="1"/>
    <col min="10245" max="10245" width="14.5703125" style="161" bestFit="1" customWidth="1"/>
    <col min="10246" max="10246" width="6.42578125" style="161" bestFit="1" customWidth="1"/>
    <col min="10247" max="10247" width="3.5703125" style="161" customWidth="1"/>
    <col min="10248" max="10248" width="17" style="161" customWidth="1"/>
    <col min="10249" max="10249" width="3.42578125" style="161" customWidth="1"/>
    <col min="10250" max="10250" width="18.28515625" style="161" bestFit="1" customWidth="1"/>
    <col min="10251" max="10251" width="3.140625" style="161" customWidth="1"/>
    <col min="10252" max="10252" width="16.28515625" style="161" customWidth="1"/>
    <col min="10253" max="10253" width="1.28515625" style="161" customWidth="1"/>
    <col min="10254" max="10254" width="15.5703125" style="161" bestFit="1" customWidth="1"/>
    <col min="10255" max="10255" width="1.42578125" style="161" customWidth="1"/>
    <col min="10256" max="10256" width="15" style="161" customWidth="1"/>
    <col min="10257" max="10257" width="1.7109375" style="161" customWidth="1"/>
    <col min="10258" max="10258" width="12.85546875" style="161" bestFit="1" customWidth="1"/>
    <col min="10259" max="10259" width="2.85546875" style="161" customWidth="1"/>
    <col min="10260" max="10260" width="15.42578125" style="161" bestFit="1" customWidth="1"/>
    <col min="10261" max="10261" width="1.7109375" style="161" customWidth="1"/>
    <col min="10262" max="10262" width="14.5703125" style="161" bestFit="1" customWidth="1"/>
    <col min="10263" max="10263" width="1.5703125" style="161" customWidth="1"/>
    <col min="10264" max="10264" width="16" style="161" bestFit="1" customWidth="1"/>
    <col min="10265" max="10265" width="3" style="161" customWidth="1"/>
    <col min="10266" max="10266" width="15.85546875" style="161" bestFit="1" customWidth="1"/>
    <col min="10267" max="10267" width="1.85546875" style="161" customWidth="1"/>
    <col min="10268" max="10268" width="15.28515625" style="161" customWidth="1"/>
    <col min="10269" max="10269" width="1.7109375" style="161" customWidth="1"/>
    <col min="10270" max="10270" width="11.85546875" style="161" bestFit="1" customWidth="1"/>
    <col min="10271" max="10271" width="1.7109375" style="161" customWidth="1"/>
    <col min="10272" max="10272" width="14.42578125" style="161" bestFit="1" customWidth="1"/>
    <col min="10273" max="10273" width="34.7109375" style="161" customWidth="1"/>
    <col min="10274" max="10496" width="9.140625" style="161"/>
    <col min="10497" max="10498" width="10.7109375" style="161" customWidth="1"/>
    <col min="10499" max="10499" width="27.42578125" style="161" customWidth="1"/>
    <col min="10500" max="10500" width="5.5703125" style="161" customWidth="1"/>
    <col min="10501" max="10501" width="14.5703125" style="161" bestFit="1" customWidth="1"/>
    <col min="10502" max="10502" width="6.42578125" style="161" bestFit="1" customWidth="1"/>
    <col min="10503" max="10503" width="3.5703125" style="161" customWidth="1"/>
    <col min="10504" max="10504" width="17" style="161" customWidth="1"/>
    <col min="10505" max="10505" width="3.42578125" style="161" customWidth="1"/>
    <col min="10506" max="10506" width="18.28515625" style="161" bestFit="1" customWidth="1"/>
    <col min="10507" max="10507" width="3.140625" style="161" customWidth="1"/>
    <col min="10508" max="10508" width="16.28515625" style="161" customWidth="1"/>
    <col min="10509" max="10509" width="1.28515625" style="161" customWidth="1"/>
    <col min="10510" max="10510" width="15.5703125" style="161" bestFit="1" customWidth="1"/>
    <col min="10511" max="10511" width="1.42578125" style="161" customWidth="1"/>
    <col min="10512" max="10512" width="15" style="161" customWidth="1"/>
    <col min="10513" max="10513" width="1.7109375" style="161" customWidth="1"/>
    <col min="10514" max="10514" width="12.85546875" style="161" bestFit="1" customWidth="1"/>
    <col min="10515" max="10515" width="2.85546875" style="161" customWidth="1"/>
    <col min="10516" max="10516" width="15.42578125" style="161" bestFit="1" customWidth="1"/>
    <col min="10517" max="10517" width="1.7109375" style="161" customWidth="1"/>
    <col min="10518" max="10518" width="14.5703125" style="161" bestFit="1" customWidth="1"/>
    <col min="10519" max="10519" width="1.5703125" style="161" customWidth="1"/>
    <col min="10520" max="10520" width="16" style="161" bestFit="1" customWidth="1"/>
    <col min="10521" max="10521" width="3" style="161" customWidth="1"/>
    <col min="10522" max="10522" width="15.85546875" style="161" bestFit="1" customWidth="1"/>
    <col min="10523" max="10523" width="1.85546875" style="161" customWidth="1"/>
    <col min="10524" max="10524" width="15.28515625" style="161" customWidth="1"/>
    <col min="10525" max="10525" width="1.7109375" style="161" customWidth="1"/>
    <col min="10526" max="10526" width="11.85546875" style="161" bestFit="1" customWidth="1"/>
    <col min="10527" max="10527" width="1.7109375" style="161" customWidth="1"/>
    <col min="10528" max="10528" width="14.42578125" style="161" bestFit="1" customWidth="1"/>
    <col min="10529" max="10529" width="34.7109375" style="161" customWidth="1"/>
    <col min="10530" max="10752" width="9.140625" style="161"/>
    <col min="10753" max="10754" width="10.7109375" style="161" customWidth="1"/>
    <col min="10755" max="10755" width="27.42578125" style="161" customWidth="1"/>
    <col min="10756" max="10756" width="5.5703125" style="161" customWidth="1"/>
    <col min="10757" max="10757" width="14.5703125" style="161" bestFit="1" customWidth="1"/>
    <col min="10758" max="10758" width="6.42578125" style="161" bestFit="1" customWidth="1"/>
    <col min="10759" max="10759" width="3.5703125" style="161" customWidth="1"/>
    <col min="10760" max="10760" width="17" style="161" customWidth="1"/>
    <col min="10761" max="10761" width="3.42578125" style="161" customWidth="1"/>
    <col min="10762" max="10762" width="18.28515625" style="161" bestFit="1" customWidth="1"/>
    <col min="10763" max="10763" width="3.140625" style="161" customWidth="1"/>
    <col min="10764" max="10764" width="16.28515625" style="161" customWidth="1"/>
    <col min="10765" max="10765" width="1.28515625" style="161" customWidth="1"/>
    <col min="10766" max="10766" width="15.5703125" style="161" bestFit="1" customWidth="1"/>
    <col min="10767" max="10767" width="1.42578125" style="161" customWidth="1"/>
    <col min="10768" max="10768" width="15" style="161" customWidth="1"/>
    <col min="10769" max="10769" width="1.7109375" style="161" customWidth="1"/>
    <col min="10770" max="10770" width="12.85546875" style="161" bestFit="1" customWidth="1"/>
    <col min="10771" max="10771" width="2.85546875" style="161" customWidth="1"/>
    <col min="10772" max="10772" width="15.42578125" style="161" bestFit="1" customWidth="1"/>
    <col min="10773" max="10773" width="1.7109375" style="161" customWidth="1"/>
    <col min="10774" max="10774" width="14.5703125" style="161" bestFit="1" customWidth="1"/>
    <col min="10775" max="10775" width="1.5703125" style="161" customWidth="1"/>
    <col min="10776" max="10776" width="16" style="161" bestFit="1" customWidth="1"/>
    <col min="10777" max="10777" width="3" style="161" customWidth="1"/>
    <col min="10778" max="10778" width="15.85546875" style="161" bestFit="1" customWidth="1"/>
    <col min="10779" max="10779" width="1.85546875" style="161" customWidth="1"/>
    <col min="10780" max="10780" width="15.28515625" style="161" customWidth="1"/>
    <col min="10781" max="10781" width="1.7109375" style="161" customWidth="1"/>
    <col min="10782" max="10782" width="11.85546875" style="161" bestFit="1" customWidth="1"/>
    <col min="10783" max="10783" width="1.7109375" style="161" customWidth="1"/>
    <col min="10784" max="10784" width="14.42578125" style="161" bestFit="1" customWidth="1"/>
    <col min="10785" max="10785" width="34.7109375" style="161" customWidth="1"/>
    <col min="10786" max="11008" width="9.140625" style="161"/>
    <col min="11009" max="11010" width="10.7109375" style="161" customWidth="1"/>
    <col min="11011" max="11011" width="27.42578125" style="161" customWidth="1"/>
    <col min="11012" max="11012" width="5.5703125" style="161" customWidth="1"/>
    <col min="11013" max="11013" width="14.5703125" style="161" bestFit="1" customWidth="1"/>
    <col min="11014" max="11014" width="6.42578125" style="161" bestFit="1" customWidth="1"/>
    <col min="11015" max="11015" width="3.5703125" style="161" customWidth="1"/>
    <col min="11016" max="11016" width="17" style="161" customWidth="1"/>
    <col min="11017" max="11017" width="3.42578125" style="161" customWidth="1"/>
    <col min="11018" max="11018" width="18.28515625" style="161" bestFit="1" customWidth="1"/>
    <col min="11019" max="11019" width="3.140625" style="161" customWidth="1"/>
    <col min="11020" max="11020" width="16.28515625" style="161" customWidth="1"/>
    <col min="11021" max="11021" width="1.28515625" style="161" customWidth="1"/>
    <col min="11022" max="11022" width="15.5703125" style="161" bestFit="1" customWidth="1"/>
    <col min="11023" max="11023" width="1.42578125" style="161" customWidth="1"/>
    <col min="11024" max="11024" width="15" style="161" customWidth="1"/>
    <col min="11025" max="11025" width="1.7109375" style="161" customWidth="1"/>
    <col min="11026" max="11026" width="12.85546875" style="161" bestFit="1" customWidth="1"/>
    <col min="11027" max="11027" width="2.85546875" style="161" customWidth="1"/>
    <col min="11028" max="11028" width="15.42578125" style="161" bestFit="1" customWidth="1"/>
    <col min="11029" max="11029" width="1.7109375" style="161" customWidth="1"/>
    <col min="11030" max="11030" width="14.5703125" style="161" bestFit="1" customWidth="1"/>
    <col min="11031" max="11031" width="1.5703125" style="161" customWidth="1"/>
    <col min="11032" max="11032" width="16" style="161" bestFit="1" customWidth="1"/>
    <col min="11033" max="11033" width="3" style="161" customWidth="1"/>
    <col min="11034" max="11034" width="15.85546875" style="161" bestFit="1" customWidth="1"/>
    <col min="11035" max="11035" width="1.85546875" style="161" customWidth="1"/>
    <col min="11036" max="11036" width="15.28515625" style="161" customWidth="1"/>
    <col min="11037" max="11037" width="1.7109375" style="161" customWidth="1"/>
    <col min="11038" max="11038" width="11.85546875" style="161" bestFit="1" customWidth="1"/>
    <col min="11039" max="11039" width="1.7109375" style="161" customWidth="1"/>
    <col min="11040" max="11040" width="14.42578125" style="161" bestFit="1" customWidth="1"/>
    <col min="11041" max="11041" width="34.7109375" style="161" customWidth="1"/>
    <col min="11042" max="11264" width="9.140625" style="161"/>
    <col min="11265" max="11266" width="10.7109375" style="161" customWidth="1"/>
    <col min="11267" max="11267" width="27.42578125" style="161" customWidth="1"/>
    <col min="11268" max="11268" width="5.5703125" style="161" customWidth="1"/>
    <col min="11269" max="11269" width="14.5703125" style="161" bestFit="1" customWidth="1"/>
    <col min="11270" max="11270" width="6.42578125" style="161" bestFit="1" customWidth="1"/>
    <col min="11271" max="11271" width="3.5703125" style="161" customWidth="1"/>
    <col min="11272" max="11272" width="17" style="161" customWidth="1"/>
    <col min="11273" max="11273" width="3.42578125" style="161" customWidth="1"/>
    <col min="11274" max="11274" width="18.28515625" style="161" bestFit="1" customWidth="1"/>
    <col min="11275" max="11275" width="3.140625" style="161" customWidth="1"/>
    <col min="11276" max="11276" width="16.28515625" style="161" customWidth="1"/>
    <col min="11277" max="11277" width="1.28515625" style="161" customWidth="1"/>
    <col min="11278" max="11278" width="15.5703125" style="161" bestFit="1" customWidth="1"/>
    <col min="11279" max="11279" width="1.42578125" style="161" customWidth="1"/>
    <col min="11280" max="11280" width="15" style="161" customWidth="1"/>
    <col min="11281" max="11281" width="1.7109375" style="161" customWidth="1"/>
    <col min="11282" max="11282" width="12.85546875" style="161" bestFit="1" customWidth="1"/>
    <col min="11283" max="11283" width="2.85546875" style="161" customWidth="1"/>
    <col min="11284" max="11284" width="15.42578125" style="161" bestFit="1" customWidth="1"/>
    <col min="11285" max="11285" width="1.7109375" style="161" customWidth="1"/>
    <col min="11286" max="11286" width="14.5703125" style="161" bestFit="1" customWidth="1"/>
    <col min="11287" max="11287" width="1.5703125" style="161" customWidth="1"/>
    <col min="11288" max="11288" width="16" style="161" bestFit="1" customWidth="1"/>
    <col min="11289" max="11289" width="3" style="161" customWidth="1"/>
    <col min="11290" max="11290" width="15.85546875" style="161" bestFit="1" customWidth="1"/>
    <col min="11291" max="11291" width="1.85546875" style="161" customWidth="1"/>
    <col min="11292" max="11292" width="15.28515625" style="161" customWidth="1"/>
    <col min="11293" max="11293" width="1.7109375" style="161" customWidth="1"/>
    <col min="11294" max="11294" width="11.85546875" style="161" bestFit="1" customWidth="1"/>
    <col min="11295" max="11295" width="1.7109375" style="161" customWidth="1"/>
    <col min="11296" max="11296" width="14.42578125" style="161" bestFit="1" customWidth="1"/>
    <col min="11297" max="11297" width="34.7109375" style="161" customWidth="1"/>
    <col min="11298" max="11520" width="9.140625" style="161"/>
    <col min="11521" max="11522" width="10.7109375" style="161" customWidth="1"/>
    <col min="11523" max="11523" width="27.42578125" style="161" customWidth="1"/>
    <col min="11524" max="11524" width="5.5703125" style="161" customWidth="1"/>
    <col min="11525" max="11525" width="14.5703125" style="161" bestFit="1" customWidth="1"/>
    <col min="11526" max="11526" width="6.42578125" style="161" bestFit="1" customWidth="1"/>
    <col min="11527" max="11527" width="3.5703125" style="161" customWidth="1"/>
    <col min="11528" max="11528" width="17" style="161" customWidth="1"/>
    <col min="11529" max="11529" width="3.42578125" style="161" customWidth="1"/>
    <col min="11530" max="11530" width="18.28515625" style="161" bestFit="1" customWidth="1"/>
    <col min="11531" max="11531" width="3.140625" style="161" customWidth="1"/>
    <col min="11532" max="11532" width="16.28515625" style="161" customWidth="1"/>
    <col min="11533" max="11533" width="1.28515625" style="161" customWidth="1"/>
    <col min="11534" max="11534" width="15.5703125" style="161" bestFit="1" customWidth="1"/>
    <col min="11535" max="11535" width="1.42578125" style="161" customWidth="1"/>
    <col min="11536" max="11536" width="15" style="161" customWidth="1"/>
    <col min="11537" max="11537" width="1.7109375" style="161" customWidth="1"/>
    <col min="11538" max="11538" width="12.85546875" style="161" bestFit="1" customWidth="1"/>
    <col min="11539" max="11539" width="2.85546875" style="161" customWidth="1"/>
    <col min="11540" max="11540" width="15.42578125" style="161" bestFit="1" customWidth="1"/>
    <col min="11541" max="11541" width="1.7109375" style="161" customWidth="1"/>
    <col min="11542" max="11542" width="14.5703125" style="161" bestFit="1" customWidth="1"/>
    <col min="11543" max="11543" width="1.5703125" style="161" customWidth="1"/>
    <col min="11544" max="11544" width="16" style="161" bestFit="1" customWidth="1"/>
    <col min="11545" max="11545" width="3" style="161" customWidth="1"/>
    <col min="11546" max="11546" width="15.85546875" style="161" bestFit="1" customWidth="1"/>
    <col min="11547" max="11547" width="1.85546875" style="161" customWidth="1"/>
    <col min="11548" max="11548" width="15.28515625" style="161" customWidth="1"/>
    <col min="11549" max="11549" width="1.7109375" style="161" customWidth="1"/>
    <col min="11550" max="11550" width="11.85546875" style="161" bestFit="1" customWidth="1"/>
    <col min="11551" max="11551" width="1.7109375" style="161" customWidth="1"/>
    <col min="11552" max="11552" width="14.42578125" style="161" bestFit="1" customWidth="1"/>
    <col min="11553" max="11553" width="34.7109375" style="161" customWidth="1"/>
    <col min="11554" max="11776" width="9.140625" style="161"/>
    <col min="11777" max="11778" width="10.7109375" style="161" customWidth="1"/>
    <col min="11779" max="11779" width="27.42578125" style="161" customWidth="1"/>
    <col min="11780" max="11780" width="5.5703125" style="161" customWidth="1"/>
    <col min="11781" max="11781" width="14.5703125" style="161" bestFit="1" customWidth="1"/>
    <col min="11782" max="11782" width="6.42578125" style="161" bestFit="1" customWidth="1"/>
    <col min="11783" max="11783" width="3.5703125" style="161" customWidth="1"/>
    <col min="11784" max="11784" width="17" style="161" customWidth="1"/>
    <col min="11785" max="11785" width="3.42578125" style="161" customWidth="1"/>
    <col min="11786" max="11786" width="18.28515625" style="161" bestFit="1" customWidth="1"/>
    <col min="11787" max="11787" width="3.140625" style="161" customWidth="1"/>
    <col min="11788" max="11788" width="16.28515625" style="161" customWidth="1"/>
    <col min="11789" max="11789" width="1.28515625" style="161" customWidth="1"/>
    <col min="11790" max="11790" width="15.5703125" style="161" bestFit="1" customWidth="1"/>
    <col min="11791" max="11791" width="1.42578125" style="161" customWidth="1"/>
    <col min="11792" max="11792" width="15" style="161" customWidth="1"/>
    <col min="11793" max="11793" width="1.7109375" style="161" customWidth="1"/>
    <col min="11794" max="11794" width="12.85546875" style="161" bestFit="1" customWidth="1"/>
    <col min="11795" max="11795" width="2.85546875" style="161" customWidth="1"/>
    <col min="11796" max="11796" width="15.42578125" style="161" bestFit="1" customWidth="1"/>
    <col min="11797" max="11797" width="1.7109375" style="161" customWidth="1"/>
    <col min="11798" max="11798" width="14.5703125" style="161" bestFit="1" customWidth="1"/>
    <col min="11799" max="11799" width="1.5703125" style="161" customWidth="1"/>
    <col min="11800" max="11800" width="16" style="161" bestFit="1" customWidth="1"/>
    <col min="11801" max="11801" width="3" style="161" customWidth="1"/>
    <col min="11802" max="11802" width="15.85546875" style="161" bestFit="1" customWidth="1"/>
    <col min="11803" max="11803" width="1.85546875" style="161" customWidth="1"/>
    <col min="11804" max="11804" width="15.28515625" style="161" customWidth="1"/>
    <col min="11805" max="11805" width="1.7109375" style="161" customWidth="1"/>
    <col min="11806" max="11806" width="11.85546875" style="161" bestFit="1" customWidth="1"/>
    <col min="11807" max="11807" width="1.7109375" style="161" customWidth="1"/>
    <col min="11808" max="11808" width="14.42578125" style="161" bestFit="1" customWidth="1"/>
    <col min="11809" max="11809" width="34.7109375" style="161" customWidth="1"/>
    <col min="11810" max="12032" width="9.140625" style="161"/>
    <col min="12033" max="12034" width="10.7109375" style="161" customWidth="1"/>
    <col min="12035" max="12035" width="27.42578125" style="161" customWidth="1"/>
    <col min="12036" max="12036" width="5.5703125" style="161" customWidth="1"/>
    <col min="12037" max="12037" width="14.5703125" style="161" bestFit="1" customWidth="1"/>
    <col min="12038" max="12038" width="6.42578125" style="161" bestFit="1" customWidth="1"/>
    <col min="12039" max="12039" width="3.5703125" style="161" customWidth="1"/>
    <col min="12040" max="12040" width="17" style="161" customWidth="1"/>
    <col min="12041" max="12041" width="3.42578125" style="161" customWidth="1"/>
    <col min="12042" max="12042" width="18.28515625" style="161" bestFit="1" customWidth="1"/>
    <col min="12043" max="12043" width="3.140625" style="161" customWidth="1"/>
    <col min="12044" max="12044" width="16.28515625" style="161" customWidth="1"/>
    <col min="12045" max="12045" width="1.28515625" style="161" customWidth="1"/>
    <col min="12046" max="12046" width="15.5703125" style="161" bestFit="1" customWidth="1"/>
    <col min="12047" max="12047" width="1.42578125" style="161" customWidth="1"/>
    <col min="12048" max="12048" width="15" style="161" customWidth="1"/>
    <col min="12049" max="12049" width="1.7109375" style="161" customWidth="1"/>
    <col min="12050" max="12050" width="12.85546875" style="161" bestFit="1" customWidth="1"/>
    <col min="12051" max="12051" width="2.85546875" style="161" customWidth="1"/>
    <col min="12052" max="12052" width="15.42578125" style="161" bestFit="1" customWidth="1"/>
    <col min="12053" max="12053" width="1.7109375" style="161" customWidth="1"/>
    <col min="12054" max="12054" width="14.5703125" style="161" bestFit="1" customWidth="1"/>
    <col min="12055" max="12055" width="1.5703125" style="161" customWidth="1"/>
    <col min="12056" max="12056" width="16" style="161" bestFit="1" customWidth="1"/>
    <col min="12057" max="12057" width="3" style="161" customWidth="1"/>
    <col min="12058" max="12058" width="15.85546875" style="161" bestFit="1" customWidth="1"/>
    <col min="12059" max="12059" width="1.85546875" style="161" customWidth="1"/>
    <col min="12060" max="12060" width="15.28515625" style="161" customWidth="1"/>
    <col min="12061" max="12061" width="1.7109375" style="161" customWidth="1"/>
    <col min="12062" max="12062" width="11.85546875" style="161" bestFit="1" customWidth="1"/>
    <col min="12063" max="12063" width="1.7109375" style="161" customWidth="1"/>
    <col min="12064" max="12064" width="14.42578125" style="161" bestFit="1" customWidth="1"/>
    <col min="12065" max="12065" width="34.7109375" style="161" customWidth="1"/>
    <col min="12066" max="12288" width="9.140625" style="161"/>
    <col min="12289" max="12290" width="10.7109375" style="161" customWidth="1"/>
    <col min="12291" max="12291" width="27.42578125" style="161" customWidth="1"/>
    <col min="12292" max="12292" width="5.5703125" style="161" customWidth="1"/>
    <col min="12293" max="12293" width="14.5703125" style="161" bestFit="1" customWidth="1"/>
    <col min="12294" max="12294" width="6.42578125" style="161" bestFit="1" customWidth="1"/>
    <col min="12295" max="12295" width="3.5703125" style="161" customWidth="1"/>
    <col min="12296" max="12296" width="17" style="161" customWidth="1"/>
    <col min="12297" max="12297" width="3.42578125" style="161" customWidth="1"/>
    <col min="12298" max="12298" width="18.28515625" style="161" bestFit="1" customWidth="1"/>
    <col min="12299" max="12299" width="3.140625" style="161" customWidth="1"/>
    <col min="12300" max="12300" width="16.28515625" style="161" customWidth="1"/>
    <col min="12301" max="12301" width="1.28515625" style="161" customWidth="1"/>
    <col min="12302" max="12302" width="15.5703125" style="161" bestFit="1" customWidth="1"/>
    <col min="12303" max="12303" width="1.42578125" style="161" customWidth="1"/>
    <col min="12304" max="12304" width="15" style="161" customWidth="1"/>
    <col min="12305" max="12305" width="1.7109375" style="161" customWidth="1"/>
    <col min="12306" max="12306" width="12.85546875" style="161" bestFit="1" customWidth="1"/>
    <col min="12307" max="12307" width="2.85546875" style="161" customWidth="1"/>
    <col min="12308" max="12308" width="15.42578125" style="161" bestFit="1" customWidth="1"/>
    <col min="12309" max="12309" width="1.7109375" style="161" customWidth="1"/>
    <col min="12310" max="12310" width="14.5703125" style="161" bestFit="1" customWidth="1"/>
    <col min="12311" max="12311" width="1.5703125" style="161" customWidth="1"/>
    <col min="12312" max="12312" width="16" style="161" bestFit="1" customWidth="1"/>
    <col min="12313" max="12313" width="3" style="161" customWidth="1"/>
    <col min="12314" max="12314" width="15.85546875" style="161" bestFit="1" customWidth="1"/>
    <col min="12315" max="12315" width="1.85546875" style="161" customWidth="1"/>
    <col min="12316" max="12316" width="15.28515625" style="161" customWidth="1"/>
    <col min="12317" max="12317" width="1.7109375" style="161" customWidth="1"/>
    <col min="12318" max="12318" width="11.85546875" style="161" bestFit="1" customWidth="1"/>
    <col min="12319" max="12319" width="1.7109375" style="161" customWidth="1"/>
    <col min="12320" max="12320" width="14.42578125" style="161" bestFit="1" customWidth="1"/>
    <col min="12321" max="12321" width="34.7109375" style="161" customWidth="1"/>
    <col min="12322" max="12544" width="9.140625" style="161"/>
    <col min="12545" max="12546" width="10.7109375" style="161" customWidth="1"/>
    <col min="12547" max="12547" width="27.42578125" style="161" customWidth="1"/>
    <col min="12548" max="12548" width="5.5703125" style="161" customWidth="1"/>
    <col min="12549" max="12549" width="14.5703125" style="161" bestFit="1" customWidth="1"/>
    <col min="12550" max="12550" width="6.42578125" style="161" bestFit="1" customWidth="1"/>
    <col min="12551" max="12551" width="3.5703125" style="161" customWidth="1"/>
    <col min="12552" max="12552" width="17" style="161" customWidth="1"/>
    <col min="12553" max="12553" width="3.42578125" style="161" customWidth="1"/>
    <col min="12554" max="12554" width="18.28515625" style="161" bestFit="1" customWidth="1"/>
    <col min="12555" max="12555" width="3.140625" style="161" customWidth="1"/>
    <col min="12556" max="12556" width="16.28515625" style="161" customWidth="1"/>
    <col min="12557" max="12557" width="1.28515625" style="161" customWidth="1"/>
    <col min="12558" max="12558" width="15.5703125" style="161" bestFit="1" customWidth="1"/>
    <col min="12559" max="12559" width="1.42578125" style="161" customWidth="1"/>
    <col min="12560" max="12560" width="15" style="161" customWidth="1"/>
    <col min="12561" max="12561" width="1.7109375" style="161" customWidth="1"/>
    <col min="12562" max="12562" width="12.85546875" style="161" bestFit="1" customWidth="1"/>
    <col min="12563" max="12563" width="2.85546875" style="161" customWidth="1"/>
    <col min="12564" max="12564" width="15.42578125" style="161" bestFit="1" customWidth="1"/>
    <col min="12565" max="12565" width="1.7109375" style="161" customWidth="1"/>
    <col min="12566" max="12566" width="14.5703125" style="161" bestFit="1" customWidth="1"/>
    <col min="12567" max="12567" width="1.5703125" style="161" customWidth="1"/>
    <col min="12568" max="12568" width="16" style="161" bestFit="1" customWidth="1"/>
    <col min="12569" max="12569" width="3" style="161" customWidth="1"/>
    <col min="12570" max="12570" width="15.85546875" style="161" bestFit="1" customWidth="1"/>
    <col min="12571" max="12571" width="1.85546875" style="161" customWidth="1"/>
    <col min="12572" max="12572" width="15.28515625" style="161" customWidth="1"/>
    <col min="12573" max="12573" width="1.7109375" style="161" customWidth="1"/>
    <col min="12574" max="12574" width="11.85546875" style="161" bestFit="1" customWidth="1"/>
    <col min="12575" max="12575" width="1.7109375" style="161" customWidth="1"/>
    <col min="12576" max="12576" width="14.42578125" style="161" bestFit="1" customWidth="1"/>
    <col min="12577" max="12577" width="34.7109375" style="161" customWidth="1"/>
    <col min="12578" max="12800" width="9.140625" style="161"/>
    <col min="12801" max="12802" width="10.7109375" style="161" customWidth="1"/>
    <col min="12803" max="12803" width="27.42578125" style="161" customWidth="1"/>
    <col min="12804" max="12804" width="5.5703125" style="161" customWidth="1"/>
    <col min="12805" max="12805" width="14.5703125" style="161" bestFit="1" customWidth="1"/>
    <col min="12806" max="12806" width="6.42578125" style="161" bestFit="1" customWidth="1"/>
    <col min="12807" max="12807" width="3.5703125" style="161" customWidth="1"/>
    <col min="12808" max="12808" width="17" style="161" customWidth="1"/>
    <col min="12809" max="12809" width="3.42578125" style="161" customWidth="1"/>
    <col min="12810" max="12810" width="18.28515625" style="161" bestFit="1" customWidth="1"/>
    <col min="12811" max="12811" width="3.140625" style="161" customWidth="1"/>
    <col min="12812" max="12812" width="16.28515625" style="161" customWidth="1"/>
    <col min="12813" max="12813" width="1.28515625" style="161" customWidth="1"/>
    <col min="12814" max="12814" width="15.5703125" style="161" bestFit="1" customWidth="1"/>
    <col min="12815" max="12815" width="1.42578125" style="161" customWidth="1"/>
    <col min="12816" max="12816" width="15" style="161" customWidth="1"/>
    <col min="12817" max="12817" width="1.7109375" style="161" customWidth="1"/>
    <col min="12818" max="12818" width="12.85546875" style="161" bestFit="1" customWidth="1"/>
    <col min="12819" max="12819" width="2.85546875" style="161" customWidth="1"/>
    <col min="12820" max="12820" width="15.42578125" style="161" bestFit="1" customWidth="1"/>
    <col min="12821" max="12821" width="1.7109375" style="161" customWidth="1"/>
    <col min="12822" max="12822" width="14.5703125" style="161" bestFit="1" customWidth="1"/>
    <col min="12823" max="12823" width="1.5703125" style="161" customWidth="1"/>
    <col min="12824" max="12824" width="16" style="161" bestFit="1" customWidth="1"/>
    <col min="12825" max="12825" width="3" style="161" customWidth="1"/>
    <col min="12826" max="12826" width="15.85546875" style="161" bestFit="1" customWidth="1"/>
    <col min="12827" max="12827" width="1.85546875" style="161" customWidth="1"/>
    <col min="12828" max="12828" width="15.28515625" style="161" customWidth="1"/>
    <col min="12829" max="12829" width="1.7109375" style="161" customWidth="1"/>
    <col min="12830" max="12830" width="11.85546875" style="161" bestFit="1" customWidth="1"/>
    <col min="12831" max="12831" width="1.7109375" style="161" customWidth="1"/>
    <col min="12832" max="12832" width="14.42578125" style="161" bestFit="1" customWidth="1"/>
    <col min="12833" max="12833" width="34.7109375" style="161" customWidth="1"/>
    <col min="12834" max="13056" width="9.140625" style="161"/>
    <col min="13057" max="13058" width="10.7109375" style="161" customWidth="1"/>
    <col min="13059" max="13059" width="27.42578125" style="161" customWidth="1"/>
    <col min="13060" max="13060" width="5.5703125" style="161" customWidth="1"/>
    <col min="13061" max="13061" width="14.5703125" style="161" bestFit="1" customWidth="1"/>
    <col min="13062" max="13062" width="6.42578125" style="161" bestFit="1" customWidth="1"/>
    <col min="13063" max="13063" width="3.5703125" style="161" customWidth="1"/>
    <col min="13064" max="13064" width="17" style="161" customWidth="1"/>
    <col min="13065" max="13065" width="3.42578125" style="161" customWidth="1"/>
    <col min="13066" max="13066" width="18.28515625" style="161" bestFit="1" customWidth="1"/>
    <col min="13067" max="13067" width="3.140625" style="161" customWidth="1"/>
    <col min="13068" max="13068" width="16.28515625" style="161" customWidth="1"/>
    <col min="13069" max="13069" width="1.28515625" style="161" customWidth="1"/>
    <col min="13070" max="13070" width="15.5703125" style="161" bestFit="1" customWidth="1"/>
    <col min="13071" max="13071" width="1.42578125" style="161" customWidth="1"/>
    <col min="13072" max="13072" width="15" style="161" customWidth="1"/>
    <col min="13073" max="13073" width="1.7109375" style="161" customWidth="1"/>
    <col min="13074" max="13074" width="12.85546875" style="161" bestFit="1" customWidth="1"/>
    <col min="13075" max="13075" width="2.85546875" style="161" customWidth="1"/>
    <col min="13076" max="13076" width="15.42578125" style="161" bestFit="1" customWidth="1"/>
    <col min="13077" max="13077" width="1.7109375" style="161" customWidth="1"/>
    <col min="13078" max="13078" width="14.5703125" style="161" bestFit="1" customWidth="1"/>
    <col min="13079" max="13079" width="1.5703125" style="161" customWidth="1"/>
    <col min="13080" max="13080" width="16" style="161" bestFit="1" customWidth="1"/>
    <col min="13081" max="13081" width="3" style="161" customWidth="1"/>
    <col min="13082" max="13082" width="15.85546875" style="161" bestFit="1" customWidth="1"/>
    <col min="13083" max="13083" width="1.85546875" style="161" customWidth="1"/>
    <col min="13084" max="13084" width="15.28515625" style="161" customWidth="1"/>
    <col min="13085" max="13085" width="1.7109375" style="161" customWidth="1"/>
    <col min="13086" max="13086" width="11.85546875" style="161" bestFit="1" customWidth="1"/>
    <col min="13087" max="13087" width="1.7109375" style="161" customWidth="1"/>
    <col min="13088" max="13088" width="14.42578125" style="161" bestFit="1" customWidth="1"/>
    <col min="13089" max="13089" width="34.7109375" style="161" customWidth="1"/>
    <col min="13090" max="13312" width="9.140625" style="161"/>
    <col min="13313" max="13314" width="10.7109375" style="161" customWidth="1"/>
    <col min="13315" max="13315" width="27.42578125" style="161" customWidth="1"/>
    <col min="13316" max="13316" width="5.5703125" style="161" customWidth="1"/>
    <col min="13317" max="13317" width="14.5703125" style="161" bestFit="1" customWidth="1"/>
    <col min="13318" max="13318" width="6.42578125" style="161" bestFit="1" customWidth="1"/>
    <col min="13319" max="13319" width="3.5703125" style="161" customWidth="1"/>
    <col min="13320" max="13320" width="17" style="161" customWidth="1"/>
    <col min="13321" max="13321" width="3.42578125" style="161" customWidth="1"/>
    <col min="13322" max="13322" width="18.28515625" style="161" bestFit="1" customWidth="1"/>
    <col min="13323" max="13323" width="3.140625" style="161" customWidth="1"/>
    <col min="13324" max="13324" width="16.28515625" style="161" customWidth="1"/>
    <col min="13325" max="13325" width="1.28515625" style="161" customWidth="1"/>
    <col min="13326" max="13326" width="15.5703125" style="161" bestFit="1" customWidth="1"/>
    <col min="13327" max="13327" width="1.42578125" style="161" customWidth="1"/>
    <col min="13328" max="13328" width="15" style="161" customWidth="1"/>
    <col min="13329" max="13329" width="1.7109375" style="161" customWidth="1"/>
    <col min="13330" max="13330" width="12.85546875" style="161" bestFit="1" customWidth="1"/>
    <col min="13331" max="13331" width="2.85546875" style="161" customWidth="1"/>
    <col min="13332" max="13332" width="15.42578125" style="161" bestFit="1" customWidth="1"/>
    <col min="13333" max="13333" width="1.7109375" style="161" customWidth="1"/>
    <col min="13334" max="13334" width="14.5703125" style="161" bestFit="1" customWidth="1"/>
    <col min="13335" max="13335" width="1.5703125" style="161" customWidth="1"/>
    <col min="13336" max="13336" width="16" style="161" bestFit="1" customWidth="1"/>
    <col min="13337" max="13337" width="3" style="161" customWidth="1"/>
    <col min="13338" max="13338" width="15.85546875" style="161" bestFit="1" customWidth="1"/>
    <col min="13339" max="13339" width="1.85546875" style="161" customWidth="1"/>
    <col min="13340" max="13340" width="15.28515625" style="161" customWidth="1"/>
    <col min="13341" max="13341" width="1.7109375" style="161" customWidth="1"/>
    <col min="13342" max="13342" width="11.85546875" style="161" bestFit="1" customWidth="1"/>
    <col min="13343" max="13343" width="1.7109375" style="161" customWidth="1"/>
    <col min="13344" max="13344" width="14.42578125" style="161" bestFit="1" customWidth="1"/>
    <col min="13345" max="13345" width="34.7109375" style="161" customWidth="1"/>
    <col min="13346" max="13568" width="9.140625" style="161"/>
    <col min="13569" max="13570" width="10.7109375" style="161" customWidth="1"/>
    <col min="13571" max="13571" width="27.42578125" style="161" customWidth="1"/>
    <col min="13572" max="13572" width="5.5703125" style="161" customWidth="1"/>
    <col min="13573" max="13573" width="14.5703125" style="161" bestFit="1" customWidth="1"/>
    <col min="13574" max="13574" width="6.42578125" style="161" bestFit="1" customWidth="1"/>
    <col min="13575" max="13575" width="3.5703125" style="161" customWidth="1"/>
    <col min="13576" max="13576" width="17" style="161" customWidth="1"/>
    <col min="13577" max="13577" width="3.42578125" style="161" customWidth="1"/>
    <col min="13578" max="13578" width="18.28515625" style="161" bestFit="1" customWidth="1"/>
    <col min="13579" max="13579" width="3.140625" style="161" customWidth="1"/>
    <col min="13580" max="13580" width="16.28515625" style="161" customWidth="1"/>
    <col min="13581" max="13581" width="1.28515625" style="161" customWidth="1"/>
    <col min="13582" max="13582" width="15.5703125" style="161" bestFit="1" customWidth="1"/>
    <col min="13583" max="13583" width="1.42578125" style="161" customWidth="1"/>
    <col min="13584" max="13584" width="15" style="161" customWidth="1"/>
    <col min="13585" max="13585" width="1.7109375" style="161" customWidth="1"/>
    <col min="13586" max="13586" width="12.85546875" style="161" bestFit="1" customWidth="1"/>
    <col min="13587" max="13587" width="2.85546875" style="161" customWidth="1"/>
    <col min="13588" max="13588" width="15.42578125" style="161" bestFit="1" customWidth="1"/>
    <col min="13589" max="13589" width="1.7109375" style="161" customWidth="1"/>
    <col min="13590" max="13590" width="14.5703125" style="161" bestFit="1" customWidth="1"/>
    <col min="13591" max="13591" width="1.5703125" style="161" customWidth="1"/>
    <col min="13592" max="13592" width="16" style="161" bestFit="1" customWidth="1"/>
    <col min="13593" max="13593" width="3" style="161" customWidth="1"/>
    <col min="13594" max="13594" width="15.85546875" style="161" bestFit="1" customWidth="1"/>
    <col min="13595" max="13595" width="1.85546875" style="161" customWidth="1"/>
    <col min="13596" max="13596" width="15.28515625" style="161" customWidth="1"/>
    <col min="13597" max="13597" width="1.7109375" style="161" customWidth="1"/>
    <col min="13598" max="13598" width="11.85546875" style="161" bestFit="1" customWidth="1"/>
    <col min="13599" max="13599" width="1.7109375" style="161" customWidth="1"/>
    <col min="13600" max="13600" width="14.42578125" style="161" bestFit="1" customWidth="1"/>
    <col min="13601" max="13601" width="34.7109375" style="161" customWidth="1"/>
    <col min="13602" max="13824" width="9.140625" style="161"/>
    <col min="13825" max="13826" width="10.7109375" style="161" customWidth="1"/>
    <col min="13827" max="13827" width="27.42578125" style="161" customWidth="1"/>
    <col min="13828" max="13828" width="5.5703125" style="161" customWidth="1"/>
    <col min="13829" max="13829" width="14.5703125" style="161" bestFit="1" customWidth="1"/>
    <col min="13830" max="13830" width="6.42578125" style="161" bestFit="1" customWidth="1"/>
    <col min="13831" max="13831" width="3.5703125" style="161" customWidth="1"/>
    <col min="13832" max="13832" width="17" style="161" customWidth="1"/>
    <col min="13833" max="13833" width="3.42578125" style="161" customWidth="1"/>
    <col min="13834" max="13834" width="18.28515625" style="161" bestFit="1" customWidth="1"/>
    <col min="13835" max="13835" width="3.140625" style="161" customWidth="1"/>
    <col min="13836" max="13836" width="16.28515625" style="161" customWidth="1"/>
    <col min="13837" max="13837" width="1.28515625" style="161" customWidth="1"/>
    <col min="13838" max="13838" width="15.5703125" style="161" bestFit="1" customWidth="1"/>
    <col min="13839" max="13839" width="1.42578125" style="161" customWidth="1"/>
    <col min="13840" max="13840" width="15" style="161" customWidth="1"/>
    <col min="13841" max="13841" width="1.7109375" style="161" customWidth="1"/>
    <col min="13842" max="13842" width="12.85546875" style="161" bestFit="1" customWidth="1"/>
    <col min="13843" max="13843" width="2.85546875" style="161" customWidth="1"/>
    <col min="13844" max="13844" width="15.42578125" style="161" bestFit="1" customWidth="1"/>
    <col min="13845" max="13845" width="1.7109375" style="161" customWidth="1"/>
    <col min="13846" max="13846" width="14.5703125" style="161" bestFit="1" customWidth="1"/>
    <col min="13847" max="13847" width="1.5703125" style="161" customWidth="1"/>
    <col min="13848" max="13848" width="16" style="161" bestFit="1" customWidth="1"/>
    <col min="13849" max="13849" width="3" style="161" customWidth="1"/>
    <col min="13850" max="13850" width="15.85546875" style="161" bestFit="1" customWidth="1"/>
    <col min="13851" max="13851" width="1.85546875" style="161" customWidth="1"/>
    <col min="13852" max="13852" width="15.28515625" style="161" customWidth="1"/>
    <col min="13853" max="13853" width="1.7109375" style="161" customWidth="1"/>
    <col min="13854" max="13854" width="11.85546875" style="161" bestFit="1" customWidth="1"/>
    <col min="13855" max="13855" width="1.7109375" style="161" customWidth="1"/>
    <col min="13856" max="13856" width="14.42578125" style="161" bestFit="1" customWidth="1"/>
    <col min="13857" max="13857" width="34.7109375" style="161" customWidth="1"/>
    <col min="13858" max="14080" width="9.140625" style="161"/>
    <col min="14081" max="14082" width="10.7109375" style="161" customWidth="1"/>
    <col min="14083" max="14083" width="27.42578125" style="161" customWidth="1"/>
    <col min="14084" max="14084" width="5.5703125" style="161" customWidth="1"/>
    <col min="14085" max="14085" width="14.5703125" style="161" bestFit="1" customWidth="1"/>
    <col min="14086" max="14086" width="6.42578125" style="161" bestFit="1" customWidth="1"/>
    <col min="14087" max="14087" width="3.5703125" style="161" customWidth="1"/>
    <col min="14088" max="14088" width="17" style="161" customWidth="1"/>
    <col min="14089" max="14089" width="3.42578125" style="161" customWidth="1"/>
    <col min="14090" max="14090" width="18.28515625" style="161" bestFit="1" customWidth="1"/>
    <col min="14091" max="14091" width="3.140625" style="161" customWidth="1"/>
    <col min="14092" max="14092" width="16.28515625" style="161" customWidth="1"/>
    <col min="14093" max="14093" width="1.28515625" style="161" customWidth="1"/>
    <col min="14094" max="14094" width="15.5703125" style="161" bestFit="1" customWidth="1"/>
    <col min="14095" max="14095" width="1.42578125" style="161" customWidth="1"/>
    <col min="14096" max="14096" width="15" style="161" customWidth="1"/>
    <col min="14097" max="14097" width="1.7109375" style="161" customWidth="1"/>
    <col min="14098" max="14098" width="12.85546875" style="161" bestFit="1" customWidth="1"/>
    <col min="14099" max="14099" width="2.85546875" style="161" customWidth="1"/>
    <col min="14100" max="14100" width="15.42578125" style="161" bestFit="1" customWidth="1"/>
    <col min="14101" max="14101" width="1.7109375" style="161" customWidth="1"/>
    <col min="14102" max="14102" width="14.5703125" style="161" bestFit="1" customWidth="1"/>
    <col min="14103" max="14103" width="1.5703125" style="161" customWidth="1"/>
    <col min="14104" max="14104" width="16" style="161" bestFit="1" customWidth="1"/>
    <col min="14105" max="14105" width="3" style="161" customWidth="1"/>
    <col min="14106" max="14106" width="15.85546875" style="161" bestFit="1" customWidth="1"/>
    <col min="14107" max="14107" width="1.85546875" style="161" customWidth="1"/>
    <col min="14108" max="14108" width="15.28515625" style="161" customWidth="1"/>
    <col min="14109" max="14109" width="1.7109375" style="161" customWidth="1"/>
    <col min="14110" max="14110" width="11.85546875" style="161" bestFit="1" customWidth="1"/>
    <col min="14111" max="14111" width="1.7109375" style="161" customWidth="1"/>
    <col min="14112" max="14112" width="14.42578125" style="161" bestFit="1" customWidth="1"/>
    <col min="14113" max="14113" width="34.7109375" style="161" customWidth="1"/>
    <col min="14114" max="14336" width="9.140625" style="161"/>
    <col min="14337" max="14338" width="10.7109375" style="161" customWidth="1"/>
    <col min="14339" max="14339" width="27.42578125" style="161" customWidth="1"/>
    <col min="14340" max="14340" width="5.5703125" style="161" customWidth="1"/>
    <col min="14341" max="14341" width="14.5703125" style="161" bestFit="1" customWidth="1"/>
    <col min="14342" max="14342" width="6.42578125" style="161" bestFit="1" customWidth="1"/>
    <col min="14343" max="14343" width="3.5703125" style="161" customWidth="1"/>
    <col min="14344" max="14344" width="17" style="161" customWidth="1"/>
    <col min="14345" max="14345" width="3.42578125" style="161" customWidth="1"/>
    <col min="14346" max="14346" width="18.28515625" style="161" bestFit="1" customWidth="1"/>
    <col min="14347" max="14347" width="3.140625" style="161" customWidth="1"/>
    <col min="14348" max="14348" width="16.28515625" style="161" customWidth="1"/>
    <col min="14349" max="14349" width="1.28515625" style="161" customWidth="1"/>
    <col min="14350" max="14350" width="15.5703125" style="161" bestFit="1" customWidth="1"/>
    <col min="14351" max="14351" width="1.42578125" style="161" customWidth="1"/>
    <col min="14352" max="14352" width="15" style="161" customWidth="1"/>
    <col min="14353" max="14353" width="1.7109375" style="161" customWidth="1"/>
    <col min="14354" max="14354" width="12.85546875" style="161" bestFit="1" customWidth="1"/>
    <col min="14355" max="14355" width="2.85546875" style="161" customWidth="1"/>
    <col min="14356" max="14356" width="15.42578125" style="161" bestFit="1" customWidth="1"/>
    <col min="14357" max="14357" width="1.7109375" style="161" customWidth="1"/>
    <col min="14358" max="14358" width="14.5703125" style="161" bestFit="1" customWidth="1"/>
    <col min="14359" max="14359" width="1.5703125" style="161" customWidth="1"/>
    <col min="14360" max="14360" width="16" style="161" bestFit="1" customWidth="1"/>
    <col min="14361" max="14361" width="3" style="161" customWidth="1"/>
    <col min="14362" max="14362" width="15.85546875" style="161" bestFit="1" customWidth="1"/>
    <col min="14363" max="14363" width="1.85546875" style="161" customWidth="1"/>
    <col min="14364" max="14364" width="15.28515625" style="161" customWidth="1"/>
    <col min="14365" max="14365" width="1.7109375" style="161" customWidth="1"/>
    <col min="14366" max="14366" width="11.85546875" style="161" bestFit="1" customWidth="1"/>
    <col min="14367" max="14367" width="1.7109375" style="161" customWidth="1"/>
    <col min="14368" max="14368" width="14.42578125" style="161" bestFit="1" customWidth="1"/>
    <col min="14369" max="14369" width="34.7109375" style="161" customWidth="1"/>
    <col min="14370" max="14592" width="9.140625" style="161"/>
    <col min="14593" max="14594" width="10.7109375" style="161" customWidth="1"/>
    <col min="14595" max="14595" width="27.42578125" style="161" customWidth="1"/>
    <col min="14596" max="14596" width="5.5703125" style="161" customWidth="1"/>
    <col min="14597" max="14597" width="14.5703125" style="161" bestFit="1" customWidth="1"/>
    <col min="14598" max="14598" width="6.42578125" style="161" bestFit="1" customWidth="1"/>
    <col min="14599" max="14599" width="3.5703125" style="161" customWidth="1"/>
    <col min="14600" max="14600" width="17" style="161" customWidth="1"/>
    <col min="14601" max="14601" width="3.42578125" style="161" customWidth="1"/>
    <col min="14602" max="14602" width="18.28515625" style="161" bestFit="1" customWidth="1"/>
    <col min="14603" max="14603" width="3.140625" style="161" customWidth="1"/>
    <col min="14604" max="14604" width="16.28515625" style="161" customWidth="1"/>
    <col min="14605" max="14605" width="1.28515625" style="161" customWidth="1"/>
    <col min="14606" max="14606" width="15.5703125" style="161" bestFit="1" customWidth="1"/>
    <col min="14607" max="14607" width="1.42578125" style="161" customWidth="1"/>
    <col min="14608" max="14608" width="15" style="161" customWidth="1"/>
    <col min="14609" max="14609" width="1.7109375" style="161" customWidth="1"/>
    <col min="14610" max="14610" width="12.85546875" style="161" bestFit="1" customWidth="1"/>
    <col min="14611" max="14611" width="2.85546875" style="161" customWidth="1"/>
    <col min="14612" max="14612" width="15.42578125" style="161" bestFit="1" customWidth="1"/>
    <col min="14613" max="14613" width="1.7109375" style="161" customWidth="1"/>
    <col min="14614" max="14614" width="14.5703125" style="161" bestFit="1" customWidth="1"/>
    <col min="14615" max="14615" width="1.5703125" style="161" customWidth="1"/>
    <col min="14616" max="14616" width="16" style="161" bestFit="1" customWidth="1"/>
    <col min="14617" max="14617" width="3" style="161" customWidth="1"/>
    <col min="14618" max="14618" width="15.85546875" style="161" bestFit="1" customWidth="1"/>
    <col min="14619" max="14619" width="1.85546875" style="161" customWidth="1"/>
    <col min="14620" max="14620" width="15.28515625" style="161" customWidth="1"/>
    <col min="14621" max="14621" width="1.7109375" style="161" customWidth="1"/>
    <col min="14622" max="14622" width="11.85546875" style="161" bestFit="1" customWidth="1"/>
    <col min="14623" max="14623" width="1.7109375" style="161" customWidth="1"/>
    <col min="14624" max="14624" width="14.42578125" style="161" bestFit="1" customWidth="1"/>
    <col min="14625" max="14625" width="34.7109375" style="161" customWidth="1"/>
    <col min="14626" max="14848" width="9.140625" style="161"/>
    <col min="14849" max="14850" width="10.7109375" style="161" customWidth="1"/>
    <col min="14851" max="14851" width="27.42578125" style="161" customWidth="1"/>
    <col min="14852" max="14852" width="5.5703125" style="161" customWidth="1"/>
    <col min="14853" max="14853" width="14.5703125" style="161" bestFit="1" customWidth="1"/>
    <col min="14854" max="14854" width="6.42578125" style="161" bestFit="1" customWidth="1"/>
    <col min="14855" max="14855" width="3.5703125" style="161" customWidth="1"/>
    <col min="14856" max="14856" width="17" style="161" customWidth="1"/>
    <col min="14857" max="14857" width="3.42578125" style="161" customWidth="1"/>
    <col min="14858" max="14858" width="18.28515625" style="161" bestFit="1" customWidth="1"/>
    <col min="14859" max="14859" width="3.140625" style="161" customWidth="1"/>
    <col min="14860" max="14860" width="16.28515625" style="161" customWidth="1"/>
    <col min="14861" max="14861" width="1.28515625" style="161" customWidth="1"/>
    <col min="14862" max="14862" width="15.5703125" style="161" bestFit="1" customWidth="1"/>
    <col min="14863" max="14863" width="1.42578125" style="161" customWidth="1"/>
    <col min="14864" max="14864" width="15" style="161" customWidth="1"/>
    <col min="14865" max="14865" width="1.7109375" style="161" customWidth="1"/>
    <col min="14866" max="14866" width="12.85546875" style="161" bestFit="1" customWidth="1"/>
    <col min="14867" max="14867" width="2.85546875" style="161" customWidth="1"/>
    <col min="14868" max="14868" width="15.42578125" style="161" bestFit="1" customWidth="1"/>
    <col min="14869" max="14869" width="1.7109375" style="161" customWidth="1"/>
    <col min="14870" max="14870" width="14.5703125" style="161" bestFit="1" customWidth="1"/>
    <col min="14871" max="14871" width="1.5703125" style="161" customWidth="1"/>
    <col min="14872" max="14872" width="16" style="161" bestFit="1" customWidth="1"/>
    <col min="14873" max="14873" width="3" style="161" customWidth="1"/>
    <col min="14874" max="14874" width="15.85546875" style="161" bestFit="1" customWidth="1"/>
    <col min="14875" max="14875" width="1.85546875" style="161" customWidth="1"/>
    <col min="14876" max="14876" width="15.28515625" style="161" customWidth="1"/>
    <col min="14877" max="14877" width="1.7109375" style="161" customWidth="1"/>
    <col min="14878" max="14878" width="11.85546875" style="161" bestFit="1" customWidth="1"/>
    <col min="14879" max="14879" width="1.7109375" style="161" customWidth="1"/>
    <col min="14880" max="14880" width="14.42578125" style="161" bestFit="1" customWidth="1"/>
    <col min="14881" max="14881" width="34.7109375" style="161" customWidth="1"/>
    <col min="14882" max="15104" width="9.140625" style="161"/>
    <col min="15105" max="15106" width="10.7109375" style="161" customWidth="1"/>
    <col min="15107" max="15107" width="27.42578125" style="161" customWidth="1"/>
    <col min="15108" max="15108" width="5.5703125" style="161" customWidth="1"/>
    <col min="15109" max="15109" width="14.5703125" style="161" bestFit="1" customWidth="1"/>
    <col min="15110" max="15110" width="6.42578125" style="161" bestFit="1" customWidth="1"/>
    <col min="15111" max="15111" width="3.5703125" style="161" customWidth="1"/>
    <col min="15112" max="15112" width="17" style="161" customWidth="1"/>
    <col min="15113" max="15113" width="3.42578125" style="161" customWidth="1"/>
    <col min="15114" max="15114" width="18.28515625" style="161" bestFit="1" customWidth="1"/>
    <col min="15115" max="15115" width="3.140625" style="161" customWidth="1"/>
    <col min="15116" max="15116" width="16.28515625" style="161" customWidth="1"/>
    <col min="15117" max="15117" width="1.28515625" style="161" customWidth="1"/>
    <col min="15118" max="15118" width="15.5703125" style="161" bestFit="1" customWidth="1"/>
    <col min="15119" max="15119" width="1.42578125" style="161" customWidth="1"/>
    <col min="15120" max="15120" width="15" style="161" customWidth="1"/>
    <col min="15121" max="15121" width="1.7109375" style="161" customWidth="1"/>
    <col min="15122" max="15122" width="12.85546875" style="161" bestFit="1" customWidth="1"/>
    <col min="15123" max="15123" width="2.85546875" style="161" customWidth="1"/>
    <col min="15124" max="15124" width="15.42578125" style="161" bestFit="1" customWidth="1"/>
    <col min="15125" max="15125" width="1.7109375" style="161" customWidth="1"/>
    <col min="15126" max="15126" width="14.5703125" style="161" bestFit="1" customWidth="1"/>
    <col min="15127" max="15127" width="1.5703125" style="161" customWidth="1"/>
    <col min="15128" max="15128" width="16" style="161" bestFit="1" customWidth="1"/>
    <col min="15129" max="15129" width="3" style="161" customWidth="1"/>
    <col min="15130" max="15130" width="15.85546875" style="161" bestFit="1" customWidth="1"/>
    <col min="15131" max="15131" width="1.85546875" style="161" customWidth="1"/>
    <col min="15132" max="15132" width="15.28515625" style="161" customWidth="1"/>
    <col min="15133" max="15133" width="1.7109375" style="161" customWidth="1"/>
    <col min="15134" max="15134" width="11.85546875" style="161" bestFit="1" customWidth="1"/>
    <col min="15135" max="15135" width="1.7109375" style="161" customWidth="1"/>
    <col min="15136" max="15136" width="14.42578125" style="161" bestFit="1" customWidth="1"/>
    <col min="15137" max="15137" width="34.7109375" style="161" customWidth="1"/>
    <col min="15138" max="15360" width="9.140625" style="161"/>
    <col min="15361" max="15362" width="10.7109375" style="161" customWidth="1"/>
    <col min="15363" max="15363" width="27.42578125" style="161" customWidth="1"/>
    <col min="15364" max="15364" width="5.5703125" style="161" customWidth="1"/>
    <col min="15365" max="15365" width="14.5703125" style="161" bestFit="1" customWidth="1"/>
    <col min="15366" max="15366" width="6.42578125" style="161" bestFit="1" customWidth="1"/>
    <col min="15367" max="15367" width="3.5703125" style="161" customWidth="1"/>
    <col min="15368" max="15368" width="17" style="161" customWidth="1"/>
    <col min="15369" max="15369" width="3.42578125" style="161" customWidth="1"/>
    <col min="15370" max="15370" width="18.28515625" style="161" bestFit="1" customWidth="1"/>
    <col min="15371" max="15371" width="3.140625" style="161" customWidth="1"/>
    <col min="15372" max="15372" width="16.28515625" style="161" customWidth="1"/>
    <col min="15373" max="15373" width="1.28515625" style="161" customWidth="1"/>
    <col min="15374" max="15374" width="15.5703125" style="161" bestFit="1" customWidth="1"/>
    <col min="15375" max="15375" width="1.42578125" style="161" customWidth="1"/>
    <col min="15376" max="15376" width="15" style="161" customWidth="1"/>
    <col min="15377" max="15377" width="1.7109375" style="161" customWidth="1"/>
    <col min="15378" max="15378" width="12.85546875" style="161" bestFit="1" customWidth="1"/>
    <col min="15379" max="15379" width="2.85546875" style="161" customWidth="1"/>
    <col min="15380" max="15380" width="15.42578125" style="161" bestFit="1" customWidth="1"/>
    <col min="15381" max="15381" width="1.7109375" style="161" customWidth="1"/>
    <col min="15382" max="15382" width="14.5703125" style="161" bestFit="1" customWidth="1"/>
    <col min="15383" max="15383" width="1.5703125" style="161" customWidth="1"/>
    <col min="15384" max="15384" width="16" style="161" bestFit="1" customWidth="1"/>
    <col min="15385" max="15385" width="3" style="161" customWidth="1"/>
    <col min="15386" max="15386" width="15.85546875" style="161" bestFit="1" customWidth="1"/>
    <col min="15387" max="15387" width="1.85546875" style="161" customWidth="1"/>
    <col min="15388" max="15388" width="15.28515625" style="161" customWidth="1"/>
    <col min="15389" max="15389" width="1.7109375" style="161" customWidth="1"/>
    <col min="15390" max="15390" width="11.85546875" style="161" bestFit="1" customWidth="1"/>
    <col min="15391" max="15391" width="1.7109375" style="161" customWidth="1"/>
    <col min="15392" max="15392" width="14.42578125" style="161" bestFit="1" customWidth="1"/>
    <col min="15393" max="15393" width="34.7109375" style="161" customWidth="1"/>
    <col min="15394" max="15616" width="9.140625" style="161"/>
    <col min="15617" max="15618" width="10.7109375" style="161" customWidth="1"/>
    <col min="15619" max="15619" width="27.42578125" style="161" customWidth="1"/>
    <col min="15620" max="15620" width="5.5703125" style="161" customWidth="1"/>
    <col min="15621" max="15621" width="14.5703125" style="161" bestFit="1" customWidth="1"/>
    <col min="15622" max="15622" width="6.42578125" style="161" bestFit="1" customWidth="1"/>
    <col min="15623" max="15623" width="3.5703125" style="161" customWidth="1"/>
    <col min="15624" max="15624" width="17" style="161" customWidth="1"/>
    <col min="15625" max="15625" width="3.42578125" style="161" customWidth="1"/>
    <col min="15626" max="15626" width="18.28515625" style="161" bestFit="1" customWidth="1"/>
    <col min="15627" max="15627" width="3.140625" style="161" customWidth="1"/>
    <col min="15628" max="15628" width="16.28515625" style="161" customWidth="1"/>
    <col min="15629" max="15629" width="1.28515625" style="161" customWidth="1"/>
    <col min="15630" max="15630" width="15.5703125" style="161" bestFit="1" customWidth="1"/>
    <col min="15631" max="15631" width="1.42578125" style="161" customWidth="1"/>
    <col min="15632" max="15632" width="15" style="161" customWidth="1"/>
    <col min="15633" max="15633" width="1.7109375" style="161" customWidth="1"/>
    <col min="15634" max="15634" width="12.85546875" style="161" bestFit="1" customWidth="1"/>
    <col min="15635" max="15635" width="2.85546875" style="161" customWidth="1"/>
    <col min="15636" max="15636" width="15.42578125" style="161" bestFit="1" customWidth="1"/>
    <col min="15637" max="15637" width="1.7109375" style="161" customWidth="1"/>
    <col min="15638" max="15638" width="14.5703125" style="161" bestFit="1" customWidth="1"/>
    <col min="15639" max="15639" width="1.5703125" style="161" customWidth="1"/>
    <col min="15640" max="15640" width="16" style="161" bestFit="1" customWidth="1"/>
    <col min="15641" max="15641" width="3" style="161" customWidth="1"/>
    <col min="15642" max="15642" width="15.85546875" style="161" bestFit="1" customWidth="1"/>
    <col min="15643" max="15643" width="1.85546875" style="161" customWidth="1"/>
    <col min="15644" max="15644" width="15.28515625" style="161" customWidth="1"/>
    <col min="15645" max="15645" width="1.7109375" style="161" customWidth="1"/>
    <col min="15646" max="15646" width="11.85546875" style="161" bestFit="1" customWidth="1"/>
    <col min="15647" max="15647" width="1.7109375" style="161" customWidth="1"/>
    <col min="15648" max="15648" width="14.42578125" style="161" bestFit="1" customWidth="1"/>
    <col min="15649" max="15649" width="34.7109375" style="161" customWidth="1"/>
    <col min="15650" max="15872" width="9.140625" style="161"/>
    <col min="15873" max="15874" width="10.7109375" style="161" customWidth="1"/>
    <col min="15875" max="15875" width="27.42578125" style="161" customWidth="1"/>
    <col min="15876" max="15876" width="5.5703125" style="161" customWidth="1"/>
    <col min="15877" max="15877" width="14.5703125" style="161" bestFit="1" customWidth="1"/>
    <col min="15878" max="15878" width="6.42578125" style="161" bestFit="1" customWidth="1"/>
    <col min="15879" max="15879" width="3.5703125" style="161" customWidth="1"/>
    <col min="15880" max="15880" width="17" style="161" customWidth="1"/>
    <col min="15881" max="15881" width="3.42578125" style="161" customWidth="1"/>
    <col min="15882" max="15882" width="18.28515625" style="161" bestFit="1" customWidth="1"/>
    <col min="15883" max="15883" width="3.140625" style="161" customWidth="1"/>
    <col min="15884" max="15884" width="16.28515625" style="161" customWidth="1"/>
    <col min="15885" max="15885" width="1.28515625" style="161" customWidth="1"/>
    <col min="15886" max="15886" width="15.5703125" style="161" bestFit="1" customWidth="1"/>
    <col min="15887" max="15887" width="1.42578125" style="161" customWidth="1"/>
    <col min="15888" max="15888" width="15" style="161" customWidth="1"/>
    <col min="15889" max="15889" width="1.7109375" style="161" customWidth="1"/>
    <col min="15890" max="15890" width="12.85546875" style="161" bestFit="1" customWidth="1"/>
    <col min="15891" max="15891" width="2.85546875" style="161" customWidth="1"/>
    <col min="15892" max="15892" width="15.42578125" style="161" bestFit="1" customWidth="1"/>
    <col min="15893" max="15893" width="1.7109375" style="161" customWidth="1"/>
    <col min="15894" max="15894" width="14.5703125" style="161" bestFit="1" customWidth="1"/>
    <col min="15895" max="15895" width="1.5703125" style="161" customWidth="1"/>
    <col min="15896" max="15896" width="16" style="161" bestFit="1" customWidth="1"/>
    <col min="15897" max="15897" width="3" style="161" customWidth="1"/>
    <col min="15898" max="15898" width="15.85546875" style="161" bestFit="1" customWidth="1"/>
    <col min="15899" max="15899" width="1.85546875" style="161" customWidth="1"/>
    <col min="15900" max="15900" width="15.28515625" style="161" customWidth="1"/>
    <col min="15901" max="15901" width="1.7109375" style="161" customWidth="1"/>
    <col min="15902" max="15902" width="11.85546875" style="161" bestFit="1" customWidth="1"/>
    <col min="15903" max="15903" width="1.7109375" style="161" customWidth="1"/>
    <col min="15904" max="15904" width="14.42578125" style="161" bestFit="1" customWidth="1"/>
    <col min="15905" max="15905" width="34.7109375" style="161" customWidth="1"/>
    <col min="15906" max="16128" width="9.140625" style="161"/>
    <col min="16129" max="16130" width="10.7109375" style="161" customWidth="1"/>
    <col min="16131" max="16131" width="27.42578125" style="161" customWidth="1"/>
    <col min="16132" max="16132" width="5.5703125" style="161" customWidth="1"/>
    <col min="16133" max="16133" width="14.5703125" style="161" bestFit="1" customWidth="1"/>
    <col min="16134" max="16134" width="6.42578125" style="161" bestFit="1" customWidth="1"/>
    <col min="16135" max="16135" width="3.5703125" style="161" customWidth="1"/>
    <col min="16136" max="16136" width="17" style="161" customWidth="1"/>
    <col min="16137" max="16137" width="3.42578125" style="161" customWidth="1"/>
    <col min="16138" max="16138" width="18.28515625" style="161" bestFit="1" customWidth="1"/>
    <col min="16139" max="16139" width="3.140625" style="161" customWidth="1"/>
    <col min="16140" max="16140" width="16.28515625" style="161" customWidth="1"/>
    <col min="16141" max="16141" width="1.28515625" style="161" customWidth="1"/>
    <col min="16142" max="16142" width="15.5703125" style="161" bestFit="1" customWidth="1"/>
    <col min="16143" max="16143" width="1.42578125" style="161" customWidth="1"/>
    <col min="16144" max="16144" width="15" style="161" customWidth="1"/>
    <col min="16145" max="16145" width="1.7109375" style="161" customWidth="1"/>
    <col min="16146" max="16146" width="12.85546875" style="161" bestFit="1" customWidth="1"/>
    <col min="16147" max="16147" width="2.85546875" style="161" customWidth="1"/>
    <col min="16148" max="16148" width="15.42578125" style="161" bestFit="1" customWidth="1"/>
    <col min="16149" max="16149" width="1.7109375" style="161" customWidth="1"/>
    <col min="16150" max="16150" width="14.5703125" style="161" bestFit="1" customWidth="1"/>
    <col min="16151" max="16151" width="1.5703125" style="161" customWidth="1"/>
    <col min="16152" max="16152" width="16" style="161" bestFit="1" customWidth="1"/>
    <col min="16153" max="16153" width="3" style="161" customWidth="1"/>
    <col min="16154" max="16154" width="15.85546875" style="161" bestFit="1" customWidth="1"/>
    <col min="16155" max="16155" width="1.85546875" style="161" customWidth="1"/>
    <col min="16156" max="16156" width="15.28515625" style="161" customWidth="1"/>
    <col min="16157" max="16157" width="1.7109375" style="161" customWidth="1"/>
    <col min="16158" max="16158" width="11.85546875" style="161" bestFit="1" customWidth="1"/>
    <col min="16159" max="16159" width="1.7109375" style="161" customWidth="1"/>
    <col min="16160" max="16160" width="14.42578125" style="161" bestFit="1" customWidth="1"/>
    <col min="16161" max="16161" width="34.7109375" style="161" customWidth="1"/>
    <col min="16162" max="16384" width="9.140625" style="161"/>
  </cols>
  <sheetData>
    <row r="1" spans="1:33" ht="15">
      <c r="A1" s="156" t="s">
        <v>215</v>
      </c>
      <c r="B1" s="156"/>
      <c r="C1" s="157"/>
      <c r="D1" s="158"/>
      <c r="E1" s="158"/>
      <c r="F1" s="158"/>
      <c r="G1" s="159"/>
      <c r="H1" s="158"/>
      <c r="I1" s="158"/>
      <c r="J1" s="158"/>
      <c r="K1" s="160"/>
      <c r="L1" s="157"/>
      <c r="M1" s="157"/>
      <c r="N1" s="157"/>
      <c r="O1" s="160"/>
      <c r="P1" s="157"/>
      <c r="Q1" s="157"/>
      <c r="R1" s="157"/>
      <c r="S1" s="160"/>
      <c r="W1" s="160"/>
      <c r="X1" s="157"/>
      <c r="Y1" s="157"/>
      <c r="Z1" s="157"/>
      <c r="AA1" s="160"/>
      <c r="AB1" s="157" t="s">
        <v>216</v>
      </c>
      <c r="AC1" s="157"/>
      <c r="AD1" s="157"/>
      <c r="AE1" s="157"/>
      <c r="AF1" s="162"/>
    </row>
    <row r="2" spans="1:33" ht="15">
      <c r="A2" s="156" t="s">
        <v>217</v>
      </c>
      <c r="B2" s="156"/>
      <c r="C2" s="157"/>
      <c r="D2" s="158"/>
      <c r="E2" s="158"/>
      <c r="F2" s="158"/>
      <c r="G2" s="159"/>
      <c r="H2" s="158"/>
      <c r="I2" s="158"/>
      <c r="J2" s="158"/>
      <c r="K2" s="160"/>
      <c r="L2" s="157"/>
      <c r="M2" s="157"/>
      <c r="N2" s="157"/>
      <c r="O2" s="160"/>
      <c r="P2" s="157"/>
      <c r="Q2" s="157"/>
      <c r="R2" s="157"/>
      <c r="S2" s="160"/>
      <c r="T2" s="157"/>
      <c r="U2" s="157"/>
      <c r="V2" s="162"/>
      <c r="W2" s="160"/>
      <c r="X2" s="157"/>
      <c r="Y2" s="157"/>
      <c r="Z2" s="157"/>
      <c r="AA2" s="160"/>
      <c r="AB2" s="157"/>
      <c r="AC2" s="157"/>
      <c r="AD2" s="157"/>
      <c r="AE2" s="157"/>
      <c r="AF2" s="163"/>
      <c r="AG2" s="162"/>
    </row>
    <row r="3" spans="1:33" ht="15">
      <c r="A3" s="164" t="s">
        <v>218</v>
      </c>
      <c r="B3" s="164"/>
    </row>
    <row r="4" spans="1:33" ht="15">
      <c r="A4" s="164"/>
      <c r="B4" s="164"/>
      <c r="H4" s="166" t="s">
        <v>219</v>
      </c>
      <c r="I4" s="167"/>
      <c r="J4" s="167"/>
      <c r="K4" s="168"/>
      <c r="L4" s="168"/>
      <c r="M4" s="168"/>
      <c r="N4" s="168"/>
      <c r="O4" s="168"/>
      <c r="P4" s="168"/>
      <c r="Q4" s="168"/>
      <c r="R4" s="168"/>
      <c r="S4" s="168"/>
      <c r="T4" s="168"/>
      <c r="U4" s="168"/>
      <c r="V4" s="168"/>
      <c r="W4" s="168"/>
      <c r="X4" s="168"/>
      <c r="Y4" s="168"/>
      <c r="Z4" s="168"/>
      <c r="AA4" s="168"/>
      <c r="AB4" s="168"/>
      <c r="AC4" s="168"/>
      <c r="AD4" s="168"/>
      <c r="AE4" s="168"/>
      <c r="AF4" s="168"/>
    </row>
    <row r="5" spans="1:33" ht="23.45" customHeight="1">
      <c r="A5" s="164"/>
      <c r="B5" s="164"/>
      <c r="X5" s="350" t="s">
        <v>220</v>
      </c>
      <c r="Y5" s="350"/>
      <c r="Z5" s="350"/>
    </row>
    <row r="6" spans="1:33" ht="14.25">
      <c r="A6" s="169"/>
      <c r="B6" s="169"/>
      <c r="C6" s="157"/>
      <c r="D6" s="157"/>
      <c r="E6" s="157"/>
      <c r="F6" s="157"/>
      <c r="G6" s="160"/>
      <c r="H6" s="170" t="s">
        <v>221</v>
      </c>
      <c r="I6" s="170"/>
      <c r="J6" s="170"/>
      <c r="K6" s="160"/>
      <c r="L6" s="170" t="s">
        <v>222</v>
      </c>
      <c r="M6" s="170"/>
      <c r="N6" s="170"/>
      <c r="O6" s="160"/>
      <c r="P6" s="170" t="s">
        <v>223</v>
      </c>
      <c r="Q6" s="170"/>
      <c r="R6" s="170"/>
      <c r="S6" s="160"/>
      <c r="T6" s="170" t="s">
        <v>224</v>
      </c>
      <c r="U6" s="170"/>
      <c r="V6" s="170"/>
      <c r="W6" s="160"/>
      <c r="X6" s="170" t="s">
        <v>225</v>
      </c>
      <c r="Y6" s="170"/>
      <c r="Z6" s="170"/>
      <c r="AA6" s="160"/>
      <c r="AB6" s="170" t="s">
        <v>226</v>
      </c>
      <c r="AC6" s="170"/>
      <c r="AD6" s="170"/>
    </row>
    <row r="7" spans="1:33">
      <c r="X7" s="171" t="s">
        <v>227</v>
      </c>
    </row>
    <row r="8" spans="1:33">
      <c r="A8" s="172" t="s">
        <v>228</v>
      </c>
      <c r="B8" s="172" t="s">
        <v>229</v>
      </c>
      <c r="C8" s="170" t="s">
        <v>230</v>
      </c>
      <c r="D8" s="170"/>
      <c r="E8" s="170"/>
      <c r="F8" s="173"/>
      <c r="G8" s="160"/>
      <c r="H8" s="174" t="s">
        <v>231</v>
      </c>
      <c r="I8" s="157"/>
      <c r="J8" s="174" t="s">
        <v>232</v>
      </c>
      <c r="K8" s="160"/>
      <c r="L8" s="175" t="str">
        <f>H8</f>
        <v>2013</v>
      </c>
      <c r="M8" s="157"/>
      <c r="N8" s="175" t="str">
        <f>J8</f>
        <v>2012</v>
      </c>
      <c r="O8" s="160"/>
      <c r="P8" s="175" t="str">
        <f>L8</f>
        <v>2013</v>
      </c>
      <c r="Q8" s="157"/>
      <c r="R8" s="175" t="str">
        <f>N8</f>
        <v>2012</v>
      </c>
      <c r="S8" s="160"/>
      <c r="T8" s="175" t="str">
        <f>P8</f>
        <v>2013</v>
      </c>
      <c r="U8" s="157"/>
      <c r="V8" s="175" t="str">
        <f>R8</f>
        <v>2012</v>
      </c>
      <c r="W8" s="160"/>
      <c r="X8" s="175" t="str">
        <f>T8</f>
        <v>2013</v>
      </c>
      <c r="Y8" s="157"/>
      <c r="Z8" s="175" t="str">
        <f>V8</f>
        <v>2012</v>
      </c>
      <c r="AA8" s="160"/>
      <c r="AB8" s="175" t="str">
        <f>X8</f>
        <v>2013</v>
      </c>
      <c r="AC8" s="157"/>
      <c r="AD8" s="175" t="str">
        <f>Z8</f>
        <v>2012</v>
      </c>
    </row>
    <row r="9" spans="1:33">
      <c r="A9" s="157"/>
      <c r="B9" s="157"/>
      <c r="C9" s="176" t="s">
        <v>233</v>
      </c>
      <c r="D9" s="176"/>
      <c r="T9" s="177"/>
    </row>
    <row r="10" spans="1:33" ht="3" customHeight="1">
      <c r="T10" s="177"/>
    </row>
    <row r="11" spans="1:33">
      <c r="A11" s="178" t="s">
        <v>234</v>
      </c>
      <c r="B11" s="178"/>
      <c r="C11" s="161" t="s">
        <v>235</v>
      </c>
      <c r="F11" s="161" t="s">
        <v>236</v>
      </c>
      <c r="H11" s="161">
        <f>L11+P11+T11+X11+AB11</f>
        <v>37718349312</v>
      </c>
      <c r="J11" s="161">
        <f t="shared" ref="J11:J31" si="0">N11+R11+V11+Z11+AD11</f>
        <v>35528577448</v>
      </c>
      <c r="K11" s="171"/>
      <c r="L11" s="179">
        <v>35170746526</v>
      </c>
      <c r="M11" s="180"/>
      <c r="N11" s="179">
        <v>32820320983</v>
      </c>
      <c r="O11" s="181"/>
      <c r="P11" s="182">
        <v>588975391</v>
      </c>
      <c r="Q11" s="180"/>
      <c r="R11" s="182">
        <v>564025333</v>
      </c>
      <c r="S11" s="181"/>
      <c r="T11" s="182">
        <v>1854887753</v>
      </c>
      <c r="U11" s="180"/>
      <c r="V11" s="182">
        <v>1827568702</v>
      </c>
      <c r="W11" s="181"/>
      <c r="X11" s="183">
        <v>103491734</v>
      </c>
      <c r="Y11" s="180"/>
      <c r="Z11" s="183">
        <v>316414522</v>
      </c>
      <c r="AA11" s="181"/>
      <c r="AB11" s="182">
        <v>247908</v>
      </c>
      <c r="AC11" s="180"/>
      <c r="AD11" s="182">
        <v>247908</v>
      </c>
    </row>
    <row r="12" spans="1:33">
      <c r="A12" s="178" t="s">
        <v>237</v>
      </c>
      <c r="B12" s="178"/>
      <c r="C12" s="161" t="s">
        <v>238</v>
      </c>
      <c r="F12" s="161" t="s">
        <v>236</v>
      </c>
      <c r="H12" s="161">
        <f t="shared" ref="H12:H33" si="1">L12+P12+T12+X12+AB12</f>
        <v>0</v>
      </c>
      <c r="J12" s="161">
        <f t="shared" si="0"/>
        <v>0</v>
      </c>
      <c r="L12" s="184"/>
      <c r="M12" s="180"/>
      <c r="N12" s="184"/>
      <c r="O12" s="181"/>
      <c r="P12" s="185"/>
      <c r="Q12" s="180"/>
      <c r="R12" s="185"/>
      <c r="S12" s="181"/>
      <c r="T12" s="185"/>
      <c r="U12" s="180"/>
      <c r="V12" s="185"/>
      <c r="W12" s="181"/>
      <c r="X12" s="185"/>
      <c r="Y12" s="180"/>
      <c r="Z12" s="185"/>
      <c r="AA12" s="181"/>
      <c r="AB12" s="185"/>
      <c r="AC12" s="180"/>
      <c r="AD12" s="185"/>
    </row>
    <row r="13" spans="1:33">
      <c r="A13" s="178">
        <v>105</v>
      </c>
      <c r="B13" s="178"/>
      <c r="C13" s="161" t="s">
        <v>239</v>
      </c>
      <c r="F13" s="161" t="s">
        <v>236</v>
      </c>
      <c r="H13" s="161">
        <f t="shared" si="1"/>
        <v>16261747</v>
      </c>
      <c r="J13" s="161">
        <f t="shared" si="0"/>
        <v>16261747</v>
      </c>
      <c r="L13" s="186">
        <v>16261747</v>
      </c>
      <c r="M13" s="180"/>
      <c r="N13" s="186">
        <v>16261747</v>
      </c>
      <c r="O13" s="181"/>
      <c r="P13" s="185"/>
      <c r="Q13" s="180"/>
      <c r="R13" s="185"/>
      <c r="S13" s="181"/>
      <c r="T13" s="185"/>
      <c r="U13" s="180"/>
      <c r="V13" s="185"/>
      <c r="W13" s="181"/>
      <c r="X13" s="185"/>
      <c r="Y13" s="180"/>
      <c r="Z13" s="185"/>
      <c r="AA13" s="181"/>
      <c r="AB13" s="185"/>
      <c r="AC13" s="180"/>
      <c r="AD13" s="185"/>
    </row>
    <row r="14" spans="1:33">
      <c r="A14" s="178" t="s">
        <v>240</v>
      </c>
      <c r="B14" s="178"/>
      <c r="C14" s="161" t="s">
        <v>241</v>
      </c>
      <c r="F14" s="161" t="s">
        <v>236</v>
      </c>
      <c r="H14" s="161">
        <f t="shared" si="1"/>
        <v>3872125455</v>
      </c>
      <c r="J14" s="161">
        <f t="shared" si="0"/>
        <v>2605403127</v>
      </c>
      <c r="L14" s="186">
        <v>3808081128</v>
      </c>
      <c r="M14" s="180"/>
      <c r="N14" s="186">
        <v>2527503229</v>
      </c>
      <c r="O14" s="181"/>
      <c r="P14" s="187"/>
      <c r="Q14" s="180"/>
      <c r="R14" s="187">
        <v>25408632</v>
      </c>
      <c r="S14" s="181"/>
      <c r="T14" s="187">
        <v>46783027</v>
      </c>
      <c r="U14" s="180"/>
      <c r="V14" s="187">
        <v>48627791</v>
      </c>
      <c r="W14" s="181"/>
      <c r="X14" s="188">
        <v>17261300</v>
      </c>
      <c r="Y14" s="180"/>
      <c r="Z14" s="188">
        <v>3863475</v>
      </c>
      <c r="AA14" s="181"/>
      <c r="AB14" s="185"/>
      <c r="AC14" s="180"/>
      <c r="AD14" s="185"/>
    </row>
    <row r="15" spans="1:33">
      <c r="A15" s="178" t="s">
        <v>242</v>
      </c>
      <c r="B15" s="178"/>
      <c r="C15" s="161" t="s">
        <v>243</v>
      </c>
      <c r="F15" s="161" t="s">
        <v>236</v>
      </c>
      <c r="H15" s="180">
        <f t="shared" si="1"/>
        <v>32082421</v>
      </c>
      <c r="J15" s="161">
        <f t="shared" si="0"/>
        <v>31938123</v>
      </c>
      <c r="L15" s="186">
        <v>32082421</v>
      </c>
      <c r="M15" s="180"/>
      <c r="N15" s="186">
        <v>31938123</v>
      </c>
      <c r="O15" s="181"/>
      <c r="P15" s="185"/>
      <c r="Q15" s="180"/>
      <c r="R15" s="185"/>
      <c r="S15" s="181"/>
      <c r="T15" s="185"/>
      <c r="U15" s="180"/>
      <c r="V15" s="185"/>
      <c r="W15" s="181"/>
      <c r="X15" s="185"/>
      <c r="Y15" s="180"/>
      <c r="Z15" s="185"/>
      <c r="AA15" s="181"/>
      <c r="AB15" s="185"/>
      <c r="AC15" s="180"/>
      <c r="AD15" s="185"/>
    </row>
    <row r="16" spans="1:33">
      <c r="A16" s="178" t="s">
        <v>244</v>
      </c>
      <c r="B16" s="178"/>
      <c r="C16" s="161" t="s">
        <v>245</v>
      </c>
      <c r="F16" s="161" t="s">
        <v>236</v>
      </c>
      <c r="H16" s="180">
        <f t="shared" si="1"/>
        <v>141178641</v>
      </c>
      <c r="J16" s="161">
        <f t="shared" si="0"/>
        <v>187050241</v>
      </c>
      <c r="L16" s="189">
        <v>140989280</v>
      </c>
      <c r="M16" s="180"/>
      <c r="N16" s="189">
        <v>186865946</v>
      </c>
      <c r="O16" s="181"/>
      <c r="P16" s="185"/>
      <c r="Q16" s="180"/>
      <c r="R16" s="185"/>
      <c r="S16" s="181"/>
      <c r="T16" s="189">
        <v>189361</v>
      </c>
      <c r="U16" s="180"/>
      <c r="V16" s="189">
        <v>184295</v>
      </c>
      <c r="W16" s="181"/>
      <c r="X16" s="185"/>
      <c r="Y16" s="180"/>
      <c r="Z16" s="185"/>
      <c r="AA16" s="181"/>
      <c r="AB16" s="185"/>
      <c r="AC16" s="180"/>
      <c r="AD16" s="185"/>
    </row>
    <row r="17" spans="1:30">
      <c r="A17" s="178" t="s">
        <v>246</v>
      </c>
      <c r="B17" s="178"/>
      <c r="C17" s="161" t="s">
        <v>247</v>
      </c>
      <c r="F17" s="161" t="s">
        <v>236</v>
      </c>
      <c r="H17" s="180">
        <f t="shared" si="1"/>
        <v>-13050446</v>
      </c>
      <c r="J17" s="180">
        <f t="shared" si="0"/>
        <v>90713489</v>
      </c>
      <c r="K17" s="181"/>
      <c r="L17" s="186">
        <v>-46921121</v>
      </c>
      <c r="M17" s="180"/>
      <c r="N17" s="186">
        <v>53049749</v>
      </c>
      <c r="O17" s="181"/>
      <c r="P17" s="186"/>
      <c r="Q17" s="180"/>
      <c r="R17" s="186">
        <v>4385484</v>
      </c>
      <c r="S17" s="181"/>
      <c r="T17" s="186">
        <v>33870675</v>
      </c>
      <c r="U17" s="180"/>
      <c r="V17" s="186">
        <v>33278256</v>
      </c>
      <c r="W17" s="181"/>
      <c r="X17" s="185"/>
      <c r="Y17" s="180"/>
      <c r="Z17" s="185"/>
      <c r="AA17" s="181"/>
      <c r="AB17" s="185"/>
      <c r="AC17" s="180"/>
      <c r="AD17" s="185"/>
    </row>
    <row r="18" spans="1:30">
      <c r="A18" s="178" t="s">
        <v>248</v>
      </c>
      <c r="B18" s="178"/>
      <c r="C18" s="161" t="s">
        <v>249</v>
      </c>
      <c r="F18" s="161" t="s">
        <v>236</v>
      </c>
      <c r="H18" s="180">
        <f t="shared" si="1"/>
        <v>-1737249286</v>
      </c>
      <c r="J18" s="180">
        <f t="shared" si="0"/>
        <v>-1572816218</v>
      </c>
      <c r="K18" s="181"/>
      <c r="L18" s="190">
        <v>-1730837274</v>
      </c>
      <c r="M18" s="180"/>
      <c r="N18" s="190">
        <v>-1567116451</v>
      </c>
      <c r="O18" s="181"/>
      <c r="P18" s="185">
        <v>-71762</v>
      </c>
      <c r="Q18" s="180"/>
      <c r="R18" s="185">
        <v>-71762</v>
      </c>
      <c r="S18" s="181"/>
      <c r="T18" s="185">
        <v>-6340250</v>
      </c>
      <c r="U18" s="180"/>
      <c r="V18" s="185">
        <v>-5628005</v>
      </c>
      <c r="W18" s="181"/>
      <c r="X18" s="185"/>
      <c r="Y18" s="180"/>
      <c r="Z18" s="185"/>
      <c r="AA18" s="181"/>
      <c r="AB18" s="185"/>
      <c r="AC18" s="180"/>
      <c r="AD18" s="185"/>
    </row>
    <row r="19" spans="1:30">
      <c r="A19" s="178" t="s">
        <v>250</v>
      </c>
      <c r="B19" s="178"/>
      <c r="C19" s="161" t="s">
        <v>251</v>
      </c>
      <c r="F19" s="161" t="s">
        <v>236</v>
      </c>
      <c r="H19" s="180">
        <f t="shared" si="1"/>
        <v>0</v>
      </c>
      <c r="J19" s="180">
        <f t="shared" si="0"/>
        <v>0</v>
      </c>
      <c r="K19" s="181"/>
      <c r="L19" s="186"/>
      <c r="M19" s="180"/>
      <c r="N19" s="186"/>
      <c r="O19" s="181"/>
      <c r="P19" s="191"/>
      <c r="Q19" s="180"/>
      <c r="R19" s="191"/>
      <c r="S19" s="181"/>
      <c r="T19" s="185"/>
      <c r="U19" s="180"/>
      <c r="V19" s="185"/>
      <c r="W19" s="181"/>
      <c r="X19" s="185"/>
      <c r="Y19" s="180"/>
      <c r="Z19" s="185"/>
      <c r="AA19" s="181"/>
      <c r="AB19" s="185"/>
      <c r="AC19" s="180"/>
      <c r="AD19" s="185"/>
    </row>
    <row r="20" spans="1:30">
      <c r="A20" s="178" t="s">
        <v>252</v>
      </c>
      <c r="B20" s="192" t="s">
        <v>253</v>
      </c>
      <c r="C20" s="161" t="s">
        <v>254</v>
      </c>
      <c r="F20" s="161" t="s">
        <v>236</v>
      </c>
      <c r="H20" s="180">
        <f t="shared" si="1"/>
        <v>0</v>
      </c>
      <c r="J20" s="180">
        <f t="shared" si="0"/>
        <v>0</v>
      </c>
      <c r="K20" s="181"/>
      <c r="L20" s="186"/>
      <c r="M20" s="180"/>
      <c r="N20" s="186"/>
      <c r="O20" s="181"/>
      <c r="P20" s="191"/>
      <c r="Q20" s="180"/>
      <c r="R20" s="191"/>
      <c r="S20" s="181"/>
      <c r="T20" s="185"/>
      <c r="U20" s="180"/>
      <c r="V20" s="185"/>
      <c r="W20" s="181"/>
      <c r="X20" s="185"/>
      <c r="Y20" s="180"/>
      <c r="Z20" s="185"/>
      <c r="AA20" s="181"/>
      <c r="AB20" s="185"/>
      <c r="AC20" s="180"/>
      <c r="AD20" s="185"/>
    </row>
    <row r="21" spans="1:30">
      <c r="A21" s="178"/>
      <c r="B21" s="192" t="s">
        <v>255</v>
      </c>
      <c r="C21" s="161" t="s">
        <v>256</v>
      </c>
      <c r="F21" s="161" t="s">
        <v>236</v>
      </c>
      <c r="H21" s="180">
        <f t="shared" si="1"/>
        <v>318746531</v>
      </c>
      <c r="J21" s="180">
        <f t="shared" si="0"/>
        <v>318495109</v>
      </c>
      <c r="K21" s="181"/>
      <c r="L21" s="186"/>
      <c r="M21" s="180"/>
      <c r="N21" s="186"/>
      <c r="O21" s="181"/>
      <c r="P21" s="191"/>
      <c r="Q21" s="180"/>
      <c r="R21" s="191"/>
      <c r="S21" s="181"/>
      <c r="T21" s="185">
        <v>318746531</v>
      </c>
      <c r="U21" s="180"/>
      <c r="V21" s="185"/>
      <c r="W21" s="181"/>
      <c r="X21" s="185"/>
      <c r="Y21" s="180"/>
      <c r="Z21" s="185"/>
      <c r="AA21" s="181"/>
      <c r="AB21" s="186"/>
      <c r="AC21" s="180"/>
      <c r="AD21" s="186">
        <v>318495109</v>
      </c>
    </row>
    <row r="22" spans="1:30">
      <c r="A22" s="178"/>
      <c r="B22" s="192" t="s">
        <v>257</v>
      </c>
      <c r="C22" s="161" t="s">
        <v>258</v>
      </c>
      <c r="F22" s="161" t="s">
        <v>236</v>
      </c>
      <c r="H22" s="180">
        <f t="shared" si="1"/>
        <v>-263377778</v>
      </c>
      <c r="J22" s="180"/>
      <c r="K22" s="181"/>
      <c r="L22" s="186"/>
      <c r="M22" s="180"/>
      <c r="N22" s="186"/>
      <c r="O22" s="181"/>
      <c r="P22" s="191"/>
      <c r="Q22" s="180"/>
      <c r="R22" s="191"/>
      <c r="S22" s="181"/>
      <c r="T22" s="185">
        <v>-263377778</v>
      </c>
      <c r="U22" s="180"/>
      <c r="V22" s="185"/>
      <c r="W22" s="181"/>
      <c r="X22" s="185"/>
      <c r="Y22" s="180"/>
      <c r="Z22" s="185"/>
      <c r="AA22" s="181"/>
      <c r="AB22" s="186"/>
      <c r="AC22" s="180"/>
      <c r="AD22" s="186"/>
    </row>
    <row r="23" spans="1:30">
      <c r="A23" s="178" t="s">
        <v>259</v>
      </c>
      <c r="B23" s="192" t="s">
        <v>260</v>
      </c>
      <c r="C23" s="161" t="s">
        <v>261</v>
      </c>
      <c r="F23" s="161" t="s">
        <v>236</v>
      </c>
      <c r="H23" s="161">
        <f t="shared" si="1"/>
        <v>0</v>
      </c>
      <c r="J23" s="180">
        <f t="shared" si="0"/>
        <v>0</v>
      </c>
      <c r="K23" s="181"/>
      <c r="L23" s="186"/>
      <c r="M23" s="180"/>
      <c r="N23" s="186"/>
      <c r="O23" s="181"/>
      <c r="P23" s="191"/>
      <c r="Q23" s="180"/>
      <c r="R23" s="191"/>
      <c r="S23" s="181"/>
      <c r="T23" s="185"/>
      <c r="U23" s="180"/>
      <c r="V23" s="185"/>
      <c r="W23" s="181"/>
      <c r="X23" s="185"/>
      <c r="Y23" s="180"/>
      <c r="Z23" s="185"/>
      <c r="AA23" s="181"/>
      <c r="AB23" s="185"/>
      <c r="AC23" s="180"/>
      <c r="AD23" s="185"/>
    </row>
    <row r="24" spans="1:30">
      <c r="A24" s="178"/>
      <c r="B24" s="192" t="s">
        <v>262</v>
      </c>
      <c r="C24" s="161" t="s">
        <v>263</v>
      </c>
      <c r="H24" s="161">
        <f t="shared" si="1"/>
        <v>15702</v>
      </c>
      <c r="J24" s="180">
        <f t="shared" si="0"/>
        <v>15702</v>
      </c>
      <c r="K24" s="181"/>
      <c r="L24" s="190">
        <v>15702</v>
      </c>
      <c r="M24" s="180"/>
      <c r="N24" s="190">
        <v>15702</v>
      </c>
      <c r="O24" s="181"/>
      <c r="P24" s="191"/>
      <c r="Q24" s="180"/>
      <c r="R24" s="191"/>
      <c r="S24" s="181"/>
      <c r="T24" s="185"/>
      <c r="U24" s="180"/>
      <c r="V24" s="185"/>
      <c r="W24" s="181"/>
      <c r="X24" s="185"/>
      <c r="Y24" s="180"/>
      <c r="Z24" s="185"/>
      <c r="AA24" s="181"/>
      <c r="AB24" s="193"/>
      <c r="AC24" s="180"/>
      <c r="AD24" s="193"/>
    </row>
    <row r="25" spans="1:30">
      <c r="A25" s="178" t="s">
        <v>264</v>
      </c>
      <c r="B25" s="192" t="s">
        <v>265</v>
      </c>
      <c r="C25" s="161" t="s">
        <v>266</v>
      </c>
      <c r="F25" s="161" t="s">
        <v>236</v>
      </c>
      <c r="H25" s="161">
        <f t="shared" si="1"/>
        <v>0</v>
      </c>
      <c r="J25" s="180">
        <f t="shared" si="0"/>
        <v>0</v>
      </c>
      <c r="K25" s="181"/>
      <c r="L25" s="185"/>
      <c r="M25" s="180"/>
      <c r="N25" s="185"/>
      <c r="O25" s="181"/>
      <c r="P25" s="191"/>
      <c r="Q25" s="180"/>
      <c r="R25" s="191"/>
      <c r="S25" s="181"/>
      <c r="T25" s="185"/>
      <c r="U25" s="180"/>
      <c r="V25" s="185"/>
      <c r="W25" s="181"/>
      <c r="X25" s="185"/>
      <c r="Y25" s="180"/>
      <c r="Z25" s="185"/>
      <c r="AA25" s="181"/>
      <c r="AB25" s="193"/>
      <c r="AC25" s="180"/>
      <c r="AD25" s="193"/>
    </row>
    <row r="26" spans="1:30">
      <c r="A26" s="178" t="s">
        <v>267</v>
      </c>
      <c r="B26" s="192" t="s">
        <v>268</v>
      </c>
      <c r="C26" s="161" t="s">
        <v>269</v>
      </c>
      <c r="F26" s="161" t="s">
        <v>236</v>
      </c>
      <c r="H26" s="161">
        <f t="shared" si="1"/>
        <v>0</v>
      </c>
      <c r="J26" s="180">
        <f t="shared" si="0"/>
        <v>0</v>
      </c>
      <c r="K26" s="181"/>
      <c r="L26" s="180"/>
      <c r="M26" s="180"/>
      <c r="N26" s="180"/>
      <c r="O26" s="181"/>
      <c r="P26" s="191"/>
      <c r="Q26" s="180"/>
      <c r="R26" s="191"/>
      <c r="S26" s="181"/>
      <c r="T26" s="185"/>
      <c r="U26" s="180"/>
      <c r="V26" s="185"/>
      <c r="W26" s="181"/>
      <c r="X26" s="185"/>
      <c r="Y26" s="180"/>
      <c r="Z26" s="185"/>
      <c r="AA26" s="181"/>
      <c r="AB26" s="193"/>
      <c r="AC26" s="180"/>
      <c r="AD26" s="193"/>
    </row>
    <row r="27" spans="1:30">
      <c r="A27" s="178" t="s">
        <v>270</v>
      </c>
      <c r="B27" s="192">
        <v>1217010</v>
      </c>
      <c r="C27" s="161" t="s">
        <v>271</v>
      </c>
      <c r="F27" s="161" t="s">
        <v>236</v>
      </c>
      <c r="H27" s="161">
        <f t="shared" si="1"/>
        <v>0</v>
      </c>
      <c r="J27" s="180">
        <f t="shared" si="0"/>
        <v>0</v>
      </c>
      <c r="K27" s="181"/>
      <c r="L27" s="180"/>
      <c r="M27" s="180"/>
      <c r="N27" s="180"/>
      <c r="O27" s="181"/>
      <c r="P27" s="191"/>
      <c r="Q27" s="180"/>
      <c r="R27" s="191"/>
      <c r="S27" s="181"/>
      <c r="T27" s="185"/>
      <c r="U27" s="180"/>
      <c r="V27" s="185"/>
      <c r="W27" s="181"/>
      <c r="X27" s="185"/>
      <c r="Y27" s="180"/>
      <c r="Z27" s="185"/>
      <c r="AA27" s="181"/>
      <c r="AB27" s="193"/>
      <c r="AC27" s="180"/>
      <c r="AD27" s="193"/>
    </row>
    <row r="28" spans="1:30">
      <c r="A28" s="178" t="s">
        <v>272</v>
      </c>
      <c r="B28" s="192" t="s">
        <v>273</v>
      </c>
      <c r="C28" s="161" t="s">
        <v>274</v>
      </c>
      <c r="F28" s="161" t="s">
        <v>236</v>
      </c>
      <c r="H28" s="161">
        <f t="shared" si="1"/>
        <v>0</v>
      </c>
      <c r="J28" s="180">
        <f t="shared" si="0"/>
        <v>0</v>
      </c>
      <c r="K28" s="181"/>
      <c r="L28" s="180"/>
      <c r="M28" s="180"/>
      <c r="N28" s="180"/>
      <c r="O28" s="181"/>
      <c r="P28" s="191"/>
      <c r="Q28" s="180"/>
      <c r="R28" s="191"/>
      <c r="S28" s="181"/>
      <c r="T28" s="185"/>
      <c r="U28" s="180"/>
      <c r="V28" s="185"/>
      <c r="W28" s="181"/>
      <c r="X28" s="185"/>
      <c r="Y28" s="180"/>
      <c r="Z28" s="185"/>
      <c r="AA28" s="181"/>
      <c r="AB28" s="193"/>
      <c r="AC28" s="180"/>
      <c r="AD28" s="193"/>
    </row>
    <row r="29" spans="1:30">
      <c r="A29" s="178" t="s">
        <v>275</v>
      </c>
      <c r="B29" s="192" t="s">
        <v>276</v>
      </c>
      <c r="C29" s="161" t="s">
        <v>277</v>
      </c>
      <c r="F29" s="161" t="s">
        <v>236</v>
      </c>
      <c r="H29" s="161">
        <f t="shared" si="1"/>
        <v>0</v>
      </c>
      <c r="J29" s="180">
        <f t="shared" si="0"/>
        <v>0</v>
      </c>
      <c r="K29" s="181"/>
      <c r="L29" s="180"/>
      <c r="M29" s="180"/>
      <c r="N29" s="180"/>
      <c r="O29" s="181"/>
      <c r="P29" s="191"/>
      <c r="Q29" s="180"/>
      <c r="R29" s="191"/>
      <c r="S29" s="181"/>
      <c r="T29" s="185"/>
      <c r="U29" s="180"/>
      <c r="V29" s="185"/>
      <c r="W29" s="181"/>
      <c r="X29" s="185"/>
      <c r="Y29" s="180"/>
      <c r="Z29" s="185"/>
      <c r="AA29" s="181"/>
      <c r="AB29" s="193"/>
      <c r="AC29" s="180"/>
      <c r="AD29" s="193"/>
    </row>
    <row r="30" spans="1:30">
      <c r="A30" s="178" t="s">
        <v>278</v>
      </c>
      <c r="B30" s="192"/>
      <c r="C30" s="161" t="s">
        <v>279</v>
      </c>
      <c r="F30" s="161" t="s">
        <v>236</v>
      </c>
      <c r="H30" s="161">
        <f t="shared" si="1"/>
        <v>0</v>
      </c>
      <c r="J30" s="180">
        <f t="shared" si="0"/>
        <v>0</v>
      </c>
      <c r="K30" s="181"/>
      <c r="L30" s="180"/>
      <c r="M30" s="180"/>
      <c r="N30" s="180"/>
      <c r="O30" s="181"/>
      <c r="P30" s="191"/>
      <c r="Q30" s="180"/>
      <c r="R30" s="191"/>
      <c r="S30" s="181"/>
      <c r="T30" s="185"/>
      <c r="U30" s="180"/>
      <c r="V30" s="185"/>
      <c r="W30" s="181"/>
      <c r="X30" s="185"/>
      <c r="Y30" s="180"/>
      <c r="Z30" s="185"/>
      <c r="AA30" s="181"/>
      <c r="AB30" s="193"/>
      <c r="AC30" s="180"/>
      <c r="AD30" s="193"/>
    </row>
    <row r="31" spans="1:30">
      <c r="A31" s="178" t="s">
        <v>280</v>
      </c>
      <c r="B31" s="192" t="s">
        <v>281</v>
      </c>
      <c r="C31" s="161" t="s">
        <v>282</v>
      </c>
      <c r="F31" s="161" t="s">
        <v>236</v>
      </c>
      <c r="H31" s="161">
        <f t="shared" si="1"/>
        <v>0</v>
      </c>
      <c r="J31" s="180">
        <f t="shared" si="0"/>
        <v>0</v>
      </c>
      <c r="K31" s="181"/>
      <c r="L31" s="180"/>
      <c r="M31" s="180"/>
      <c r="N31" s="180"/>
      <c r="O31" s="181"/>
      <c r="P31" s="191"/>
      <c r="Q31" s="180"/>
      <c r="R31" s="191"/>
      <c r="S31" s="181"/>
      <c r="T31" s="185"/>
      <c r="U31" s="180"/>
      <c r="V31" s="185"/>
      <c r="W31" s="181"/>
      <c r="X31" s="185"/>
      <c r="Y31" s="180"/>
      <c r="Z31" s="185"/>
      <c r="AA31" s="181"/>
      <c r="AB31" s="180"/>
      <c r="AC31" s="180"/>
      <c r="AD31" s="180"/>
    </row>
    <row r="32" spans="1:30">
      <c r="A32" s="178" t="s">
        <v>283</v>
      </c>
      <c r="B32" s="192" t="s">
        <v>284</v>
      </c>
      <c r="C32" s="161" t="s">
        <v>285</v>
      </c>
      <c r="F32" s="161" t="s">
        <v>236</v>
      </c>
      <c r="G32" s="171" t="s">
        <v>286</v>
      </c>
      <c r="H32" s="180">
        <f t="shared" si="1"/>
        <v>451057314</v>
      </c>
      <c r="J32" s="180">
        <f>N32+R32+V32+Z32+AD32</f>
        <v>436325664</v>
      </c>
      <c r="K32" s="171" t="s">
        <v>286</v>
      </c>
      <c r="L32" s="185">
        <v>310289789</v>
      </c>
      <c r="M32" s="180"/>
      <c r="N32" s="185">
        <v>309020727</v>
      </c>
      <c r="O32" s="181"/>
      <c r="P32" s="191"/>
      <c r="Q32" s="180"/>
      <c r="R32" s="191"/>
      <c r="S32" s="171" t="s">
        <v>286</v>
      </c>
      <c r="T32" s="185">
        <v>140767525</v>
      </c>
      <c r="U32" s="180"/>
      <c r="V32" s="185">
        <v>127304937</v>
      </c>
      <c r="W32" s="181"/>
      <c r="X32" s="185"/>
      <c r="Y32" s="180"/>
      <c r="Z32" s="185"/>
      <c r="AA32" s="181"/>
      <c r="AB32" s="180"/>
      <c r="AC32" s="180"/>
      <c r="AD32" s="180"/>
    </row>
    <row r="33" spans="1:30">
      <c r="A33" s="178"/>
      <c r="B33" s="192"/>
      <c r="C33" s="161" t="s">
        <v>287</v>
      </c>
      <c r="F33" s="161" t="s">
        <v>288</v>
      </c>
      <c r="G33" s="171" t="s">
        <v>289</v>
      </c>
      <c r="H33" s="180">
        <f t="shared" si="1"/>
        <v>285629495</v>
      </c>
      <c r="J33" s="180">
        <f>N33+R33+V33+Z33+AD33</f>
        <v>249704181</v>
      </c>
      <c r="K33" s="171" t="s">
        <v>289</v>
      </c>
      <c r="L33" s="185">
        <v>285629495</v>
      </c>
      <c r="M33" s="180"/>
      <c r="N33" s="185">
        <v>249704181</v>
      </c>
      <c r="O33" s="181"/>
      <c r="P33" s="180"/>
      <c r="Q33" s="180"/>
      <c r="R33" s="180"/>
      <c r="S33" s="181"/>
      <c r="T33" s="185"/>
      <c r="U33" s="180"/>
      <c r="V33" s="180"/>
      <c r="W33" s="181"/>
      <c r="X33" s="180"/>
      <c r="Y33" s="180"/>
      <c r="Z33" s="180"/>
      <c r="AA33" s="181"/>
      <c r="AB33" s="180"/>
      <c r="AC33" s="180"/>
      <c r="AD33" s="180"/>
    </row>
    <row r="34" spans="1:30" ht="3.95" customHeight="1">
      <c r="A34" s="157"/>
      <c r="B34" s="157"/>
      <c r="C34" s="157"/>
      <c r="D34" s="157"/>
      <c r="E34" s="157"/>
      <c r="F34" s="157"/>
      <c r="G34" s="160"/>
      <c r="H34" s="173"/>
      <c r="I34" s="157"/>
      <c r="J34" s="194"/>
      <c r="K34" s="160"/>
      <c r="L34" s="173"/>
      <c r="M34" s="157"/>
      <c r="N34" s="194"/>
      <c r="O34" s="160"/>
      <c r="P34" s="173"/>
      <c r="Q34" s="157"/>
      <c r="R34" s="194"/>
      <c r="S34" s="160"/>
      <c r="T34" s="195"/>
      <c r="U34" s="157"/>
      <c r="V34" s="194"/>
      <c r="W34" s="160"/>
      <c r="X34" s="173"/>
      <c r="Y34" s="157"/>
      <c r="Z34" s="194"/>
      <c r="AA34" s="160"/>
      <c r="AB34" s="173"/>
      <c r="AC34" s="157"/>
      <c r="AD34" s="194"/>
    </row>
    <row r="35" spans="1:30" ht="13.5" thickBot="1">
      <c r="C35" s="161" t="s">
        <v>290</v>
      </c>
      <c r="D35" s="196" t="s">
        <v>291</v>
      </c>
      <c r="E35" s="185">
        <v>13451</v>
      </c>
      <c r="H35" s="161">
        <f>SUM(H11:H34)</f>
        <v>40821769108</v>
      </c>
      <c r="I35" s="197" t="s">
        <v>292</v>
      </c>
      <c r="J35" s="198">
        <f>SUM(J11:J34)</f>
        <v>37891668613</v>
      </c>
      <c r="K35" s="199"/>
      <c r="L35" s="180">
        <f>SUM(L11:L34)</f>
        <v>37986337693</v>
      </c>
      <c r="N35" s="198">
        <f>SUM(N11:N34)</f>
        <v>34627563936</v>
      </c>
      <c r="P35" s="161">
        <f>SUM(P11:P34)</f>
        <v>588903629</v>
      </c>
      <c r="R35" s="198">
        <f>SUM(R11:R34)</f>
        <v>593747687</v>
      </c>
      <c r="T35" s="180">
        <f>SUM(T11:T34)</f>
        <v>2125526844</v>
      </c>
      <c r="V35" s="198">
        <f>SUM(V11:V34)</f>
        <v>2031335976</v>
      </c>
      <c r="X35" s="161">
        <f>SUM(X11:X34)</f>
        <v>120753034</v>
      </c>
      <c r="Z35" s="198">
        <f>SUM(Z11:Z34)</f>
        <v>320277997</v>
      </c>
      <c r="AB35" s="161">
        <f>SUM(AB11:AB34)</f>
        <v>247908</v>
      </c>
      <c r="AD35" s="198">
        <f>SUM(AD11:AD34)</f>
        <v>318743017</v>
      </c>
    </row>
    <row r="36" spans="1:30" ht="13.5" thickTop="1">
      <c r="C36" s="161" t="s">
        <v>293</v>
      </c>
      <c r="D36" s="196" t="s">
        <v>291</v>
      </c>
      <c r="E36" s="185">
        <v>24981</v>
      </c>
      <c r="H36" s="161">
        <f>J35</f>
        <v>37891668613</v>
      </c>
      <c r="L36" s="180">
        <f>N35</f>
        <v>34627563936</v>
      </c>
      <c r="P36" s="161">
        <f>R35</f>
        <v>593747687</v>
      </c>
      <c r="T36" s="161">
        <f>V35</f>
        <v>2031335976</v>
      </c>
      <c r="X36" s="161">
        <f>Z35</f>
        <v>320277997</v>
      </c>
      <c r="AB36" s="161">
        <f>AD35</f>
        <v>318743017</v>
      </c>
    </row>
    <row r="37" spans="1:30">
      <c r="A37" s="157"/>
      <c r="B37" s="157"/>
      <c r="C37" s="157" t="s">
        <v>294</v>
      </c>
      <c r="D37" s="196" t="s">
        <v>295</v>
      </c>
      <c r="E37" s="200">
        <v>697728</v>
      </c>
      <c r="F37" s="157"/>
      <c r="G37" s="160"/>
      <c r="H37" s="201">
        <f>SUM(H35:H36)</f>
        <v>78713437721</v>
      </c>
      <c r="I37" s="157"/>
      <c r="J37" s="157"/>
      <c r="K37" s="160"/>
      <c r="L37" s="202">
        <f>SUM(L35:L36)</f>
        <v>72613901629</v>
      </c>
      <c r="M37" s="157"/>
      <c r="N37" s="157"/>
      <c r="O37" s="160"/>
      <c r="P37" s="201">
        <f>SUM(P35:P36)</f>
        <v>1182651316</v>
      </c>
      <c r="Q37" s="157"/>
      <c r="R37" s="157"/>
      <c r="S37" s="160"/>
      <c r="T37" s="201">
        <f>SUM(T35:T36)</f>
        <v>4156862820</v>
      </c>
      <c r="U37" s="157"/>
      <c r="V37" s="157"/>
      <c r="W37" s="160"/>
      <c r="X37" s="201">
        <f>SUM(X35:X36)</f>
        <v>441031031</v>
      </c>
      <c r="Y37" s="157"/>
      <c r="Z37" s="157"/>
      <c r="AA37" s="160"/>
      <c r="AB37" s="201">
        <f>SUM(AB35:AB36)</f>
        <v>318990925</v>
      </c>
      <c r="AC37" s="157"/>
      <c r="AD37" s="157"/>
    </row>
    <row r="38" spans="1:30">
      <c r="A38" s="157"/>
      <c r="B38" s="157"/>
      <c r="C38" s="157" t="s">
        <v>296</v>
      </c>
      <c r="D38" s="196" t="s">
        <v>297</v>
      </c>
      <c r="E38" s="200">
        <v>601383</v>
      </c>
      <c r="F38" s="157"/>
      <c r="G38" s="160"/>
      <c r="H38" s="201">
        <f>H37*0.5</f>
        <v>39356718860.5</v>
      </c>
      <c r="I38" s="157"/>
      <c r="J38" s="157"/>
      <c r="K38" s="160"/>
      <c r="L38" s="202">
        <f>L37*0.5</f>
        <v>36306950814.5</v>
      </c>
      <c r="M38" s="157"/>
      <c r="N38" s="157"/>
      <c r="O38" s="160"/>
      <c r="P38" s="201">
        <f>P37*0.5</f>
        <v>591325658</v>
      </c>
      <c r="Q38" s="157"/>
      <c r="R38" s="157"/>
      <c r="S38" s="160"/>
      <c r="T38" s="201">
        <f>T37*0.5</f>
        <v>2078431410</v>
      </c>
      <c r="U38" s="157"/>
      <c r="V38" s="157"/>
      <c r="W38" s="160"/>
      <c r="X38" s="201">
        <f>X37*0.5</f>
        <v>220515515.5</v>
      </c>
      <c r="Y38" s="157"/>
      <c r="Z38" s="157"/>
      <c r="AA38" s="160"/>
      <c r="AB38" s="201">
        <f>AB37*0.5</f>
        <v>159495462.5</v>
      </c>
      <c r="AC38" s="157"/>
      <c r="AD38" s="157"/>
    </row>
    <row r="39" spans="1:30">
      <c r="A39" s="157" t="s">
        <v>298</v>
      </c>
      <c r="B39" s="157"/>
      <c r="C39" s="203" t="s">
        <v>299</v>
      </c>
      <c r="D39" s="196" t="s">
        <v>300</v>
      </c>
      <c r="E39" s="204">
        <f>118133957-24981</f>
        <v>118108976</v>
      </c>
      <c r="F39" s="203" t="s">
        <v>301</v>
      </c>
      <c r="G39" s="160"/>
      <c r="H39" s="173">
        <f>ROUND((+E39*8)+(E38*8)+(E37*8)+(E36*8)+(E35*8),0)</f>
        <v>955572152</v>
      </c>
      <c r="I39" s="157"/>
      <c r="J39" s="205" t="s">
        <v>302</v>
      </c>
      <c r="K39" s="160"/>
      <c r="L39" s="195">
        <f>ROUND(+$E39*8,0)</f>
        <v>944871808</v>
      </c>
      <c r="M39" s="157"/>
      <c r="N39" s="206" t="s">
        <v>303</v>
      </c>
      <c r="O39" s="159"/>
      <c r="P39" s="195">
        <f>ROUND(+$E38*8,0)</f>
        <v>4811064</v>
      </c>
      <c r="Q39" s="207" t="s">
        <v>304</v>
      </c>
      <c r="R39" s="158"/>
      <c r="S39" s="206" t="s">
        <v>305</v>
      </c>
      <c r="T39" s="195">
        <f>ROUND(+$E37*8,0)</f>
        <v>5581824</v>
      </c>
      <c r="U39" s="208" t="s">
        <v>306</v>
      </c>
      <c r="V39" s="157"/>
      <c r="W39" s="160"/>
      <c r="X39" s="173"/>
      <c r="Y39" s="157"/>
      <c r="Z39" s="193"/>
      <c r="AA39" s="206" t="s">
        <v>307</v>
      </c>
      <c r="AB39" s="195">
        <f>ROUND((+$E36*8+($E35*8)),0)</f>
        <v>307456</v>
      </c>
      <c r="AC39" s="209" t="s">
        <v>308</v>
      </c>
      <c r="AD39" s="157"/>
    </row>
    <row r="40" spans="1:30" ht="15.75" thickBot="1">
      <c r="A40" s="157"/>
      <c r="B40" s="157"/>
      <c r="C40" s="156" t="s">
        <v>309</v>
      </c>
      <c r="D40" s="196"/>
      <c r="E40" s="210">
        <f>SUM(E35:E39)</f>
        <v>119446519</v>
      </c>
      <c r="F40" s="163" t="s">
        <v>310</v>
      </c>
      <c r="G40" s="160"/>
      <c r="H40" s="211">
        <f>SUM(H38:H39)</f>
        <v>40312291012.5</v>
      </c>
      <c r="I40" s="156"/>
      <c r="J40" s="156"/>
      <c r="K40" s="160"/>
      <c r="L40" s="211">
        <f>SUM(L38:L39)</f>
        <v>37251822622.5</v>
      </c>
      <c r="M40" s="156"/>
      <c r="N40" s="156"/>
      <c r="O40" s="160"/>
      <c r="P40" s="211">
        <f>SUM(P38:P39)</f>
        <v>596136722</v>
      </c>
      <c r="Q40" s="156"/>
      <c r="R40" s="156"/>
      <c r="S40" s="160"/>
      <c r="T40" s="211">
        <f>SUM(T38:T39)</f>
        <v>2084013234</v>
      </c>
      <c r="U40" s="156"/>
      <c r="V40" s="156"/>
      <c r="W40" s="160"/>
      <c r="X40" s="211">
        <f>SUM(X38:X39)</f>
        <v>220515515.5</v>
      </c>
      <c r="Y40" s="156"/>
      <c r="Z40" s="156"/>
      <c r="AA40" s="160"/>
      <c r="AB40" s="211">
        <f>SUM(AB38:AB39)</f>
        <v>159802918.5</v>
      </c>
      <c r="AC40" s="156"/>
      <c r="AD40" s="156"/>
    </row>
    <row r="41" spans="1:30" ht="13.5" thickTop="1">
      <c r="D41" s="212"/>
      <c r="AB41" s="213"/>
    </row>
    <row r="42" spans="1:30">
      <c r="D42" s="212"/>
      <c r="AB42" s="213"/>
    </row>
    <row r="43" spans="1:30">
      <c r="C43" s="214" t="s">
        <v>311</v>
      </c>
      <c r="D43" s="212"/>
      <c r="AB43" s="213"/>
    </row>
    <row r="44" spans="1:30">
      <c r="C44" s="214" t="s">
        <v>312</v>
      </c>
      <c r="D44" s="215" t="s">
        <v>227</v>
      </c>
      <c r="E44" s="161">
        <v>40294664980</v>
      </c>
      <c r="H44" s="216"/>
      <c r="AB44" s="213"/>
    </row>
    <row r="45" spans="1:30">
      <c r="C45" s="214" t="s">
        <v>313</v>
      </c>
      <c r="D45" s="215" t="s">
        <v>227</v>
      </c>
      <c r="E45" s="180">
        <v>-59156240</v>
      </c>
      <c r="H45" s="216"/>
      <c r="AB45" s="213"/>
    </row>
    <row r="46" spans="1:30">
      <c r="C46" s="214" t="s">
        <v>314</v>
      </c>
      <c r="D46" s="215" t="s">
        <v>227</v>
      </c>
      <c r="E46" s="180">
        <v>-468105252</v>
      </c>
      <c r="H46" s="216"/>
      <c r="AB46" s="213"/>
    </row>
    <row r="47" spans="1:30">
      <c r="C47" s="214" t="s">
        <v>315</v>
      </c>
      <c r="D47" s="215" t="s">
        <v>227</v>
      </c>
      <c r="E47" s="180">
        <v>317678810</v>
      </c>
      <c r="H47" s="216"/>
      <c r="AB47" s="213"/>
    </row>
    <row r="48" spans="1:30">
      <c r="C48" s="214" t="s">
        <v>316</v>
      </c>
      <c r="D48" s="215" t="s">
        <v>286</v>
      </c>
      <c r="E48" s="180">
        <f>H32</f>
        <v>451057314</v>
      </c>
      <c r="AB48" s="213"/>
    </row>
    <row r="49" spans="1:31">
      <c r="C49" s="214" t="s">
        <v>317</v>
      </c>
      <c r="D49" s="215" t="s">
        <v>289</v>
      </c>
      <c r="E49" s="180">
        <f>L33</f>
        <v>285629495</v>
      </c>
      <c r="AB49" s="213"/>
    </row>
    <row r="50" spans="1:31">
      <c r="C50" s="214" t="s">
        <v>318</v>
      </c>
      <c r="D50" s="217"/>
      <c r="E50" s="180">
        <v>1</v>
      </c>
      <c r="AB50" s="213"/>
    </row>
    <row r="51" spans="1:31" ht="13.5" thickBot="1">
      <c r="C51" s="218" t="s">
        <v>319</v>
      </c>
      <c r="D51" s="212"/>
      <c r="E51" s="219">
        <f>SUM(E44:E50)</f>
        <v>40821769108</v>
      </c>
      <c r="F51" s="197" t="s">
        <v>292</v>
      </c>
      <c r="AB51" s="213"/>
    </row>
    <row r="52" spans="1:31" ht="13.5" thickTop="1">
      <c r="D52" s="178"/>
      <c r="E52" s="216"/>
      <c r="AB52" s="213"/>
    </row>
    <row r="53" spans="1:31" ht="15">
      <c r="A53" s="220"/>
      <c r="D53" s="221"/>
      <c r="M53" s="222"/>
      <c r="AB53" s="213"/>
    </row>
    <row r="54" spans="1:31" ht="15">
      <c r="A54" s="220" t="s">
        <v>320</v>
      </c>
      <c r="D54" s="178"/>
      <c r="AB54" s="213"/>
    </row>
    <row r="55" spans="1:31" ht="15">
      <c r="A55" s="220" t="s">
        <v>321</v>
      </c>
      <c r="D55" s="178"/>
      <c r="AB55" s="213"/>
    </row>
    <row r="56" spans="1:31" ht="13.5" thickBot="1">
      <c r="D56" s="223"/>
      <c r="AB56" s="213"/>
    </row>
    <row r="57" spans="1:31" ht="15.75" thickBot="1">
      <c r="A57" s="224"/>
      <c r="B57" s="225"/>
      <c r="C57" s="226" t="s">
        <v>322</v>
      </c>
      <c r="D57" s="227"/>
      <c r="E57" s="228"/>
      <c r="F57" s="228"/>
      <c r="G57" s="229" t="s">
        <v>323</v>
      </c>
      <c r="H57" s="226">
        <f>L57+P57+T57+X57+AB57</f>
        <v>2018691121</v>
      </c>
      <c r="I57" s="226"/>
      <c r="J57" s="226"/>
      <c r="K57" s="226"/>
      <c r="L57" s="230">
        <v>1943637184</v>
      </c>
      <c r="M57" s="230"/>
      <c r="N57" s="230"/>
      <c r="O57" s="230"/>
      <c r="P57" s="230">
        <v>12577014</v>
      </c>
      <c r="Q57" s="230"/>
      <c r="R57" s="230"/>
      <c r="S57" s="230"/>
      <c r="T57" s="230">
        <v>61199878</v>
      </c>
      <c r="U57" s="230"/>
      <c r="V57" s="230"/>
      <c r="W57" s="230"/>
      <c r="X57" s="230">
        <v>1277045</v>
      </c>
      <c r="Y57" s="230"/>
      <c r="Z57" s="230"/>
      <c r="AA57" s="230"/>
      <c r="AB57" s="231"/>
      <c r="AC57" s="228"/>
      <c r="AD57" s="232" t="s">
        <v>126</v>
      </c>
      <c r="AE57" s="194"/>
    </row>
    <row r="58" spans="1:31">
      <c r="A58" s="157"/>
      <c r="B58" s="157"/>
      <c r="C58" s="157"/>
      <c r="D58" s="233"/>
      <c r="E58" s="157"/>
      <c r="F58" s="157"/>
      <c r="G58" s="157"/>
      <c r="H58" s="157"/>
      <c r="I58" s="157"/>
      <c r="J58" s="157"/>
      <c r="K58" s="157"/>
      <c r="L58" s="157"/>
      <c r="M58" s="157"/>
      <c r="N58" s="157"/>
      <c r="O58" s="157"/>
      <c r="P58" s="157"/>
      <c r="Q58" s="157"/>
      <c r="R58" s="157"/>
      <c r="S58" s="157"/>
      <c r="T58" s="157"/>
      <c r="U58" s="157"/>
      <c r="V58" s="157"/>
      <c r="W58" s="157"/>
      <c r="X58" s="157"/>
      <c r="Y58" s="157"/>
      <c r="Z58" s="157"/>
      <c r="AA58" s="163"/>
      <c r="AB58" s="234"/>
      <c r="AC58" s="235"/>
    </row>
    <row r="59" spans="1:31">
      <c r="A59" s="157"/>
      <c r="B59" s="157"/>
      <c r="C59" s="176" t="s">
        <v>324</v>
      </c>
      <c r="G59" s="161"/>
      <c r="K59" s="161"/>
      <c r="O59" s="161"/>
      <c r="S59" s="161"/>
      <c r="W59" s="161"/>
      <c r="Z59" s="161" t="s">
        <v>325</v>
      </c>
      <c r="AA59" s="161"/>
      <c r="AB59" s="236">
        <f>AB57</f>
        <v>0</v>
      </c>
      <c r="AC59" s="237" t="s">
        <v>37</v>
      </c>
    </row>
    <row r="60" spans="1:31" ht="13.5" thickBot="1">
      <c r="G60" s="161"/>
      <c r="K60" s="161"/>
      <c r="O60" s="161"/>
      <c r="S60" s="161"/>
      <c r="W60" s="161"/>
      <c r="AA60" s="161"/>
      <c r="AB60" s="198">
        <f>SUM(AB58:AB59)</f>
        <v>0</v>
      </c>
    </row>
    <row r="61" spans="1:31" ht="13.5" thickTop="1">
      <c r="G61" s="238"/>
      <c r="K61" s="238"/>
      <c r="L61" s="180"/>
      <c r="O61" s="161"/>
      <c r="S61" s="161"/>
      <c r="W61" s="161"/>
      <c r="AA61" s="161"/>
      <c r="AB61" s="216"/>
    </row>
    <row r="62" spans="1:31">
      <c r="A62" s="178" t="s">
        <v>326</v>
      </c>
      <c r="B62" s="178"/>
      <c r="C62" s="161" t="s">
        <v>2</v>
      </c>
      <c r="G62" s="238" t="s">
        <v>327</v>
      </c>
      <c r="H62" s="161">
        <f>SUM(L62:AB62)</f>
        <v>2739119740</v>
      </c>
      <c r="K62" s="238" t="s">
        <v>327</v>
      </c>
      <c r="L62" s="185">
        <v>2451069825</v>
      </c>
      <c r="O62" s="238" t="s">
        <v>327</v>
      </c>
      <c r="P62" s="177">
        <v>146726969</v>
      </c>
      <c r="S62" s="238" t="s">
        <v>327</v>
      </c>
      <c r="T62" s="177">
        <v>141322946</v>
      </c>
      <c r="W62" s="161"/>
      <c r="X62" s="161">
        <v>0</v>
      </c>
      <c r="AA62" s="161"/>
      <c r="AB62" s="239">
        <v>0</v>
      </c>
    </row>
    <row r="63" spans="1:31">
      <c r="A63" s="178"/>
      <c r="B63" s="178"/>
      <c r="C63" s="161" t="s">
        <v>328</v>
      </c>
      <c r="G63" s="161"/>
      <c r="H63" s="161">
        <f t="shared" ref="H63:H69" si="2">SUM(L63:X63)</f>
        <v>0</v>
      </c>
      <c r="K63" s="161"/>
      <c r="L63" s="185">
        <v>0</v>
      </c>
      <c r="O63" s="161"/>
      <c r="S63" s="161"/>
      <c r="W63" s="161"/>
      <c r="X63" s="161">
        <v>0</v>
      </c>
      <c r="AA63" s="161"/>
    </row>
    <row r="64" spans="1:31">
      <c r="C64" s="161" t="s">
        <v>329</v>
      </c>
      <c r="G64" s="216"/>
      <c r="H64" s="161">
        <f t="shared" si="2"/>
        <v>13020641</v>
      </c>
      <c r="K64" s="161"/>
      <c r="L64" s="185">
        <v>13020641</v>
      </c>
      <c r="O64" s="161"/>
      <c r="S64" s="161"/>
      <c r="W64" s="161"/>
      <c r="AA64" s="161"/>
    </row>
    <row r="65" spans="1:29">
      <c r="C65" s="161" t="s">
        <v>330</v>
      </c>
      <c r="G65" s="216"/>
      <c r="H65" s="161">
        <f t="shared" si="2"/>
        <v>42531</v>
      </c>
      <c r="K65" s="161"/>
      <c r="L65" s="185">
        <v>42531</v>
      </c>
      <c r="O65" s="161"/>
      <c r="S65" s="161"/>
      <c r="W65" s="161"/>
      <c r="AA65" s="161"/>
    </row>
    <row r="66" spans="1:29">
      <c r="A66" s="178"/>
      <c r="B66" s="178"/>
      <c r="C66" s="161" t="s">
        <v>331</v>
      </c>
      <c r="G66" s="216"/>
      <c r="H66" s="161">
        <f t="shared" si="2"/>
        <v>6244525</v>
      </c>
      <c r="K66" s="161"/>
      <c r="L66" s="185">
        <v>6244525</v>
      </c>
      <c r="O66" s="161"/>
      <c r="S66" s="161"/>
      <c r="W66" s="161"/>
      <c r="AA66" s="161"/>
    </row>
    <row r="67" spans="1:29">
      <c r="A67" s="161" t="s">
        <v>304</v>
      </c>
      <c r="C67" s="161" t="s">
        <v>332</v>
      </c>
      <c r="G67" s="216"/>
      <c r="H67" s="161">
        <f t="shared" si="2"/>
        <v>181055027</v>
      </c>
      <c r="K67" s="161"/>
      <c r="L67" s="185">
        <v>181055027</v>
      </c>
      <c r="O67" s="161"/>
      <c r="S67" s="161"/>
      <c r="W67" s="161"/>
      <c r="AA67" s="161"/>
    </row>
    <row r="68" spans="1:29">
      <c r="C68" s="161" t="s">
        <v>333</v>
      </c>
      <c r="G68" s="216"/>
      <c r="H68" s="216">
        <f t="shared" si="2"/>
        <v>70447481</v>
      </c>
      <c r="I68" s="216"/>
      <c r="J68" s="216"/>
      <c r="K68" s="216"/>
      <c r="L68" s="240">
        <v>70447481</v>
      </c>
      <c r="M68" s="216"/>
      <c r="O68" s="161"/>
      <c r="P68" s="216"/>
      <c r="Q68" s="216"/>
      <c r="R68" s="216"/>
      <c r="S68" s="216"/>
      <c r="T68" s="216"/>
      <c r="U68" s="216"/>
      <c r="V68" s="216"/>
      <c r="W68" s="216"/>
      <c r="X68" s="216"/>
      <c r="Y68" s="216"/>
      <c r="Z68" s="216"/>
      <c r="AA68" s="216"/>
      <c r="AB68" s="216"/>
      <c r="AC68" s="216"/>
    </row>
    <row r="69" spans="1:29">
      <c r="G69" s="216"/>
      <c r="H69" s="241">
        <f t="shared" si="2"/>
        <v>0</v>
      </c>
      <c r="I69" s="216"/>
      <c r="J69" s="216"/>
      <c r="K69" s="216"/>
      <c r="L69" s="242"/>
      <c r="M69" s="216"/>
      <c r="O69" s="161"/>
      <c r="P69" s="241"/>
      <c r="S69" s="161"/>
      <c r="T69" s="241"/>
      <c r="W69" s="161"/>
      <c r="X69" s="241"/>
      <c r="AA69" s="161"/>
      <c r="AB69" s="241"/>
    </row>
    <row r="70" spans="1:29">
      <c r="C70" s="243" t="s">
        <v>334</v>
      </c>
      <c r="G70" s="216"/>
      <c r="H70" s="243">
        <f>SUM(H62:H69)</f>
        <v>3009929945</v>
      </c>
      <c r="K70" s="161"/>
      <c r="L70" s="243">
        <f>SUM(L62:L69)</f>
        <v>2721880030</v>
      </c>
      <c r="O70" s="161"/>
      <c r="P70" s="243">
        <f>SUM(P62:P69)</f>
        <v>146726969</v>
      </c>
      <c r="S70" s="161"/>
      <c r="T70" s="243">
        <f>SUM(T62:T69)</f>
        <v>141322946</v>
      </c>
      <c r="W70" s="161"/>
      <c r="X70" s="243">
        <f>SUM(X62:X69)</f>
        <v>0</v>
      </c>
      <c r="AA70" s="161"/>
      <c r="AB70" s="243">
        <f>SUM(AB62:AB69)</f>
        <v>0</v>
      </c>
    </row>
    <row r="71" spans="1:29">
      <c r="A71" s="157"/>
      <c r="B71" s="157"/>
      <c r="C71" s="157"/>
      <c r="D71" s="157"/>
      <c r="E71" s="157"/>
      <c r="F71" s="157"/>
      <c r="G71" s="208"/>
      <c r="H71" s="243"/>
      <c r="K71" s="161"/>
      <c r="O71" s="161"/>
      <c r="S71" s="161"/>
      <c r="W71" s="161"/>
      <c r="AA71" s="161"/>
    </row>
    <row r="72" spans="1:29">
      <c r="A72" s="157"/>
      <c r="B72" s="157"/>
      <c r="C72" s="157" t="s">
        <v>335</v>
      </c>
      <c r="D72" s="157"/>
      <c r="E72" s="157"/>
      <c r="F72" s="157"/>
      <c r="G72" s="238" t="s">
        <v>336</v>
      </c>
      <c r="H72" s="161">
        <v>53512</v>
      </c>
      <c r="K72" s="161"/>
      <c r="O72" s="161"/>
      <c r="S72" s="161"/>
      <c r="W72" s="161"/>
      <c r="AA72" s="161"/>
    </row>
    <row r="73" spans="1:29">
      <c r="A73" s="157"/>
      <c r="B73" s="157"/>
      <c r="C73" s="157" t="s">
        <v>337</v>
      </c>
      <c r="D73" s="157"/>
      <c r="E73" s="157"/>
      <c r="F73" s="157"/>
      <c r="G73" s="238" t="s">
        <v>327</v>
      </c>
      <c r="H73" s="161">
        <v>9312448108</v>
      </c>
      <c r="K73" s="161"/>
      <c r="L73" s="244" t="s">
        <v>338</v>
      </c>
      <c r="N73" s="161">
        <f>H73+H62</f>
        <v>12051567848</v>
      </c>
      <c r="O73" s="161"/>
      <c r="S73" s="161"/>
      <c r="W73" s="161"/>
      <c r="AA73" s="161"/>
    </row>
    <row r="74" spans="1:29" ht="15.75" thickBot="1">
      <c r="A74" s="157"/>
      <c r="B74" s="157"/>
      <c r="C74" s="156" t="s">
        <v>339</v>
      </c>
      <c r="D74" s="157"/>
      <c r="E74" s="157"/>
      <c r="F74" s="157"/>
      <c r="G74" s="208"/>
      <c r="H74" s="245">
        <f>H70+H72+H73</f>
        <v>12322431565</v>
      </c>
      <c r="J74" s="161" t="s">
        <v>340</v>
      </c>
      <c r="K74" s="161"/>
      <c r="N74" s="161">
        <f>H73+L62</f>
        <v>11763517933</v>
      </c>
      <c r="O74" s="161"/>
      <c r="S74" s="161"/>
      <c r="W74" s="161"/>
      <c r="AA74" s="161"/>
    </row>
    <row r="75" spans="1:29" ht="10.5" customHeight="1" thickTop="1">
      <c r="A75" s="157"/>
      <c r="B75" s="157"/>
      <c r="C75" s="156"/>
      <c r="D75" s="157"/>
      <c r="E75" s="157"/>
      <c r="F75" s="157"/>
      <c r="G75" s="208"/>
      <c r="K75" s="161"/>
      <c r="O75" s="161"/>
      <c r="S75" s="161"/>
      <c r="W75" s="161"/>
      <c r="AA75" s="161"/>
    </row>
    <row r="76" spans="1:29" ht="3.75" customHeight="1">
      <c r="A76" s="157"/>
      <c r="B76" s="157"/>
      <c r="C76" s="246"/>
      <c r="D76" s="157"/>
      <c r="E76" s="157"/>
      <c r="F76" s="157"/>
      <c r="G76" s="208"/>
      <c r="K76" s="161"/>
      <c r="O76" s="161"/>
      <c r="S76" s="161"/>
      <c r="AA76" s="161"/>
    </row>
    <row r="77" spans="1:29" ht="15.75">
      <c r="A77" s="157"/>
      <c r="B77" s="157"/>
      <c r="C77" s="157"/>
      <c r="D77" s="157"/>
      <c r="E77" s="157"/>
      <c r="F77" s="157"/>
      <c r="H77" s="157"/>
      <c r="J77" s="247" t="s">
        <v>341</v>
      </c>
      <c r="K77" s="161"/>
      <c r="L77" s="248" t="s">
        <v>342</v>
      </c>
      <c r="O77" s="161"/>
      <c r="P77" s="249"/>
      <c r="Q77" s="216"/>
      <c r="R77" s="216"/>
      <c r="S77" s="216"/>
      <c r="T77" s="216"/>
      <c r="U77" s="216"/>
      <c r="V77" s="250" t="s">
        <v>343</v>
      </c>
      <c r="W77" s="216"/>
      <c r="X77" s="161">
        <f>AB11</f>
        <v>247908</v>
      </c>
      <c r="Z77" s="161" t="s">
        <v>344</v>
      </c>
      <c r="AA77" s="161"/>
    </row>
    <row r="78" spans="1:29">
      <c r="A78" s="157"/>
      <c r="B78" s="157"/>
      <c r="C78" s="157"/>
      <c r="D78" s="157"/>
      <c r="E78" s="157"/>
      <c r="F78" s="157"/>
      <c r="H78" s="251" t="s">
        <v>231</v>
      </c>
      <c r="I78" s="208"/>
      <c r="J78" s="251" t="s">
        <v>232</v>
      </c>
      <c r="K78" s="161"/>
      <c r="L78" s="251" t="s">
        <v>345</v>
      </c>
      <c r="N78" s="178" t="s">
        <v>346</v>
      </c>
      <c r="O78" s="161"/>
      <c r="P78" s="252"/>
      <c r="Q78" s="216"/>
      <c r="R78" s="252"/>
      <c r="S78" s="216"/>
      <c r="T78" s="223"/>
      <c r="U78" s="216"/>
      <c r="V78" s="216"/>
      <c r="W78" s="216"/>
      <c r="X78" s="161">
        <f>AD11</f>
        <v>247908</v>
      </c>
      <c r="Z78" s="157" t="s">
        <v>347</v>
      </c>
      <c r="AA78" s="161"/>
    </row>
    <row r="79" spans="1:29">
      <c r="A79" s="157"/>
      <c r="B79" s="157"/>
      <c r="C79" s="157"/>
      <c r="D79" s="157"/>
      <c r="E79" s="157"/>
      <c r="F79" s="157"/>
      <c r="G79" s="253" t="s">
        <v>348</v>
      </c>
      <c r="H79" s="178"/>
      <c r="J79" s="157"/>
      <c r="K79" s="161"/>
      <c r="L79" s="197"/>
      <c r="O79" s="161"/>
      <c r="P79" s="254"/>
      <c r="Q79" s="216"/>
      <c r="R79" s="216"/>
      <c r="S79" s="216"/>
      <c r="T79" s="216"/>
      <c r="U79" s="216"/>
      <c r="V79" s="216"/>
      <c r="W79" s="216"/>
      <c r="X79" s="255">
        <f>SUM(X77:X78)</f>
        <v>495816</v>
      </c>
      <c r="Y79" s="216"/>
      <c r="Z79" s="161">
        <f>X79/2</f>
        <v>247908</v>
      </c>
      <c r="AA79" s="161" t="s">
        <v>349</v>
      </c>
    </row>
    <row r="80" spans="1:29">
      <c r="A80" s="157"/>
      <c r="B80" s="157"/>
      <c r="C80" s="157"/>
      <c r="D80" s="157"/>
      <c r="E80" s="157"/>
      <c r="F80" s="157"/>
      <c r="G80" s="253" t="s">
        <v>350</v>
      </c>
      <c r="H80" s="256">
        <f>L40/H40</f>
        <v>0.92408101070090476</v>
      </c>
      <c r="J80" s="256">
        <v>0.91518600000000006</v>
      </c>
      <c r="K80" s="157"/>
      <c r="L80" s="256">
        <v>0.91342100000000004</v>
      </c>
      <c r="M80" s="157"/>
      <c r="N80" s="256">
        <f>H80-L80</f>
        <v>1.0660010700904721E-2</v>
      </c>
      <c r="O80" s="157"/>
      <c r="P80" s="252"/>
      <c r="Q80" s="216"/>
      <c r="R80" s="252"/>
      <c r="S80" s="216"/>
      <c r="T80" s="223"/>
      <c r="U80" s="216"/>
      <c r="V80" s="216"/>
      <c r="W80" s="216"/>
      <c r="X80" s="194"/>
      <c r="Y80" s="194"/>
      <c r="Z80" s="161">
        <f>AB39</f>
        <v>307456</v>
      </c>
      <c r="AA80" s="161" t="s">
        <v>351</v>
      </c>
    </row>
    <row r="81" spans="1:30" ht="13.5" thickBot="1">
      <c r="A81" s="157"/>
      <c r="B81" s="157"/>
      <c r="C81" s="157"/>
      <c r="D81" s="157"/>
      <c r="E81" s="157"/>
      <c r="F81" s="157"/>
      <c r="G81" s="253" t="s">
        <v>352</v>
      </c>
      <c r="H81" s="256">
        <f>L57/H57</f>
        <v>0.96282049481506582</v>
      </c>
      <c r="J81" s="256">
        <v>0.96192599999999995</v>
      </c>
      <c r="K81" s="161"/>
      <c r="L81" s="256">
        <v>0.96062999999999998</v>
      </c>
      <c r="N81" s="256">
        <f>H81-L81</f>
        <v>2.1904948150658354E-3</v>
      </c>
      <c r="O81" s="161"/>
      <c r="P81" s="254"/>
      <c r="Q81" s="216"/>
      <c r="R81" s="216"/>
      <c r="S81" s="216"/>
      <c r="T81" s="216"/>
      <c r="U81" s="216"/>
      <c r="V81" s="216"/>
      <c r="W81" s="216"/>
      <c r="Y81" s="216"/>
      <c r="Z81" s="198">
        <f>SUM(Z79:Z80)</f>
        <v>555364</v>
      </c>
      <c r="AA81" s="243" t="s">
        <v>37</v>
      </c>
    </row>
    <row r="82" spans="1:30" ht="13.5" thickTop="1">
      <c r="A82" s="157"/>
      <c r="B82" s="157"/>
      <c r="C82" s="157"/>
      <c r="D82" s="157"/>
      <c r="E82" s="157"/>
      <c r="F82" s="157"/>
      <c r="G82" s="253" t="s">
        <v>353</v>
      </c>
      <c r="H82" s="256">
        <f>L70/H70</f>
        <v>0.90430012649347558</v>
      </c>
      <c r="J82" s="256">
        <v>0.94698800000000005</v>
      </c>
      <c r="K82" s="157"/>
      <c r="L82" s="256">
        <v>0.97219900000000004</v>
      </c>
      <c r="M82" s="157"/>
      <c r="N82" s="256">
        <f>H82-L82</f>
        <v>-6.789887350652446E-2</v>
      </c>
      <c r="O82" s="157"/>
      <c r="P82" s="252"/>
      <c r="Q82" s="216"/>
      <c r="R82" s="252"/>
      <c r="S82" s="216"/>
      <c r="T82" s="223"/>
      <c r="U82" s="216"/>
      <c r="V82" s="216"/>
      <c r="W82" s="216"/>
      <c r="X82" s="157" t="s">
        <v>348</v>
      </c>
      <c r="Y82" s="194"/>
      <c r="Z82" s="157"/>
      <c r="AA82" s="163"/>
    </row>
    <row r="83" spans="1:30">
      <c r="A83" s="157"/>
      <c r="B83" s="157"/>
      <c r="C83" s="157"/>
      <c r="D83" s="157"/>
      <c r="E83" s="157"/>
      <c r="F83" s="157"/>
      <c r="G83" s="257"/>
      <c r="H83" s="258"/>
      <c r="J83" s="259">
        <v>0.94698800000000005</v>
      </c>
      <c r="K83" s="161"/>
      <c r="L83" s="259">
        <f>L82</f>
        <v>0.97219900000000004</v>
      </c>
      <c r="N83" s="259">
        <f>H83-L83</f>
        <v>-0.97219900000000004</v>
      </c>
      <c r="O83" s="161"/>
      <c r="P83" s="254"/>
      <c r="Q83" s="216"/>
      <c r="R83" s="216"/>
      <c r="S83" s="216"/>
      <c r="T83" s="216"/>
      <c r="U83" s="216"/>
      <c r="V83" s="216"/>
      <c r="W83" s="216"/>
      <c r="X83" s="161" t="s">
        <v>15</v>
      </c>
      <c r="Y83" s="216"/>
      <c r="Z83" s="260">
        <f>+Z81/H40</f>
        <v>1.3776542737990089E-5</v>
      </c>
      <c r="AA83" s="161"/>
      <c r="AB83" s="261"/>
    </row>
    <row r="84" spans="1:30">
      <c r="A84" s="157"/>
      <c r="B84" s="157"/>
      <c r="C84" s="157"/>
      <c r="D84" s="157"/>
      <c r="E84" s="157"/>
      <c r="F84" s="157"/>
      <c r="G84" s="157"/>
      <c r="H84" s="256">
        <f>SUM(H80:H83)</f>
        <v>2.7912016320094462</v>
      </c>
      <c r="I84" s="254"/>
      <c r="J84" s="256">
        <f>SUM(J80:J83)</f>
        <v>3.7710880000000002</v>
      </c>
      <c r="K84" s="157"/>
      <c r="L84" s="256">
        <v>3.8184499999999999</v>
      </c>
      <c r="M84" s="157"/>
      <c r="N84" s="256">
        <f>SUM(N80:N83)</f>
        <v>-1.0272473679905541</v>
      </c>
      <c r="O84" s="157"/>
      <c r="P84" s="252"/>
      <c r="Q84" s="216"/>
      <c r="R84" s="252"/>
      <c r="S84" s="216"/>
      <c r="T84" s="223"/>
      <c r="U84" s="216"/>
      <c r="V84" s="216"/>
      <c r="W84" s="216"/>
      <c r="X84" s="161" t="s">
        <v>84</v>
      </c>
      <c r="Y84" s="262"/>
      <c r="Z84" s="260">
        <f>AB57/H57</f>
        <v>0</v>
      </c>
      <c r="AA84" s="161"/>
    </row>
    <row r="85" spans="1:30">
      <c r="A85" s="157"/>
      <c r="B85" s="157"/>
      <c r="C85" s="157"/>
      <c r="D85" s="157"/>
      <c r="E85" s="157"/>
      <c r="F85" s="157"/>
      <c r="G85" s="157"/>
      <c r="H85" s="263" t="s">
        <v>354</v>
      </c>
      <c r="I85" s="257"/>
      <c r="J85" s="263" t="s">
        <v>355</v>
      </c>
      <c r="K85" s="161"/>
      <c r="L85" s="263" t="s">
        <v>355</v>
      </c>
      <c r="N85" s="257"/>
      <c r="O85" s="161"/>
      <c r="P85" s="254"/>
      <c r="Q85" s="216"/>
      <c r="R85" s="216"/>
      <c r="S85" s="216"/>
      <c r="T85" s="216"/>
      <c r="U85" s="216"/>
      <c r="V85" s="216"/>
      <c r="W85" s="216"/>
      <c r="X85" s="161" t="s">
        <v>5</v>
      </c>
      <c r="Y85" s="262"/>
      <c r="Z85" s="161">
        <v>0</v>
      </c>
      <c r="AA85" s="161"/>
    </row>
    <row r="86" spans="1:30" ht="13.5" thickBot="1">
      <c r="A86" s="157"/>
      <c r="B86" s="157"/>
      <c r="C86" s="157"/>
      <c r="D86" s="157"/>
      <c r="E86" s="157"/>
      <c r="F86" s="157"/>
      <c r="G86" s="208"/>
      <c r="H86" s="264">
        <f>H84/3</f>
        <v>0.93040054400314876</v>
      </c>
      <c r="I86" s="254"/>
      <c r="J86" s="264">
        <f>J84/4</f>
        <v>0.94277200000000005</v>
      </c>
      <c r="K86" s="161"/>
      <c r="L86" s="264">
        <f>L84/4</f>
        <v>0.95461249999999997</v>
      </c>
      <c r="N86" s="265">
        <f>J86-L86</f>
        <v>-1.1840499999999921E-2</v>
      </c>
      <c r="O86" s="161"/>
      <c r="P86" s="252"/>
      <c r="Q86" s="216"/>
      <c r="R86" s="252"/>
      <c r="S86" s="216"/>
      <c r="T86" s="223"/>
      <c r="U86" s="216"/>
      <c r="V86" s="216"/>
      <c r="W86" s="216"/>
      <c r="X86" s="161" t="s">
        <v>5</v>
      </c>
      <c r="Y86" s="262"/>
      <c r="Z86" s="161">
        <v>0</v>
      </c>
      <c r="AA86" s="161"/>
    </row>
    <row r="87" spans="1:30" ht="14.25" thickTop="1" thickBot="1">
      <c r="A87" s="157"/>
      <c r="B87" s="157"/>
      <c r="C87" s="158"/>
      <c r="D87" s="158"/>
      <c r="E87" s="158"/>
      <c r="F87" s="158"/>
      <c r="G87" s="181"/>
      <c r="H87" s="178" t="s">
        <v>356</v>
      </c>
      <c r="J87" s="161" t="s">
        <v>357</v>
      </c>
      <c r="K87" s="161"/>
      <c r="L87" s="161" t="s">
        <v>357</v>
      </c>
      <c r="N87" s="161" t="s">
        <v>357</v>
      </c>
      <c r="O87" s="161"/>
      <c r="P87" s="254"/>
      <c r="Q87" s="216"/>
      <c r="R87" s="216"/>
      <c r="S87" s="216"/>
      <c r="T87" s="216"/>
      <c r="U87" s="216"/>
      <c r="V87" s="216"/>
      <c r="W87" s="216"/>
      <c r="X87" s="161" t="s">
        <v>358</v>
      </c>
      <c r="Y87" s="216"/>
      <c r="Z87" s="266">
        <f>(Z83+Z84+Z85+Z86)/4</f>
        <v>3.4441356844975222E-6</v>
      </c>
      <c r="AA87" s="267"/>
      <c r="AB87" s="268" t="s">
        <v>359</v>
      </c>
    </row>
    <row r="88" spans="1:30" ht="1.5" hidden="1" customHeight="1" thickTop="1">
      <c r="A88" s="157"/>
      <c r="B88" s="157"/>
      <c r="C88" s="158"/>
      <c r="D88" s="269"/>
      <c r="E88" s="270"/>
      <c r="F88" s="269"/>
      <c r="G88" s="271"/>
      <c r="H88" s="216"/>
      <c r="I88" s="216"/>
      <c r="J88" s="216"/>
      <c r="K88" s="216"/>
      <c r="L88" s="223"/>
      <c r="M88" s="216"/>
      <c r="N88" s="216"/>
      <c r="O88" s="216"/>
      <c r="P88" s="252"/>
      <c r="Q88" s="216"/>
      <c r="R88" s="252"/>
      <c r="S88" s="216"/>
      <c r="T88" s="223"/>
      <c r="U88" s="216"/>
    </row>
    <row r="89" spans="1:30" ht="16.5" thickTop="1">
      <c r="A89" s="157"/>
      <c r="B89" s="157"/>
      <c r="C89" s="158"/>
      <c r="D89" s="269"/>
      <c r="E89" s="269"/>
      <c r="F89" s="269"/>
      <c r="G89" s="271"/>
      <c r="H89" s="216"/>
      <c r="I89" s="216"/>
      <c r="J89" s="247" t="s">
        <v>360</v>
      </c>
      <c r="K89" s="216"/>
      <c r="L89" s="216"/>
      <c r="M89" s="216"/>
      <c r="N89" s="216"/>
      <c r="O89" s="216"/>
      <c r="P89" s="254"/>
      <c r="Q89" s="216"/>
      <c r="R89" s="216"/>
      <c r="S89" s="216"/>
      <c r="T89" s="216"/>
      <c r="U89" s="216"/>
      <c r="V89" s="216"/>
      <c r="W89" s="216"/>
      <c r="X89" s="216"/>
      <c r="AA89" s="216"/>
    </row>
    <row r="90" spans="1:30">
      <c r="C90" s="180"/>
      <c r="D90" s="270"/>
      <c r="E90" s="270"/>
      <c r="F90" s="270"/>
      <c r="G90" s="270"/>
      <c r="H90" s="251" t="s">
        <v>231</v>
      </c>
      <c r="I90" s="272"/>
      <c r="J90" s="251" t="s">
        <v>232</v>
      </c>
      <c r="K90" s="216"/>
      <c r="L90" s="223"/>
      <c r="M90" s="216"/>
      <c r="N90" s="273"/>
      <c r="O90" s="216"/>
      <c r="P90" s="252"/>
      <c r="Q90" s="216"/>
      <c r="R90" s="252"/>
      <c r="S90" s="216"/>
      <c r="T90" s="223"/>
      <c r="U90" s="216"/>
      <c r="V90" s="216"/>
      <c r="W90" s="216"/>
      <c r="X90" s="216"/>
      <c r="AA90" s="216"/>
    </row>
    <row r="91" spans="1:30">
      <c r="C91" s="180"/>
      <c r="D91" s="270"/>
      <c r="E91" s="270"/>
      <c r="F91" s="253" t="s">
        <v>5</v>
      </c>
      <c r="G91" s="270"/>
      <c r="H91" s="256">
        <v>1</v>
      </c>
      <c r="I91" s="253"/>
      <c r="J91" s="256">
        <v>1</v>
      </c>
      <c r="K91" s="216"/>
      <c r="L91" s="216"/>
      <c r="M91" s="216"/>
      <c r="N91" s="216"/>
      <c r="O91" s="216"/>
      <c r="P91" s="254"/>
      <c r="Q91" s="216"/>
      <c r="R91" s="216"/>
      <c r="S91" s="216"/>
      <c r="T91" s="216"/>
      <c r="U91" s="216"/>
      <c r="V91" s="216"/>
      <c r="W91" s="216"/>
      <c r="X91" s="216"/>
      <c r="AA91" s="216"/>
    </row>
    <row r="92" spans="1:30">
      <c r="A92" s="157"/>
      <c r="B92" s="157"/>
      <c r="C92" s="158"/>
      <c r="D92" s="269"/>
      <c r="E92" s="269"/>
      <c r="F92" s="269"/>
      <c r="G92" s="269"/>
      <c r="H92" s="194"/>
      <c r="I92" s="272"/>
      <c r="J92" s="216"/>
      <c r="K92" s="194"/>
      <c r="L92" s="216"/>
      <c r="M92" s="194"/>
      <c r="N92" s="216"/>
      <c r="O92" s="194"/>
      <c r="P92" s="252"/>
      <c r="Q92" s="216"/>
      <c r="R92" s="252"/>
      <c r="S92" s="216"/>
      <c r="T92" s="223"/>
      <c r="U92" s="216"/>
      <c r="V92" s="216"/>
      <c r="W92" s="216"/>
      <c r="X92" s="216"/>
      <c r="AA92" s="216"/>
    </row>
    <row r="93" spans="1:30" s="274" customFormat="1" ht="69" customHeight="1">
      <c r="A93" s="203"/>
      <c r="B93" s="203"/>
      <c r="C93" s="353" t="s">
        <v>361</v>
      </c>
      <c r="D93" s="354"/>
      <c r="E93" s="354"/>
      <c r="F93" s="354"/>
      <c r="G93" s="354"/>
      <c r="H93" s="354"/>
      <c r="I93" s="354"/>
      <c r="J93" s="354"/>
      <c r="K93" s="354"/>
      <c r="L93" s="354"/>
      <c r="M93" s="355"/>
      <c r="N93" s="355"/>
      <c r="O93" s="355"/>
      <c r="P93" s="355"/>
      <c r="Q93" s="355"/>
      <c r="R93" s="355"/>
      <c r="S93" s="355"/>
      <c r="T93" s="355"/>
      <c r="U93" s="355"/>
      <c r="V93" s="355"/>
      <c r="W93" s="355"/>
      <c r="X93" s="355"/>
      <c r="Y93" s="355"/>
      <c r="Z93" s="355"/>
      <c r="AA93" s="355"/>
      <c r="AB93" s="355"/>
      <c r="AC93" s="355"/>
      <c r="AD93" s="355"/>
    </row>
    <row r="94" spans="1:30">
      <c r="A94" s="157"/>
      <c r="B94" s="157"/>
      <c r="C94" s="158"/>
      <c r="D94" s="269"/>
      <c r="E94" s="269"/>
      <c r="F94" s="269"/>
      <c r="G94" s="269"/>
      <c r="H94" s="194"/>
      <c r="I94" s="194"/>
      <c r="J94" s="216"/>
      <c r="K94" s="194"/>
      <c r="L94" s="216"/>
      <c r="M94" s="194"/>
      <c r="N94" s="216"/>
      <c r="O94" s="194"/>
      <c r="P94" s="252"/>
      <c r="Q94" s="216"/>
      <c r="R94" s="252"/>
      <c r="S94" s="216"/>
      <c r="T94" s="223"/>
      <c r="U94" s="216"/>
      <c r="V94" s="216"/>
      <c r="W94" s="216"/>
      <c r="X94" s="216"/>
      <c r="AA94" s="216"/>
    </row>
    <row r="95" spans="1:30" s="274" customFormat="1" ht="23.25" customHeight="1">
      <c r="A95" s="203"/>
      <c r="B95" s="203"/>
      <c r="C95" s="353" t="s">
        <v>362</v>
      </c>
      <c r="D95" s="354"/>
      <c r="E95" s="354"/>
      <c r="F95" s="354"/>
      <c r="G95" s="354"/>
      <c r="H95" s="354"/>
      <c r="I95" s="354"/>
      <c r="J95" s="354"/>
      <c r="K95" s="354"/>
      <c r="L95" s="354"/>
      <c r="M95" s="355"/>
      <c r="N95" s="355"/>
      <c r="O95" s="355"/>
      <c r="P95" s="355"/>
      <c r="Q95" s="355"/>
      <c r="R95" s="355"/>
      <c r="S95" s="355"/>
      <c r="T95" s="355"/>
      <c r="U95" s="355"/>
      <c r="V95" s="355"/>
      <c r="W95" s="355"/>
      <c r="X95" s="355"/>
      <c r="Y95" s="355"/>
      <c r="Z95" s="355"/>
      <c r="AA95" s="355"/>
      <c r="AB95" s="355"/>
      <c r="AC95" s="355"/>
      <c r="AD95" s="355"/>
    </row>
    <row r="96" spans="1:30">
      <c r="C96" s="180"/>
      <c r="D96" s="270"/>
      <c r="E96" s="270"/>
      <c r="F96" s="270"/>
      <c r="G96" s="271"/>
      <c r="H96" s="216"/>
      <c r="I96" s="216"/>
      <c r="J96" s="270"/>
      <c r="K96" s="275"/>
      <c r="L96" s="216"/>
      <c r="M96" s="216"/>
      <c r="N96" s="216"/>
      <c r="O96" s="275"/>
      <c r="P96" s="252"/>
      <c r="Q96" s="216"/>
      <c r="R96" s="252"/>
      <c r="S96" s="216"/>
      <c r="T96" s="223"/>
      <c r="U96" s="216"/>
      <c r="V96" s="216"/>
      <c r="W96" s="216"/>
      <c r="X96" s="216"/>
      <c r="AA96" s="216"/>
    </row>
    <row r="97" spans="4:27">
      <c r="D97" s="216"/>
      <c r="E97" s="216"/>
      <c r="F97" s="216"/>
      <c r="G97" s="275"/>
      <c r="H97" s="216"/>
      <c r="I97" s="216"/>
      <c r="J97" s="270"/>
      <c r="K97" s="275"/>
      <c r="L97" s="270"/>
      <c r="M97" s="216"/>
      <c r="N97" s="216"/>
      <c r="O97" s="275"/>
      <c r="P97" s="254"/>
      <c r="Q97" s="216"/>
      <c r="R97" s="216"/>
      <c r="S97" s="216"/>
      <c r="T97" s="216"/>
      <c r="U97" s="216"/>
      <c r="V97" s="216"/>
      <c r="W97" s="216"/>
      <c r="X97" s="216"/>
      <c r="AA97" s="216"/>
    </row>
    <row r="98" spans="4:27">
      <c r="D98" s="216"/>
      <c r="E98" s="216"/>
      <c r="F98" s="216"/>
      <c r="G98" s="275"/>
      <c r="H98" s="216"/>
      <c r="I98" s="216"/>
      <c r="J98" s="254"/>
      <c r="K98" s="275"/>
      <c r="L98" s="270"/>
      <c r="M98" s="216"/>
      <c r="N98" s="270"/>
      <c r="O98" s="275"/>
      <c r="P98" s="252"/>
      <c r="Q98" s="216"/>
      <c r="R98" s="252"/>
      <c r="S98" s="216"/>
      <c r="T98" s="223"/>
      <c r="U98" s="216"/>
      <c r="V98" s="216"/>
      <c r="W98" s="216"/>
      <c r="X98" s="216"/>
      <c r="AA98" s="216"/>
    </row>
    <row r="99" spans="4:27">
      <c r="D99" s="216"/>
      <c r="E99" s="216"/>
      <c r="F99" s="216"/>
      <c r="G99" s="275"/>
      <c r="H99" s="216"/>
      <c r="I99" s="216"/>
      <c r="J99" s="270"/>
      <c r="K99" s="275"/>
      <c r="L99" s="270"/>
      <c r="M99" s="216"/>
      <c r="N99" s="270"/>
      <c r="O99" s="275"/>
      <c r="P99" s="254"/>
      <c r="Q99" s="216"/>
      <c r="R99" s="216"/>
      <c r="S99" s="216"/>
      <c r="T99" s="216"/>
      <c r="U99" s="216"/>
      <c r="V99" s="216"/>
      <c r="W99" s="216"/>
      <c r="X99" s="216"/>
      <c r="AA99" s="216"/>
    </row>
    <row r="100" spans="4:27">
      <c r="D100" s="216"/>
      <c r="E100" s="216"/>
      <c r="F100" s="216"/>
      <c r="G100" s="275"/>
      <c r="H100" s="216"/>
      <c r="I100" s="216"/>
      <c r="J100" s="270"/>
      <c r="K100" s="275"/>
      <c r="L100" s="270"/>
      <c r="M100" s="216"/>
      <c r="N100" s="270"/>
      <c r="O100" s="275"/>
      <c r="P100" s="252"/>
      <c r="Q100" s="216"/>
      <c r="R100" s="252"/>
      <c r="S100" s="216"/>
      <c r="T100" s="223"/>
      <c r="U100" s="216"/>
      <c r="V100" s="216"/>
      <c r="W100" s="216"/>
      <c r="X100" s="216"/>
      <c r="AA100" s="216"/>
    </row>
    <row r="101" spans="4:27">
      <c r="D101" s="216"/>
      <c r="E101" s="216"/>
      <c r="F101" s="216"/>
      <c r="G101" s="275"/>
      <c r="H101" s="216"/>
      <c r="I101" s="216"/>
      <c r="J101" s="270"/>
      <c r="K101" s="275"/>
      <c r="L101" s="270"/>
      <c r="M101" s="216"/>
      <c r="N101" s="270"/>
      <c r="O101" s="275"/>
      <c r="P101" s="254"/>
      <c r="Q101" s="216"/>
      <c r="R101" s="216"/>
      <c r="S101" s="216"/>
      <c r="T101" s="216"/>
      <c r="U101" s="216"/>
      <c r="V101" s="216"/>
      <c r="W101" s="216"/>
      <c r="X101" s="216"/>
      <c r="AA101" s="216"/>
    </row>
    <row r="102" spans="4:27">
      <c r="D102" s="216"/>
      <c r="E102" s="216"/>
      <c r="F102" s="216"/>
      <c r="G102" s="275"/>
      <c r="H102" s="216"/>
      <c r="I102" s="216"/>
      <c r="J102" s="270"/>
      <c r="K102" s="275"/>
      <c r="L102" s="216"/>
      <c r="M102" s="216"/>
      <c r="N102" s="270"/>
      <c r="O102" s="275"/>
      <c r="P102" s="252"/>
      <c r="Q102" s="216"/>
      <c r="R102" s="252"/>
      <c r="S102" s="216"/>
      <c r="T102" s="223"/>
      <c r="U102" s="216"/>
      <c r="V102" s="216"/>
      <c r="W102" s="216"/>
      <c r="X102" s="216"/>
      <c r="AA102" s="216"/>
    </row>
    <row r="103" spans="4:27">
      <c r="D103" s="216"/>
      <c r="E103" s="216"/>
      <c r="F103" s="216"/>
      <c r="G103" s="275"/>
      <c r="H103" s="216"/>
      <c r="I103" s="216"/>
      <c r="J103" s="270"/>
      <c r="K103" s="275"/>
      <c r="L103" s="270"/>
      <c r="M103" s="216"/>
      <c r="N103" s="270"/>
      <c r="O103" s="275"/>
      <c r="P103" s="254"/>
      <c r="Q103" s="216"/>
      <c r="R103" s="216"/>
      <c r="S103" s="216"/>
      <c r="T103" s="216"/>
      <c r="U103" s="216"/>
      <c r="V103" s="216"/>
      <c r="W103" s="216"/>
      <c r="X103" s="216"/>
      <c r="AA103" s="216"/>
    </row>
    <row r="104" spans="4:27">
      <c r="D104" s="216"/>
      <c r="E104" s="216"/>
      <c r="F104" s="216"/>
      <c r="G104" s="275"/>
      <c r="H104" s="216"/>
      <c r="I104" s="216"/>
      <c r="J104" s="270"/>
      <c r="K104" s="275"/>
      <c r="L104" s="270"/>
      <c r="M104" s="216"/>
      <c r="N104" s="270"/>
      <c r="O104" s="275"/>
      <c r="P104" s="254"/>
      <c r="Q104" s="216"/>
      <c r="R104" s="252"/>
      <c r="S104" s="216"/>
      <c r="T104" s="223"/>
      <c r="U104" s="216"/>
      <c r="V104" s="216"/>
      <c r="W104" s="216"/>
      <c r="X104" s="216"/>
      <c r="AA104" s="216"/>
    </row>
    <row r="105" spans="4:27">
      <c r="D105" s="216"/>
      <c r="E105" s="216"/>
      <c r="F105" s="216"/>
      <c r="G105" s="275"/>
      <c r="H105" s="216"/>
      <c r="I105" s="216"/>
      <c r="J105" s="270"/>
      <c r="K105" s="275"/>
      <c r="L105" s="270"/>
      <c r="M105" s="216"/>
      <c r="N105" s="270"/>
      <c r="O105" s="275"/>
      <c r="P105" s="254"/>
      <c r="Q105" s="270"/>
      <c r="R105" s="270"/>
      <c r="S105" s="270"/>
      <c r="T105" s="270"/>
      <c r="U105" s="270"/>
      <c r="V105" s="270"/>
      <c r="W105" s="270"/>
      <c r="X105" s="216"/>
      <c r="AA105" s="216"/>
    </row>
    <row r="106" spans="4:27">
      <c r="D106" s="216"/>
      <c r="E106" s="216"/>
      <c r="F106" s="216"/>
      <c r="G106" s="275"/>
      <c r="H106" s="216"/>
      <c r="I106" s="216"/>
      <c r="J106" s="270"/>
      <c r="K106" s="275"/>
      <c r="L106" s="270"/>
      <c r="M106" s="216"/>
      <c r="N106" s="270"/>
      <c r="O106" s="275"/>
      <c r="P106" s="254"/>
      <c r="Q106" s="270"/>
      <c r="R106" s="276"/>
      <c r="S106" s="270"/>
      <c r="T106" s="277"/>
      <c r="U106" s="270"/>
      <c r="V106" s="270"/>
      <c r="W106" s="270"/>
      <c r="X106" s="216"/>
      <c r="AA106" s="216"/>
    </row>
    <row r="107" spans="4:27">
      <c r="D107" s="216"/>
      <c r="E107" s="216"/>
      <c r="F107" s="216"/>
      <c r="G107" s="275"/>
      <c r="H107" s="216"/>
      <c r="I107" s="216"/>
      <c r="J107" s="216"/>
      <c r="K107" s="275"/>
      <c r="L107" s="241"/>
      <c r="M107" s="216"/>
      <c r="N107" s="241"/>
      <c r="O107" s="275"/>
      <c r="P107" s="254"/>
      <c r="Q107" s="270"/>
      <c r="R107" s="270"/>
      <c r="S107" s="270"/>
      <c r="T107" s="270"/>
      <c r="U107" s="270"/>
      <c r="V107" s="270"/>
      <c r="W107" s="270"/>
      <c r="X107" s="216"/>
      <c r="AA107" s="216"/>
    </row>
    <row r="108" spans="4:27">
      <c r="D108" s="216"/>
      <c r="E108" s="216"/>
      <c r="F108" s="216"/>
      <c r="G108" s="275"/>
      <c r="H108" s="216"/>
      <c r="I108" s="216"/>
      <c r="J108" s="216"/>
      <c r="K108" s="275"/>
      <c r="L108" s="216"/>
      <c r="M108" s="216"/>
      <c r="N108" s="216"/>
      <c r="O108" s="275"/>
      <c r="P108" s="254"/>
      <c r="X108" s="216"/>
    </row>
    <row r="109" spans="4:27">
      <c r="D109" s="216"/>
      <c r="E109" s="216"/>
      <c r="F109" s="216"/>
      <c r="G109" s="275"/>
      <c r="H109" s="216"/>
      <c r="I109" s="216"/>
      <c r="J109" s="216"/>
      <c r="K109" s="275"/>
      <c r="L109" s="216"/>
      <c r="M109" s="216"/>
      <c r="N109" s="216"/>
      <c r="O109" s="275"/>
      <c r="P109" s="254"/>
      <c r="X109" s="216"/>
    </row>
    <row r="110" spans="4:27">
      <c r="D110" s="216"/>
      <c r="E110" s="216"/>
      <c r="F110" s="216"/>
      <c r="G110" s="275"/>
      <c r="H110" s="216"/>
      <c r="I110" s="216"/>
      <c r="J110" s="270"/>
      <c r="K110" s="275"/>
      <c r="L110" s="270"/>
      <c r="M110" s="216"/>
      <c r="N110" s="216"/>
      <c r="O110" s="275"/>
      <c r="X110" s="216"/>
    </row>
    <row r="111" spans="4:27">
      <c r="D111" s="216"/>
      <c r="E111" s="216"/>
      <c r="F111" s="216"/>
      <c r="G111" s="275"/>
      <c r="H111" s="216"/>
      <c r="I111" s="216"/>
      <c r="J111" s="270"/>
      <c r="K111" s="275"/>
      <c r="L111" s="216"/>
      <c r="M111" s="216"/>
      <c r="N111" s="216"/>
      <c r="O111" s="275"/>
      <c r="X111" s="216"/>
    </row>
    <row r="112" spans="4:27">
      <c r="D112" s="216"/>
      <c r="E112" s="216"/>
      <c r="F112" s="216"/>
      <c r="G112" s="275"/>
      <c r="H112" s="216"/>
      <c r="I112" s="216"/>
      <c r="J112" s="270"/>
      <c r="K112" s="275"/>
      <c r="L112" s="216"/>
      <c r="M112" s="216"/>
      <c r="N112" s="216"/>
      <c r="O112" s="275"/>
      <c r="X112" s="216"/>
    </row>
    <row r="113" spans="4:24">
      <c r="D113" s="216"/>
      <c r="E113" s="216"/>
      <c r="F113" s="216"/>
      <c r="G113" s="275"/>
      <c r="H113" s="216"/>
      <c r="I113" s="216"/>
      <c r="J113" s="270"/>
      <c r="K113" s="275"/>
      <c r="L113" s="216"/>
      <c r="M113" s="216"/>
      <c r="N113" s="270"/>
      <c r="O113" s="275"/>
      <c r="X113" s="216"/>
    </row>
    <row r="114" spans="4:24">
      <c r="D114" s="216"/>
      <c r="E114" s="216"/>
      <c r="F114" s="216"/>
      <c r="G114" s="275"/>
      <c r="H114" s="216"/>
      <c r="I114" s="216"/>
      <c r="J114" s="270"/>
      <c r="K114" s="275"/>
      <c r="L114" s="270"/>
      <c r="M114" s="216"/>
      <c r="N114" s="270"/>
      <c r="O114" s="275"/>
    </row>
    <row r="115" spans="4:24">
      <c r="D115" s="216"/>
      <c r="E115" s="216"/>
      <c r="F115" s="216"/>
      <c r="G115" s="275"/>
      <c r="H115" s="216"/>
      <c r="I115" s="216"/>
      <c r="J115" s="216"/>
      <c r="K115" s="275"/>
      <c r="L115" s="241"/>
      <c r="M115" s="216"/>
      <c r="N115" s="241"/>
      <c r="O115" s="275"/>
    </row>
    <row r="116" spans="4:24">
      <c r="D116" s="216"/>
      <c r="E116" s="216"/>
      <c r="F116" s="216"/>
      <c r="G116" s="275"/>
      <c r="H116" s="216"/>
      <c r="I116" s="216"/>
      <c r="J116" s="216"/>
      <c r="K116" s="275"/>
      <c r="L116" s="216"/>
      <c r="M116" s="216"/>
      <c r="N116" s="216"/>
      <c r="O116" s="275"/>
    </row>
    <row r="117" spans="4:24">
      <c r="D117" s="216"/>
      <c r="E117" s="216"/>
      <c r="F117" s="216"/>
      <c r="G117" s="275"/>
      <c r="H117" s="216"/>
      <c r="I117" s="216"/>
      <c r="J117" s="216"/>
      <c r="K117" s="275"/>
      <c r="L117" s="216"/>
      <c r="M117" s="216"/>
      <c r="N117" s="216"/>
      <c r="O117" s="275"/>
    </row>
    <row r="121" spans="4:24">
      <c r="L121" s="216"/>
    </row>
    <row r="122" spans="4:24">
      <c r="L122" s="216"/>
    </row>
    <row r="123" spans="4:24">
      <c r="L123" s="241"/>
    </row>
  </sheetData>
  <mergeCells count="3">
    <mergeCell ref="X5:Z5"/>
    <mergeCell ref="C93:AD93"/>
    <mergeCell ref="C95:AD95"/>
  </mergeCells>
  <pageMargins left="0" right="0" top="0" bottom="0" header="0.5" footer="0.5"/>
  <pageSetup scale="45" orientation="landscape" r:id="rId1"/>
  <headerFooter alignWithMargins="0">
    <oddFooter>&amp;L&amp;"Arial MT,Bold"&amp;16&amp;KFF0000A1&amp;R&amp;Z&amp;F&amp;A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15</vt:i4>
      </vt:variant>
    </vt:vector>
  </HeadingPairs>
  <TitlesOfParts>
    <vt:vector size="22" baseType="lpstr">
      <vt:lpstr>26-TaxRates</vt:lpstr>
      <vt:lpstr>I - Composite Tax Rate</vt:lpstr>
      <vt:lpstr>Apportionment</vt:lpstr>
      <vt:lpstr>II - IV  Apportionment Detail</vt:lpstr>
      <vt:lpstr>A1 Summary 2014 Appt (9-14-15)</vt:lpstr>
      <vt:lpstr>A1 Summary (9-8-14)</vt:lpstr>
      <vt:lpstr>A1 Summary (8-25-14)</vt:lpstr>
      <vt:lpstr>'26-TaxRates'!Print_Area</vt:lpstr>
      <vt:lpstr>'A1 Summary (8-25-14)'!Print_Area</vt:lpstr>
      <vt:lpstr>'A1 Summary (9-8-14)'!Print_Area</vt:lpstr>
      <vt:lpstr>'A1 Summary 2014 Appt (9-14-15)'!Print_Area</vt:lpstr>
      <vt:lpstr>'I - Composite Tax Rate'!Print_Area</vt:lpstr>
      <vt:lpstr>'A1 Summary (8-25-14)'!Print_Area_MI</vt:lpstr>
      <vt:lpstr>'A1 Summary (9-8-14)'!Print_Area_MI</vt:lpstr>
      <vt:lpstr>'A1 Summary 2014 Appt (9-14-15)'!Print_Area_MI</vt:lpstr>
      <vt:lpstr>'A1 Summary (8-25-14)'!Print_Titles</vt:lpstr>
      <vt:lpstr>'A1 Summary (9-8-14)'!Print_Titles</vt:lpstr>
      <vt:lpstr>'A1 Summary 2014 Appt (9-14-15)'!Print_Titles</vt:lpstr>
      <vt:lpstr>'II - IV  Apportionment Detail'!Print_Titles</vt:lpstr>
      <vt:lpstr>'A1 Summary (8-25-14)'!Print_Titles_MI</vt:lpstr>
      <vt:lpstr>'A1 Summary (9-8-14)'!Print_Titles_MI</vt:lpstr>
      <vt:lpstr>'A1 Summary 2014 Appt (9-14-15)'!Print_Titles_MI</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Standard Configuration</dc:creator>
  <cp:lastModifiedBy>Kim, Jee Young</cp:lastModifiedBy>
  <cp:lastPrinted>2016-05-23T23:28:10Z</cp:lastPrinted>
  <dcterms:created xsi:type="dcterms:W3CDTF">2010-10-21T18:16:53Z</dcterms:created>
  <dcterms:modified xsi:type="dcterms:W3CDTF">2016-05-23T23:28:31Z</dcterms:modified>
</cp:coreProperties>
</file>