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fileSharing readOnlyRecommended="1" userName="Jee Kim" algorithmName="SHA-512" hashValue="51ibf16GQhWcjDPX0FWqrxwWFMxrGiPDbYPUH9njndQAmhUDreKWMNw972LPh8iJJOpkKsbBo+GHSLn7Wz00oA==" saltValue="l7/mxXCPx83MNZFoG0sAWQ==" spinCount="100000"/>
  <workbookPr showInkAnnotation="0" defaultThemeVersion="124226"/>
  <mc:AlternateContent xmlns:mc="http://schemas.openxmlformats.org/markup-compatibility/2006">
    <mc:Choice Requires="x15">
      <x15ac:absPath xmlns:x15ac="http://schemas.microsoft.com/office/spreadsheetml/2010/11/ac" url="Z:\2027 FERC Rate Case TO2027\6-Jun 15 Draft Informational Posting\"/>
    </mc:Choice>
  </mc:AlternateContent>
  <xr:revisionPtr revIDLastSave="0" documentId="13_ncr:10001_{10CB9284-5F40-42E0-9EDE-01C845131826}" xr6:coauthVersionLast="47" xr6:coauthVersionMax="47" xr10:uidLastSave="{00000000-0000-0000-0000-000000000000}"/>
  <bookViews>
    <workbookView xWindow="-110" yWindow="-110" windowWidth="19420" windowHeight="10300" firstSheet="1" activeTab="3" xr2:uid="{EBCFAA4A-B86F-4C09-9877-C309CCB7EEA8}"/>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86"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 name="35-Other Formula Revenue" sheetId="85" r:id="rId41"/>
  </sheets>
  <definedNames>
    <definedName name="_xlnm._FilterDatabase" localSheetId="26" hidden="1">'21-RevenueCredits'!$A$1:$O$310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5">'10-CWIP'!$A$1:$L$551</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'14-IncentivePlant'!$A$1:$J$492</definedName>
    <definedName name="_xlnm.Print_Area" localSheetId="20">'15-IncentiveAdder'!$A$1:$J$112</definedName>
    <definedName name="_xlnm.Print_Area" localSheetId="21">'16-PlantAdditions'!$A$1:$P$143</definedName>
    <definedName name="_xlnm.Print_Area" localSheetId="22">'17-Depreciation'!$A$1:$M$155</definedName>
    <definedName name="_xlnm.Print_Area" localSheetId="23">'18-DepRates'!$A$1:$I$82</definedName>
    <definedName name="_xlnm.Print_Area" localSheetId="24">'19-OandM'!$A$1:$M$155</definedName>
    <definedName name="_xlnm.Print_Area" localSheetId="3">'1-BaseTRR'!$A$1:$K$185</definedName>
    <definedName name="_xlnm.Print_Area" localSheetId="25">'20-AandG'!$A$1:$K$119</definedName>
    <definedName name="_xlnm.Print_Area" localSheetId="26">'21-RevenueCredits'!$A$1:$O$312</definedName>
    <definedName name="_xlnm.Print_Area" localSheetId="27">'22-NUCs'!$A$1:$F$27</definedName>
    <definedName name="_xlnm.Print_Area" localSheetId="28">'23-RegAssets'!$A$1:$I$37</definedName>
    <definedName name="_xlnm.Print_Area" localSheetId="29">'24-CWIPTRR'!$A$1:$J$213</definedName>
    <definedName name="_xlnm.Print_Area" localSheetId="30">'25-WholesaleDifference'!$A$1:$J$30</definedName>
    <definedName name="_xlnm.Print_Area" localSheetId="31">'26-TaxRates'!$A$1:$F$40</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40">'35-Other Formula Revenue'!$A$1:$G$130</definedName>
    <definedName name="_xlnm.Print_Area" localSheetId="5">'3-TrueUpAdjust'!$A$1:$L$135</definedName>
    <definedName name="_xlnm.Print_Area" localSheetId="6">'4-TUTRR'!$A$1:$J$113</definedName>
    <definedName name="_xlnm.Print_Area" localSheetId="7">'5-ROR-1'!$A$1:$L$50</definedName>
    <definedName name="_xlnm.Print_Area" localSheetId="8">'5-ROR-2'!$A$1:$P$71</definedName>
    <definedName name="_xlnm.Print_Area" localSheetId="9">'6-PlantInService'!$A$1:$M$289</definedName>
    <definedName name="_xlnm.Print_Area" localSheetId="10">'7-PlantStudy'!$A$1:$G$68</definedName>
    <definedName name="_xlnm.Print_Area" localSheetId="11">'8-AccDep'!$A$1:$N$198</definedName>
    <definedName name="_xlnm.Print_Area" localSheetId="12">'9-ADIT-1'!$A$1:$J$163</definedName>
    <definedName name="_xlnm.Print_Area" localSheetId="13">'9-ADIT-2'!$A$1:$M$75</definedName>
    <definedName name="_xlnm.Print_Area" localSheetId="14">'9-ADIT-3'!$A$1:$I$62</definedName>
    <definedName name="_xlnm.Print_Area" localSheetId="1">Contents!$A$1:$D$39</definedName>
    <definedName name="_xlnm.Print_Area" localSheetId="0">Heading!$A$1:$J$11</definedName>
    <definedName name="_xlnm.Print_Area" localSheetId="2">Overview!$A$1:$I$28</definedName>
    <definedName name="_xlnm.Print_Titles" localSheetId="3">'1-BaseTRR'!$1:$6</definedName>
    <definedName name="_xlnm.Print_Titles" localSheetId="26">'21-RevenueCredits'!$1:$3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8" i="1" l="1"/>
  <c r="C255" i="4"/>
  <c r="C41" i="64"/>
  <c r="C47" i="4"/>
  <c r="K419" i="49" l="1"/>
  <c r="J451" i="49"/>
  <c r="K485" i="49"/>
  <c r="K518" i="49"/>
  <c r="G178" i="1"/>
  <c r="E26" i="49" l="1"/>
  <c r="E46" i="49"/>
  <c r="F46" i="49"/>
  <c r="K519" i="49"/>
  <c r="K520" i="49"/>
  <c r="K521" i="49"/>
  <c r="K522" i="49"/>
  <c r="K523" i="49"/>
  <c r="K524" i="49"/>
  <c r="K525" i="49"/>
  <c r="K526" i="49"/>
  <c r="K527" i="49"/>
  <c r="K528" i="49"/>
  <c r="K529" i="49"/>
  <c r="K530" i="49"/>
  <c r="K531" i="49"/>
  <c r="K532" i="49"/>
  <c r="K533" i="49"/>
  <c r="K534" i="49"/>
  <c r="K535" i="49"/>
  <c r="K536" i="49"/>
  <c r="K537" i="49"/>
  <c r="K538" i="49"/>
  <c r="K539" i="49"/>
  <c r="K540" i="49"/>
  <c r="K541" i="49"/>
  <c r="J517" i="49"/>
  <c r="K486" i="49"/>
  <c r="K487" i="49"/>
  <c r="K488" i="49"/>
  <c r="K489" i="49"/>
  <c r="K490" i="49"/>
  <c r="K491" i="49"/>
  <c r="K492" i="49"/>
  <c r="K493" i="49"/>
  <c r="K494" i="49"/>
  <c r="K495" i="49"/>
  <c r="K496" i="49"/>
  <c r="K497" i="49"/>
  <c r="K498" i="49"/>
  <c r="K499" i="49"/>
  <c r="K500" i="49"/>
  <c r="K501" i="49"/>
  <c r="K502" i="49"/>
  <c r="K503" i="49"/>
  <c r="K504" i="49"/>
  <c r="K505" i="49"/>
  <c r="K506" i="49"/>
  <c r="K507" i="49"/>
  <c r="K508" i="49"/>
  <c r="J485" i="49"/>
  <c r="J484" i="49"/>
  <c r="M51" i="84" l="1"/>
  <c r="D124" i="15"/>
  <c r="E124" i="15" s="1"/>
  <c r="H104" i="15"/>
  <c r="G105" i="15"/>
  <c r="G102" i="15"/>
  <c r="F100" i="15"/>
  <c r="E107" i="15"/>
  <c r="E106" i="15"/>
  <c r="E105" i="15"/>
  <c r="E104" i="15"/>
  <c r="E103" i="15"/>
  <c r="E102" i="15"/>
  <c r="E101" i="15"/>
  <c r="E99" i="15"/>
  <c r="F79" i="15"/>
  <c r="E82" i="15"/>
  <c r="E81" i="15"/>
  <c r="E80" i="15"/>
  <c r="D80" i="15"/>
  <c r="E62" i="15"/>
  <c r="E61" i="15"/>
  <c r="E60" i="15"/>
  <c r="E59" i="15"/>
  <c r="E58" i="15"/>
  <c r="H39" i="15"/>
  <c r="H36" i="15"/>
  <c r="H34" i="15"/>
  <c r="H33" i="15"/>
  <c r="H32" i="15"/>
  <c r="G44" i="15"/>
  <c r="G35" i="15"/>
  <c r="G31" i="15"/>
  <c r="E43" i="15"/>
  <c r="E42" i="15"/>
  <c r="E41" i="15"/>
  <c r="E40" i="15"/>
  <c r="E39" i="15"/>
  <c r="E38" i="15"/>
  <c r="E37" i="15"/>
  <c r="E36" i="15"/>
  <c r="E35" i="15"/>
  <c r="E34" i="15"/>
  <c r="E33" i="15"/>
  <c r="E32" i="15"/>
  <c r="E31" i="15"/>
  <c r="E8" i="61" l="1"/>
  <c r="E90" i="61" l="1"/>
  <c r="E255" i="61" l="1"/>
  <c r="E256" i="61" s="1"/>
  <c r="N240" i="61"/>
  <c r="J240" i="61"/>
  <c r="M240" i="61" s="1"/>
  <c r="G240" i="61"/>
  <c r="I240" i="61" s="1"/>
  <c r="N195" i="61"/>
  <c r="N196" i="61"/>
  <c r="J196" i="61"/>
  <c r="M196" i="61" s="1"/>
  <c r="J195" i="61"/>
  <c r="M195" i="61" s="1"/>
  <c r="G195" i="61"/>
  <c r="I195" i="61" s="1"/>
  <c r="G196" i="61"/>
  <c r="I196" i="61" s="1"/>
  <c r="N161" i="61"/>
  <c r="N162" i="61"/>
  <c r="N163" i="61"/>
  <c r="N164" i="61"/>
  <c r="N165" i="61"/>
  <c r="J165" i="61"/>
  <c r="M165" i="61" s="1"/>
  <c r="J164" i="61"/>
  <c r="M164" i="61" s="1"/>
  <c r="J163" i="61"/>
  <c r="M163" i="61" s="1"/>
  <c r="J161" i="61"/>
  <c r="M161" i="61" s="1"/>
  <c r="J162" i="61"/>
  <c r="M162" i="61" s="1"/>
  <c r="G165" i="61"/>
  <c r="I165" i="61" s="1"/>
  <c r="G164" i="61"/>
  <c r="I164" i="61" s="1"/>
  <c r="G163" i="61"/>
  <c r="I163" i="61" s="1"/>
  <c r="G162" i="61"/>
  <c r="I162" i="61" s="1"/>
  <c r="G161" i="61"/>
  <c r="I161" i="61" s="1"/>
  <c r="E168" i="61"/>
  <c r="N87" i="61"/>
  <c r="N86" i="61"/>
  <c r="N42" i="61"/>
  <c r="M42" i="61"/>
  <c r="G42" i="61"/>
  <c r="I42" i="61" s="1"/>
  <c r="L12" i="64" l="1"/>
  <c r="D126" i="48" l="1"/>
  <c r="D125" i="48"/>
  <c r="D124" i="48"/>
  <c r="D123" i="48"/>
  <c r="D122" i="48"/>
  <c r="D121" i="48"/>
  <c r="C40" i="56" l="1"/>
  <c r="F10" i="56" l="1"/>
  <c r="H23" i="26" l="1"/>
  <c r="H22" i="26"/>
  <c r="H21" i="26"/>
  <c r="H124" i="4" l="1"/>
  <c r="C124" i="4"/>
  <c r="F73" i="85"/>
  <c r="E73" i="85"/>
  <c r="G71" i="85"/>
  <c r="G70" i="85"/>
  <c r="G69" i="85"/>
  <c r="H20" i="26"/>
  <c r="I124" i="4" l="1"/>
  <c r="I123" i="4"/>
  <c r="I122" i="4"/>
  <c r="I121" i="4"/>
  <c r="I120" i="4"/>
  <c r="I119" i="4"/>
  <c r="I118" i="4"/>
  <c r="I117" i="4"/>
  <c r="I116" i="4"/>
  <c r="I115" i="4"/>
  <c r="I114" i="4"/>
  <c r="I112" i="4"/>
  <c r="I113" i="4"/>
  <c r="D57" i="26"/>
  <c r="G23" i="26" s="1"/>
  <c r="I23" i="26" s="1"/>
  <c r="D56" i="26"/>
  <c r="G22" i="26" s="1"/>
  <c r="I22" i="26" s="1"/>
  <c r="D55" i="26"/>
  <c r="G21" i="26" s="1"/>
  <c r="I21" i="26" s="1"/>
  <c r="A55" i="26"/>
  <c r="A56" i="26" s="1"/>
  <c r="A57" i="26" s="1"/>
  <c r="E24" i="26"/>
  <c r="J34" i="21" l="1"/>
  <c r="G22" i="2"/>
  <c r="D21" i="71" l="1"/>
  <c r="E22" i="71"/>
  <c r="D22" i="71"/>
  <c r="E45" i="61"/>
  <c r="H67" i="72"/>
  <c r="I52" i="72"/>
  <c r="I22" i="1" l="1"/>
  <c r="D73" i="85" l="1"/>
  <c r="C132" i="4" l="1"/>
  <c r="L46" i="49" l="1"/>
  <c r="D13" i="49"/>
  <c r="E39" i="11"/>
  <c r="D56" i="49" l="1"/>
  <c r="G56" i="49"/>
  <c r="H56" i="49"/>
  <c r="D57" i="49"/>
  <c r="G57" i="49"/>
  <c r="H57" i="49"/>
  <c r="D58" i="49"/>
  <c r="G58" i="49"/>
  <c r="H58" i="49"/>
  <c r="D59" i="49"/>
  <c r="G59" i="49"/>
  <c r="H59" i="49"/>
  <c r="D60" i="49"/>
  <c r="G60" i="49"/>
  <c r="H60" i="49"/>
  <c r="D61" i="49"/>
  <c r="G61" i="49"/>
  <c r="H61" i="49"/>
  <c r="D62" i="49"/>
  <c r="G62" i="49"/>
  <c r="H62" i="49"/>
  <c r="D63" i="49"/>
  <c r="G63" i="49"/>
  <c r="H63" i="49"/>
  <c r="D64" i="49"/>
  <c r="G64" i="49"/>
  <c r="H64" i="49"/>
  <c r="D65" i="49"/>
  <c r="G65" i="49"/>
  <c r="H65" i="49"/>
  <c r="D66" i="49"/>
  <c r="G66" i="49"/>
  <c r="H66" i="49"/>
  <c r="D67" i="49"/>
  <c r="G67" i="49"/>
  <c r="H67" i="49"/>
  <c r="D68" i="49"/>
  <c r="G68" i="49"/>
  <c r="H68" i="49"/>
  <c r="D69" i="49"/>
  <c r="G69" i="49"/>
  <c r="H69" i="49"/>
  <c r="D70" i="49"/>
  <c r="G70" i="49"/>
  <c r="H70" i="49"/>
  <c r="D71" i="49"/>
  <c r="G71" i="49"/>
  <c r="H71" i="49"/>
  <c r="D72" i="49"/>
  <c r="G72" i="49"/>
  <c r="H72" i="49"/>
  <c r="D73" i="49"/>
  <c r="G73" i="49"/>
  <c r="H73" i="49"/>
  <c r="D74" i="49"/>
  <c r="G74" i="49"/>
  <c r="H74" i="49"/>
  <c r="D75" i="49"/>
  <c r="G75" i="49"/>
  <c r="H75" i="49"/>
  <c r="D76" i="49"/>
  <c r="G76" i="49"/>
  <c r="H76" i="49"/>
  <c r="D77" i="49"/>
  <c r="G77" i="49"/>
  <c r="H77" i="49"/>
  <c r="D78" i="49"/>
  <c r="G78" i="49"/>
  <c r="H78" i="49"/>
  <c r="G55" i="49"/>
  <c r="H55" i="49"/>
  <c r="D55" i="49"/>
  <c r="D25" i="49"/>
  <c r="D24" i="49"/>
  <c r="D23" i="49"/>
  <c r="D22" i="49"/>
  <c r="D21" i="49"/>
  <c r="D20" i="49"/>
  <c r="D19" i="49"/>
  <c r="D18" i="49"/>
  <c r="D17" i="49"/>
  <c r="D16" i="49"/>
  <c r="D15" i="49"/>
  <c r="D14" i="49"/>
  <c r="D26" i="49" l="1"/>
  <c r="A406" i="11"/>
  <c r="A389" i="11"/>
  <c r="A370" i="11"/>
  <c r="H401" i="11"/>
  <c r="G401" i="11"/>
  <c r="H400" i="11"/>
  <c r="G400" i="11"/>
  <c r="H399" i="11"/>
  <c r="G399" i="11"/>
  <c r="H398" i="11"/>
  <c r="G398" i="11"/>
  <c r="H397" i="11"/>
  <c r="G397" i="11"/>
  <c r="H396" i="11"/>
  <c r="G396" i="11"/>
  <c r="H395" i="11"/>
  <c r="G395" i="11"/>
  <c r="H394" i="11"/>
  <c r="G394" i="11"/>
  <c r="H393" i="11"/>
  <c r="G393" i="11"/>
  <c r="H392" i="11"/>
  <c r="G392" i="11"/>
  <c r="H391" i="11"/>
  <c r="G391" i="11"/>
  <c r="H390" i="11"/>
  <c r="G390" i="11"/>
  <c r="H389" i="11"/>
  <c r="G389" i="11"/>
  <c r="H382" i="11"/>
  <c r="G382" i="11"/>
  <c r="H381" i="11"/>
  <c r="G381" i="11"/>
  <c r="H380" i="11"/>
  <c r="G380" i="11"/>
  <c r="H379" i="11"/>
  <c r="G379" i="11"/>
  <c r="H378" i="11"/>
  <c r="G378" i="11"/>
  <c r="H377" i="11"/>
  <c r="G377" i="11"/>
  <c r="H376" i="11"/>
  <c r="G376" i="11"/>
  <c r="H375" i="11"/>
  <c r="G375" i="11"/>
  <c r="H374" i="11"/>
  <c r="G374" i="11"/>
  <c r="H373" i="11"/>
  <c r="G373" i="11"/>
  <c r="H372" i="11"/>
  <c r="G372" i="11"/>
  <c r="H371" i="11"/>
  <c r="G371" i="11"/>
  <c r="H370" i="11"/>
  <c r="G370" i="11"/>
  <c r="F39" i="11" l="1"/>
  <c r="K46" i="49"/>
  <c r="J46" i="49"/>
  <c r="I46" i="49"/>
  <c r="E38" i="11"/>
  <c r="E37" i="11"/>
  <c r="E36" i="11"/>
  <c r="F37" i="11" l="1"/>
  <c r="E20" i="71"/>
  <c r="F38" i="11"/>
  <c r="E21" i="71"/>
  <c r="I541" i="49"/>
  <c r="E541" i="49"/>
  <c r="F541" i="49" s="1"/>
  <c r="I540" i="49"/>
  <c r="E540" i="49"/>
  <c r="F540" i="49" s="1"/>
  <c r="I539" i="49"/>
  <c r="E539" i="49"/>
  <c r="F539" i="49" s="1"/>
  <c r="I538" i="49"/>
  <c r="E538" i="49"/>
  <c r="F538" i="49" s="1"/>
  <c r="I537" i="49"/>
  <c r="E537" i="49"/>
  <c r="F537" i="49" s="1"/>
  <c r="I536" i="49"/>
  <c r="E536" i="49"/>
  <c r="F536" i="49" s="1"/>
  <c r="I535" i="49"/>
  <c r="E535" i="49"/>
  <c r="F535" i="49" s="1"/>
  <c r="I534" i="49"/>
  <c r="E534" i="49"/>
  <c r="F534" i="49" s="1"/>
  <c r="I533" i="49"/>
  <c r="E533" i="49"/>
  <c r="F533" i="49" s="1"/>
  <c r="I532" i="49"/>
  <c r="E532" i="49"/>
  <c r="F532" i="49" s="1"/>
  <c r="I531" i="49"/>
  <c r="E531" i="49"/>
  <c r="F531" i="49" s="1"/>
  <c r="I530" i="49"/>
  <c r="E530" i="49"/>
  <c r="F530" i="49" s="1"/>
  <c r="I529" i="49"/>
  <c r="E529" i="49"/>
  <c r="F529" i="49" s="1"/>
  <c r="I528" i="49"/>
  <c r="E528" i="49"/>
  <c r="F528" i="49" s="1"/>
  <c r="I527" i="49"/>
  <c r="E527" i="49"/>
  <c r="F527" i="49" s="1"/>
  <c r="I526" i="49"/>
  <c r="E526" i="49"/>
  <c r="F526" i="49" s="1"/>
  <c r="I525" i="49"/>
  <c r="E525" i="49"/>
  <c r="F525" i="49" s="1"/>
  <c r="I524" i="49"/>
  <c r="E524" i="49"/>
  <c r="F524" i="49" s="1"/>
  <c r="I523" i="49"/>
  <c r="E523" i="49"/>
  <c r="F523" i="49" s="1"/>
  <c r="I522" i="49"/>
  <c r="E522" i="49"/>
  <c r="F522" i="49" s="1"/>
  <c r="I521" i="49"/>
  <c r="E521" i="49"/>
  <c r="F521" i="49" s="1"/>
  <c r="I520" i="49"/>
  <c r="E520" i="49"/>
  <c r="F520" i="49" s="1"/>
  <c r="I519" i="49"/>
  <c r="E519" i="49"/>
  <c r="F519" i="49" s="1"/>
  <c r="I518" i="49"/>
  <c r="E518" i="49"/>
  <c r="F518" i="49" s="1"/>
  <c r="K516" i="49"/>
  <c r="J516" i="49"/>
  <c r="I516" i="49"/>
  <c r="H516" i="49"/>
  <c r="F516" i="49"/>
  <c r="E516" i="49"/>
  <c r="D516" i="49"/>
  <c r="K515" i="49"/>
  <c r="J515" i="49"/>
  <c r="I515" i="49"/>
  <c r="H515" i="49"/>
  <c r="G515" i="49"/>
  <c r="F515" i="49"/>
  <c r="E515" i="49"/>
  <c r="D515" i="49"/>
  <c r="G514" i="49"/>
  <c r="I508" i="49"/>
  <c r="E508" i="49"/>
  <c r="F508" i="49" s="1"/>
  <c r="I507" i="49"/>
  <c r="E507" i="49"/>
  <c r="F507" i="49" s="1"/>
  <c r="I506" i="49"/>
  <c r="E506" i="49"/>
  <c r="F506" i="49" s="1"/>
  <c r="I505" i="49"/>
  <c r="E505" i="49"/>
  <c r="F505" i="49" s="1"/>
  <c r="I504" i="49"/>
  <c r="E504" i="49"/>
  <c r="F504" i="49" s="1"/>
  <c r="I503" i="49"/>
  <c r="E503" i="49"/>
  <c r="F503" i="49" s="1"/>
  <c r="I502" i="49"/>
  <c r="E502" i="49"/>
  <c r="F502" i="49" s="1"/>
  <c r="I501" i="49"/>
  <c r="E501" i="49"/>
  <c r="F501" i="49" s="1"/>
  <c r="I500" i="49"/>
  <c r="E500" i="49"/>
  <c r="F500" i="49" s="1"/>
  <c r="I499" i="49"/>
  <c r="E499" i="49"/>
  <c r="F499" i="49" s="1"/>
  <c r="I498" i="49"/>
  <c r="E498" i="49"/>
  <c r="F498" i="49" s="1"/>
  <c r="I497" i="49"/>
  <c r="E497" i="49"/>
  <c r="F497" i="49" s="1"/>
  <c r="I496" i="49"/>
  <c r="E496" i="49"/>
  <c r="F496" i="49" s="1"/>
  <c r="I495" i="49"/>
  <c r="E495" i="49"/>
  <c r="F495" i="49" s="1"/>
  <c r="I494" i="49"/>
  <c r="E494" i="49"/>
  <c r="F494" i="49" s="1"/>
  <c r="I493" i="49"/>
  <c r="E493" i="49"/>
  <c r="F493" i="49" s="1"/>
  <c r="I492" i="49"/>
  <c r="E492" i="49"/>
  <c r="F492" i="49" s="1"/>
  <c r="I491" i="49"/>
  <c r="E491" i="49"/>
  <c r="F491" i="49" s="1"/>
  <c r="I490" i="49"/>
  <c r="E490" i="49"/>
  <c r="F490" i="49" s="1"/>
  <c r="I489" i="49"/>
  <c r="E489" i="49"/>
  <c r="F489" i="49" s="1"/>
  <c r="I488" i="49"/>
  <c r="E488" i="49"/>
  <c r="F488" i="49" s="1"/>
  <c r="I487" i="49"/>
  <c r="E487" i="49"/>
  <c r="F487" i="49" s="1"/>
  <c r="I486" i="49"/>
  <c r="E486" i="49"/>
  <c r="F486" i="49" s="1"/>
  <c r="I485" i="49"/>
  <c r="E485" i="49"/>
  <c r="F485" i="49" s="1"/>
  <c r="K483" i="49"/>
  <c r="J483" i="49"/>
  <c r="I483" i="49"/>
  <c r="H483" i="49"/>
  <c r="F483" i="49"/>
  <c r="E483" i="49"/>
  <c r="D483" i="49"/>
  <c r="K482" i="49"/>
  <c r="J482" i="49"/>
  <c r="I482" i="49"/>
  <c r="H482" i="49"/>
  <c r="F482" i="49"/>
  <c r="E482" i="49"/>
  <c r="D482" i="49"/>
  <c r="G481" i="49"/>
  <c r="J518" i="49" l="1"/>
  <c r="J486" i="49" l="1"/>
  <c r="J487" i="49" s="1"/>
  <c r="J519" i="49"/>
  <c r="J520" i="49" s="1"/>
  <c r="J521" i="49" l="1"/>
  <c r="J488" i="49"/>
  <c r="J522" i="49" l="1"/>
  <c r="J489" i="49"/>
  <c r="J523" i="49" l="1"/>
  <c r="J490" i="49"/>
  <c r="J524" i="49" l="1"/>
  <c r="J491" i="49"/>
  <c r="J525" i="49" l="1"/>
  <c r="J492" i="49"/>
  <c r="J526" i="49" l="1"/>
  <c r="J493" i="49"/>
  <c r="J527" i="49" l="1"/>
  <c r="J494" i="49"/>
  <c r="J528" i="49" l="1"/>
  <c r="J495" i="49"/>
  <c r="J529" i="49" l="1"/>
  <c r="J496" i="49"/>
  <c r="J530" i="49" l="1"/>
  <c r="J497" i="49"/>
  <c r="J531" i="49" l="1"/>
  <c r="J498" i="49"/>
  <c r="J532" i="49" l="1"/>
  <c r="J499" i="49"/>
  <c r="J533" i="49" l="1"/>
  <c r="J500" i="49"/>
  <c r="J534" i="49" l="1"/>
  <c r="J501" i="49"/>
  <c r="J535" i="49" l="1"/>
  <c r="J502" i="49"/>
  <c r="J536" i="49" l="1"/>
  <c r="J503" i="49"/>
  <c r="J537" i="49" l="1"/>
  <c r="J504" i="49"/>
  <c r="J538" i="49" l="1"/>
  <c r="J505" i="49"/>
  <c r="J539" i="49" l="1"/>
  <c r="J506" i="49"/>
  <c r="J540" i="49" l="1"/>
  <c r="J507" i="49"/>
  <c r="J541" i="49" l="1"/>
  <c r="K542" i="49" s="1"/>
  <c r="G39" i="11" s="1"/>
  <c r="J508" i="49"/>
  <c r="K509" i="49" s="1"/>
  <c r="G38" i="11" l="1"/>
  <c r="F21" i="71"/>
  <c r="N40" i="61"/>
  <c r="J40" i="61"/>
  <c r="M40" i="61" s="1"/>
  <c r="G40" i="61"/>
  <c r="I40" i="61" s="1"/>
  <c r="N41" i="61"/>
  <c r="J41" i="61"/>
  <c r="M41" i="61" s="1"/>
  <c r="G41" i="61"/>
  <c r="I41" i="61" s="1"/>
  <c r="N39" i="61"/>
  <c r="J39" i="61"/>
  <c r="M39" i="61" s="1"/>
  <c r="G39" i="61"/>
  <c r="I39" i="61" s="1"/>
  <c r="G252" i="61" l="1"/>
  <c r="A122" i="15" l="1"/>
  <c r="A123" i="15" s="1"/>
  <c r="A124" i="15" s="1"/>
  <c r="A125" i="15" s="1"/>
  <c r="A100" i="15"/>
  <c r="A101" i="15" s="1"/>
  <c r="A102" i="15" s="1"/>
  <c r="A103" i="15" s="1"/>
  <c r="A104" i="15" s="1"/>
  <c r="A105" i="15" s="1"/>
  <c r="A106" i="15" s="1"/>
  <c r="A107" i="15" s="1"/>
  <c r="A108" i="15" s="1"/>
  <c r="A80" i="15"/>
  <c r="A81" i="15" s="1"/>
  <c r="A82" i="15" s="1"/>
  <c r="A83" i="15" s="1"/>
  <c r="A59" i="15"/>
  <c r="A60" i="15" s="1"/>
  <c r="A61" i="15" s="1"/>
  <c r="A62" i="15" s="1"/>
  <c r="A63" i="15" s="1"/>
  <c r="A32" i="15"/>
  <c r="A33" i="15" s="1"/>
  <c r="A34" i="15" s="1"/>
  <c r="A35" i="15" s="1"/>
  <c r="A36" i="15" s="1"/>
  <c r="A37" i="15" s="1"/>
  <c r="A38" i="15" s="1"/>
  <c r="A39" i="15" s="1"/>
  <c r="A40" i="15" s="1"/>
  <c r="A41" i="15" s="1"/>
  <c r="A42" i="15" s="1"/>
  <c r="A43" i="15" s="1"/>
  <c r="A44" i="15" s="1"/>
  <c r="A45" i="15" s="1"/>
  <c r="G148" i="15" l="1"/>
  <c r="G156" i="15"/>
  <c r="C26" i="56" l="1"/>
  <c r="C12" i="56"/>
  <c r="L21" i="82"/>
  <c r="C17" i="56" l="1"/>
  <c r="C28" i="56" s="1"/>
  <c r="G12" i="86"/>
  <c r="H11" i="86"/>
  <c r="C42" i="56" l="1"/>
  <c r="F48" i="26"/>
  <c r="D48" i="26" s="1"/>
  <c r="L179" i="4" l="1"/>
  <c r="L178" i="4"/>
  <c r="N50" i="61" l="1"/>
  <c r="J50" i="61"/>
  <c r="M50" i="61" s="1"/>
  <c r="G50" i="61"/>
  <c r="I50" i="61" s="1"/>
  <c r="N38" i="61"/>
  <c r="N37" i="61"/>
  <c r="N36" i="61"/>
  <c r="N35" i="61"/>
  <c r="J38" i="61"/>
  <c r="M38" i="61" s="1"/>
  <c r="G38" i="61"/>
  <c r="I38" i="61" s="1"/>
  <c r="J37" i="61"/>
  <c r="M37" i="61" s="1"/>
  <c r="G37" i="61"/>
  <c r="I37" i="61" s="1"/>
  <c r="J36" i="61"/>
  <c r="M36" i="61" s="1"/>
  <c r="G36" i="61"/>
  <c r="I36" i="61" s="1"/>
  <c r="J35" i="61"/>
  <c r="M35" i="61" s="1"/>
  <c r="G35" i="61"/>
  <c r="I35" i="61" s="1"/>
  <c r="J87" i="61" l="1"/>
  <c r="M87" i="61" s="1"/>
  <c r="G87" i="61"/>
  <c r="I87" i="61" s="1"/>
  <c r="L90" i="61"/>
  <c r="D54" i="15" l="1"/>
  <c r="E25" i="12"/>
  <c r="G20" i="46" l="1"/>
  <c r="N194" i="61" l="1"/>
  <c r="J194" i="61"/>
  <c r="M194" i="61" s="1"/>
  <c r="G194" i="61"/>
  <c r="I194" i="61" s="1"/>
  <c r="N160" i="61"/>
  <c r="N159" i="61"/>
  <c r="N158" i="61"/>
  <c r="N157" i="61"/>
  <c r="J160" i="61"/>
  <c r="M160" i="61" s="1"/>
  <c r="J159" i="61"/>
  <c r="M159" i="61" s="1"/>
  <c r="J158" i="61"/>
  <c r="M158" i="61" s="1"/>
  <c r="J157" i="61"/>
  <c r="M157" i="61" s="1"/>
  <c r="J156" i="61"/>
  <c r="M156" i="61" s="1"/>
  <c r="G156" i="61"/>
  <c r="I156" i="61" s="1"/>
  <c r="J155" i="61"/>
  <c r="M155" i="61" s="1"/>
  <c r="G155" i="61"/>
  <c r="I155" i="61" s="1"/>
  <c r="N49" i="61"/>
  <c r="H128" i="15" l="1"/>
  <c r="G128" i="15"/>
  <c r="F128" i="15"/>
  <c r="E128" i="15"/>
  <c r="D128" i="15"/>
  <c r="F117" i="15"/>
  <c r="D117" i="15"/>
  <c r="H86" i="15"/>
  <c r="G86" i="15"/>
  <c r="F86" i="15"/>
  <c r="F88" i="15" s="1"/>
  <c r="E86" i="15"/>
  <c r="D86" i="15"/>
  <c r="H66" i="15"/>
  <c r="G66" i="15"/>
  <c r="F66" i="15"/>
  <c r="E66" i="15"/>
  <c r="D66" i="15"/>
  <c r="F54" i="15"/>
  <c r="G149" i="15"/>
  <c r="G157" i="15"/>
  <c r="N31" i="61"/>
  <c r="N32" i="61"/>
  <c r="N33" i="61"/>
  <c r="G17" i="85"/>
  <c r="J11" i="46" s="1"/>
  <c r="M11" i="46" s="1"/>
  <c r="E74" i="46" s="1"/>
  <c r="G100" i="85"/>
  <c r="D105" i="85"/>
  <c r="L11" i="46"/>
  <c r="D74" i="46" s="1"/>
  <c r="E6" i="66"/>
  <c r="E41" i="30"/>
  <c r="D22" i="30" s="1"/>
  <c r="L263" i="61"/>
  <c r="H263" i="61"/>
  <c r="J260" i="61"/>
  <c r="J263" i="61" s="1"/>
  <c r="G260" i="61"/>
  <c r="I260" i="61" s="1"/>
  <c r="I263" i="61" s="1"/>
  <c r="H9" i="26"/>
  <c r="D49" i="85"/>
  <c r="G89" i="85"/>
  <c r="F181" i="1" s="1"/>
  <c r="H181" i="1" s="1"/>
  <c r="K47" i="1" s="1"/>
  <c r="G88" i="85"/>
  <c r="F180" i="1" s="1"/>
  <c r="H180" i="1" s="1"/>
  <c r="K46" i="1" s="1"/>
  <c r="H19" i="26"/>
  <c r="H18" i="26"/>
  <c r="H17" i="26"/>
  <c r="H16" i="26"/>
  <c r="H15" i="26"/>
  <c r="H14" i="26"/>
  <c r="H13" i="26"/>
  <c r="H12" i="26"/>
  <c r="H11" i="26"/>
  <c r="H10" i="26"/>
  <c r="H8" i="26"/>
  <c r="H7" i="26"/>
  <c r="G104" i="85"/>
  <c r="G103" i="85"/>
  <c r="G102" i="85"/>
  <c r="G101" i="85"/>
  <c r="G93" i="85"/>
  <c r="F185" i="1" s="1"/>
  <c r="H185" i="1" s="1"/>
  <c r="K51" i="1" s="1"/>
  <c r="G92" i="85"/>
  <c r="F184" i="1" s="1"/>
  <c r="H184" i="1" s="1"/>
  <c r="K50" i="1" s="1"/>
  <c r="G91" i="85"/>
  <c r="F183" i="1" s="1"/>
  <c r="G90" i="85"/>
  <c r="F182" i="1" s="1"/>
  <c r="H182" i="1" s="1"/>
  <c r="K48" i="1" s="1"/>
  <c r="G87" i="85"/>
  <c r="F179" i="1" s="1"/>
  <c r="H179" i="1" s="1"/>
  <c r="K45" i="1" s="1"/>
  <c r="G79" i="85"/>
  <c r="G68" i="85"/>
  <c r="G67" i="85"/>
  <c r="G66" i="85"/>
  <c r="G65" i="85"/>
  <c r="G64" i="85"/>
  <c r="G63" i="85"/>
  <c r="G62" i="85"/>
  <c r="G61" i="85"/>
  <c r="G60" i="85"/>
  <c r="G59" i="85"/>
  <c r="G58" i="85"/>
  <c r="G57" i="85"/>
  <c r="G56" i="85"/>
  <c r="G55" i="85"/>
  <c r="G47" i="85"/>
  <c r="J42" i="46"/>
  <c r="M42" i="46" s="1"/>
  <c r="E105" i="46" s="1"/>
  <c r="G46" i="85"/>
  <c r="J40" i="46" s="1"/>
  <c r="M40" i="46" s="1"/>
  <c r="E103" i="46" s="1"/>
  <c r="G45" i="85"/>
  <c r="J39" i="46" s="1"/>
  <c r="M39" i="46" s="1"/>
  <c r="E102" i="46" s="1"/>
  <c r="I102" i="46" s="1"/>
  <c r="G44" i="85"/>
  <c r="J38" i="46" s="1"/>
  <c r="M38" i="46" s="1"/>
  <c r="E101" i="46" s="1"/>
  <c r="G43" i="85"/>
  <c r="J37" i="46" s="1"/>
  <c r="M37" i="46" s="1"/>
  <c r="E100" i="46" s="1"/>
  <c r="I100" i="46" s="1"/>
  <c r="G42" i="85"/>
  <c r="J36" i="46" s="1"/>
  <c r="M36" i="46" s="1"/>
  <c r="E99" i="46" s="1"/>
  <c r="G41" i="85"/>
  <c r="J35" i="46" s="1"/>
  <c r="M35" i="46" s="1"/>
  <c r="E98" i="46" s="1"/>
  <c r="I98" i="46" s="1"/>
  <c r="G40" i="85"/>
  <c r="J34" i="46" s="1"/>
  <c r="M34" i="46" s="1"/>
  <c r="E97" i="46" s="1"/>
  <c r="G39" i="85"/>
  <c r="J33" i="46" s="1"/>
  <c r="M33" i="46" s="1"/>
  <c r="E96" i="46" s="1"/>
  <c r="I96" i="46" s="1"/>
  <c r="G38" i="85"/>
  <c r="J32" i="46" s="1"/>
  <c r="M32" i="46" s="1"/>
  <c r="E95" i="46" s="1"/>
  <c r="G37" i="85"/>
  <c r="J31" i="46" s="1"/>
  <c r="M31" i="46" s="1"/>
  <c r="E94" i="46" s="1"/>
  <c r="I94" i="46" s="1"/>
  <c r="G36" i="85"/>
  <c r="J30" i="46" s="1"/>
  <c r="M30" i="46" s="1"/>
  <c r="E93" i="46" s="1"/>
  <c r="G35" i="85"/>
  <c r="J29" i="46" s="1"/>
  <c r="M29" i="46" s="1"/>
  <c r="E92" i="46" s="1"/>
  <c r="I92" i="46" s="1"/>
  <c r="G34" i="85"/>
  <c r="J28" i="46" s="1"/>
  <c r="M28" i="46" s="1"/>
  <c r="E91" i="46" s="1"/>
  <c r="I91" i="46" s="1"/>
  <c r="G33" i="85"/>
  <c r="J27" i="46" s="1"/>
  <c r="M27" i="46" s="1"/>
  <c r="G32" i="85"/>
  <c r="J26" i="46" s="1"/>
  <c r="M26" i="46" s="1"/>
  <c r="E89" i="46" s="1"/>
  <c r="I89" i="46" s="1"/>
  <c r="G31" i="85"/>
  <c r="J25" i="46" s="1"/>
  <c r="M25" i="46" s="1"/>
  <c r="E88" i="46" s="1"/>
  <c r="I88" i="46" s="1"/>
  <c r="G30" i="85"/>
  <c r="J24" i="46" s="1"/>
  <c r="M24" i="46" s="1"/>
  <c r="E87" i="46" s="1"/>
  <c r="G29" i="85"/>
  <c r="J23" i="46" s="1"/>
  <c r="M23" i="46" s="1"/>
  <c r="E86" i="46" s="1"/>
  <c r="I86" i="46" s="1"/>
  <c r="G28" i="85"/>
  <c r="J22" i="46" s="1"/>
  <c r="M22" i="46" s="1"/>
  <c r="E85" i="46" s="1"/>
  <c r="I85" i="46" s="1"/>
  <c r="G27" i="85"/>
  <c r="J21" i="46" s="1"/>
  <c r="M21" i="46" s="1"/>
  <c r="E84" i="46" s="1"/>
  <c r="I84" i="46" s="1"/>
  <c r="G26" i="85"/>
  <c r="J20" i="46" s="1"/>
  <c r="M20" i="46" s="1"/>
  <c r="E83" i="46" s="1"/>
  <c r="G25" i="85"/>
  <c r="J19" i="46" s="1"/>
  <c r="M19" i="46" s="1"/>
  <c r="E82" i="46" s="1"/>
  <c r="G24" i="85"/>
  <c r="J18" i="46" s="1"/>
  <c r="M18" i="46" s="1"/>
  <c r="E81" i="46" s="1"/>
  <c r="I81" i="46" s="1"/>
  <c r="G23" i="85"/>
  <c r="J17" i="46" s="1"/>
  <c r="M17" i="46" s="1"/>
  <c r="E80" i="46" s="1"/>
  <c r="I80" i="46" s="1"/>
  <c r="G22" i="85"/>
  <c r="J16" i="46" s="1"/>
  <c r="M16" i="46" s="1"/>
  <c r="E79" i="46" s="1"/>
  <c r="G21" i="85"/>
  <c r="J15" i="46" s="1"/>
  <c r="M15" i="46" s="1"/>
  <c r="E78" i="46" s="1"/>
  <c r="I78" i="46" s="1"/>
  <c r="G20" i="85"/>
  <c r="J14" i="46" s="1"/>
  <c r="M14" i="46" s="1"/>
  <c r="E77" i="46" s="1"/>
  <c r="I77" i="46" s="1"/>
  <c r="G19" i="85"/>
  <c r="J13" i="46" s="1"/>
  <c r="M13" i="46" s="1"/>
  <c r="E76" i="46" s="1"/>
  <c r="G18" i="85"/>
  <c r="J12" i="46" s="1"/>
  <c r="F49" i="85"/>
  <c r="E49" i="85"/>
  <c r="F80" i="85"/>
  <c r="E80" i="85"/>
  <c r="F105" i="85"/>
  <c r="E105" i="85"/>
  <c r="F94" i="85"/>
  <c r="E94" i="85"/>
  <c r="D80" i="85"/>
  <c r="D94" i="85"/>
  <c r="A6" i="85"/>
  <c r="A7" i="85" s="1"/>
  <c r="A8"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5" i="85" s="1"/>
  <c r="A56" i="85" s="1"/>
  <c r="A57" i="85" s="1"/>
  <c r="A58" i="85" s="1"/>
  <c r="A59" i="85" s="1"/>
  <c r="A60" i="85" s="1"/>
  <c r="A61" i="85" s="1"/>
  <c r="A62" i="85" s="1"/>
  <c r="A63" i="85" s="1"/>
  <c r="A64" i="85" s="1"/>
  <c r="A65" i="85" s="1"/>
  <c r="A66" i="85" s="1"/>
  <c r="A67" i="85" s="1"/>
  <c r="A68" i="85" s="1"/>
  <c r="A72" i="85" s="1"/>
  <c r="A73" i="85" s="1"/>
  <c r="A79" i="85" s="1"/>
  <c r="A80" i="85" s="1"/>
  <c r="A87" i="85" s="1"/>
  <c r="A88" i="85" s="1"/>
  <c r="A89" i="85" s="1"/>
  <c r="A90" i="85" s="1"/>
  <c r="A91" i="85" s="1"/>
  <c r="A92" i="85" s="1"/>
  <c r="A93" i="85" s="1"/>
  <c r="A94" i="85" s="1"/>
  <c r="A100" i="85" s="1"/>
  <c r="A101" i="85" s="1"/>
  <c r="A102" i="85" s="1"/>
  <c r="A103" i="85" s="1"/>
  <c r="A104" i="85" s="1"/>
  <c r="A105" i="85" s="1"/>
  <c r="A106" i="85" s="1"/>
  <c r="A107" i="85" s="1"/>
  <c r="A108" i="85" s="1"/>
  <c r="A109" i="85" s="1"/>
  <c r="A110" i="85" s="1"/>
  <c r="A111" i="85" s="1"/>
  <c r="A112" i="85" s="1"/>
  <c r="A113" i="85" s="1"/>
  <c r="A114" i="85" s="1"/>
  <c r="A115" i="85" s="1"/>
  <c r="A116" i="85" s="1"/>
  <c r="E28" i="53"/>
  <c r="H130" i="53"/>
  <c r="J14" i="53"/>
  <c r="N231" i="61"/>
  <c r="N232" i="61"/>
  <c r="N233" i="61"/>
  <c r="N234" i="61"/>
  <c r="N235" i="61"/>
  <c r="N236" i="61"/>
  <c r="N237" i="61"/>
  <c r="N238" i="61"/>
  <c r="N239" i="61"/>
  <c r="G231" i="61"/>
  <c r="I231" i="61" s="1"/>
  <c r="J231" i="61"/>
  <c r="M231" i="61" s="1"/>
  <c r="G232" i="61"/>
  <c r="I232" i="61" s="1"/>
  <c r="J232" i="61"/>
  <c r="M232" i="61" s="1"/>
  <c r="G233" i="61"/>
  <c r="I233" i="61" s="1"/>
  <c r="J233" i="61"/>
  <c r="M233" i="61" s="1"/>
  <c r="G234" i="61"/>
  <c r="I234" i="61" s="1"/>
  <c r="J234" i="61"/>
  <c r="M234" i="61" s="1"/>
  <c r="G235" i="61"/>
  <c r="I235" i="61" s="1"/>
  <c r="J235" i="61"/>
  <c r="M235" i="61" s="1"/>
  <c r="G236" i="61"/>
  <c r="I236" i="61" s="1"/>
  <c r="J236" i="61"/>
  <c r="M236" i="61" s="1"/>
  <c r="G237" i="61"/>
  <c r="I237" i="61" s="1"/>
  <c r="J237" i="61"/>
  <c r="M237" i="61" s="1"/>
  <c r="G238" i="61"/>
  <c r="I238" i="61" s="1"/>
  <c r="J238" i="61"/>
  <c r="M238" i="61" s="1"/>
  <c r="G239" i="61"/>
  <c r="I239" i="61" s="1"/>
  <c r="J239" i="61"/>
  <c r="M239" i="61" s="1"/>
  <c r="J154" i="61"/>
  <c r="M154" i="61" s="1"/>
  <c r="G154" i="61"/>
  <c r="I154" i="61" s="1"/>
  <c r="J86" i="61"/>
  <c r="M86" i="61" s="1"/>
  <c r="G86" i="61"/>
  <c r="I86" i="61" s="1"/>
  <c r="N85" i="61"/>
  <c r="J85" i="61"/>
  <c r="M85" i="61" s="1"/>
  <c r="G85" i="61"/>
  <c r="I85" i="61" s="1"/>
  <c r="J49" i="61"/>
  <c r="M49" i="61" s="1"/>
  <c r="G49" i="61"/>
  <c r="I49" i="61" s="1"/>
  <c r="N48" i="61"/>
  <c r="N53" i="61" s="1"/>
  <c r="J48" i="61"/>
  <c r="M48" i="61" s="1"/>
  <c r="G48" i="61"/>
  <c r="N34" i="61"/>
  <c r="J34" i="61"/>
  <c r="M34" i="61" s="1"/>
  <c r="G34" i="61"/>
  <c r="I34" i="61" s="1"/>
  <c r="J33" i="61"/>
  <c r="M33" i="61" s="1"/>
  <c r="G33" i="61"/>
  <c r="I33" i="61" s="1"/>
  <c r="J32" i="61"/>
  <c r="M32" i="61" s="1"/>
  <c r="G32" i="61"/>
  <c r="I32" i="61" s="1"/>
  <c r="J31" i="61"/>
  <c r="M31" i="61" s="1"/>
  <c r="G31" i="61"/>
  <c r="I31" i="61" s="1"/>
  <c r="E106" i="4"/>
  <c r="A115" i="15"/>
  <c r="J54" i="49"/>
  <c r="F106" i="4"/>
  <c r="F143" i="4" s="1"/>
  <c r="G106" i="4"/>
  <c r="G143" i="4" s="1"/>
  <c r="H106" i="4"/>
  <c r="H143" i="4" s="1"/>
  <c r="I106" i="4"/>
  <c r="I143" i="4" s="1"/>
  <c r="J106" i="4"/>
  <c r="J143" i="4" s="1"/>
  <c r="K106" i="4"/>
  <c r="K143" i="4" s="1"/>
  <c r="L106" i="4"/>
  <c r="L143" i="4" s="1"/>
  <c r="H89" i="65"/>
  <c r="G89" i="65"/>
  <c r="F89" i="65"/>
  <c r="E89" i="65"/>
  <c r="D89" i="65"/>
  <c r="C89" i="65"/>
  <c r="D20" i="71"/>
  <c r="H363" i="11"/>
  <c r="G363" i="11"/>
  <c r="H362" i="11"/>
  <c r="G362" i="11"/>
  <c r="H361" i="11"/>
  <c r="G361" i="11"/>
  <c r="H360" i="11"/>
  <c r="G360" i="11"/>
  <c r="H359" i="11"/>
  <c r="G359" i="11"/>
  <c r="H358" i="11"/>
  <c r="G358" i="11"/>
  <c r="H357" i="11"/>
  <c r="G357" i="11"/>
  <c r="H356" i="11"/>
  <c r="G356" i="11"/>
  <c r="H355" i="11"/>
  <c r="G355" i="11"/>
  <c r="H354" i="11"/>
  <c r="G354" i="11"/>
  <c r="H353" i="11"/>
  <c r="G353" i="11"/>
  <c r="H352" i="11"/>
  <c r="G352" i="11"/>
  <c r="H351" i="11"/>
  <c r="G351" i="11"/>
  <c r="J418" i="49"/>
  <c r="I475" i="49"/>
  <c r="E475" i="49"/>
  <c r="F475" i="49" s="1"/>
  <c r="I474" i="49"/>
  <c r="E474" i="49"/>
  <c r="F474" i="49" s="1"/>
  <c r="I473" i="49"/>
  <c r="E473" i="49"/>
  <c r="F473" i="49" s="1"/>
  <c r="I472" i="49"/>
  <c r="E472" i="49"/>
  <c r="F472" i="49" s="1"/>
  <c r="I471" i="49"/>
  <c r="E471" i="49"/>
  <c r="F471" i="49" s="1"/>
  <c r="I470" i="49"/>
  <c r="E470" i="49"/>
  <c r="F470" i="49" s="1"/>
  <c r="I469" i="49"/>
  <c r="E469" i="49"/>
  <c r="F469" i="49" s="1"/>
  <c r="I468" i="49"/>
  <c r="E468" i="49"/>
  <c r="F468" i="49" s="1"/>
  <c r="I467" i="49"/>
  <c r="E467" i="49"/>
  <c r="F467" i="49" s="1"/>
  <c r="I466" i="49"/>
  <c r="E466" i="49"/>
  <c r="F466" i="49" s="1"/>
  <c r="I465" i="49"/>
  <c r="E465" i="49"/>
  <c r="F465" i="49" s="1"/>
  <c r="I464" i="49"/>
  <c r="E464" i="49"/>
  <c r="F464" i="49" s="1"/>
  <c r="I463" i="49"/>
  <c r="E463" i="49"/>
  <c r="F463" i="49" s="1"/>
  <c r="I462" i="49"/>
  <c r="E462" i="49"/>
  <c r="F462" i="49" s="1"/>
  <c r="I461" i="49"/>
  <c r="E461" i="49"/>
  <c r="F461" i="49" s="1"/>
  <c r="I460" i="49"/>
  <c r="E460" i="49"/>
  <c r="F460" i="49" s="1"/>
  <c r="I459" i="49"/>
  <c r="E459" i="49"/>
  <c r="F459" i="49" s="1"/>
  <c r="I458" i="49"/>
  <c r="E458" i="49"/>
  <c r="F458" i="49" s="1"/>
  <c r="I457" i="49"/>
  <c r="E457" i="49"/>
  <c r="F457" i="49" s="1"/>
  <c r="I456" i="49"/>
  <c r="E456" i="49"/>
  <c r="F456" i="49" s="1"/>
  <c r="I455" i="49"/>
  <c r="E455" i="49"/>
  <c r="F455" i="49" s="1"/>
  <c r="I454" i="49"/>
  <c r="E454" i="49"/>
  <c r="F454" i="49" s="1"/>
  <c r="I453" i="49"/>
  <c r="E453" i="49"/>
  <c r="F453" i="49" s="1"/>
  <c r="I452" i="49"/>
  <c r="E452" i="49"/>
  <c r="F452" i="49" s="1"/>
  <c r="K450" i="49"/>
  <c r="J450" i="49"/>
  <c r="I450" i="49"/>
  <c r="H450" i="49"/>
  <c r="F450" i="49"/>
  <c r="E450" i="49"/>
  <c r="D450" i="49"/>
  <c r="K449" i="49"/>
  <c r="J449" i="49"/>
  <c r="I449" i="49"/>
  <c r="H449" i="49"/>
  <c r="F449" i="49"/>
  <c r="E449" i="49"/>
  <c r="D449" i="49"/>
  <c r="F36" i="11"/>
  <c r="L168" i="61"/>
  <c r="G77" i="48"/>
  <c r="H77" i="48" s="1"/>
  <c r="H14" i="48" s="1"/>
  <c r="G78" i="48"/>
  <c r="H78" i="48" s="1"/>
  <c r="H15" i="48" s="1"/>
  <c r="G79" i="48"/>
  <c r="H79" i="48" s="1"/>
  <c r="H16" i="48" s="1"/>
  <c r="G80" i="48"/>
  <c r="H80" i="48" s="1"/>
  <c r="I80" i="48" s="1"/>
  <c r="G81" i="48"/>
  <c r="H81" i="48" s="1"/>
  <c r="G82" i="48"/>
  <c r="H82" i="48" s="1"/>
  <c r="H19" i="48" s="1"/>
  <c r="G83" i="48"/>
  <c r="H83" i="48" s="1"/>
  <c r="I83" i="48" s="1"/>
  <c r="G84" i="48"/>
  <c r="G85" i="48"/>
  <c r="H85" i="48" s="1"/>
  <c r="H22" i="48" s="1"/>
  <c r="G86" i="48"/>
  <c r="H86" i="48" s="1"/>
  <c r="H23" i="48" s="1"/>
  <c r="G87" i="48"/>
  <c r="H87" i="48" s="1"/>
  <c r="G88" i="48"/>
  <c r="H88" i="48" s="1"/>
  <c r="I88" i="48" s="1"/>
  <c r="G89" i="48"/>
  <c r="G90" i="48"/>
  <c r="H90" i="48" s="1"/>
  <c r="G91" i="48"/>
  <c r="H91" i="48" s="1"/>
  <c r="G92" i="48"/>
  <c r="H92" i="48" s="1"/>
  <c r="I92" i="48" s="1"/>
  <c r="G93" i="48"/>
  <c r="G94" i="48"/>
  <c r="H94" i="48" s="1"/>
  <c r="G95" i="48"/>
  <c r="H95" i="48" s="1"/>
  <c r="G96" i="48"/>
  <c r="H96" i="48" s="1"/>
  <c r="H33" i="48" s="1"/>
  <c r="G97" i="48"/>
  <c r="H97" i="48" s="1"/>
  <c r="G98" i="48"/>
  <c r="G99" i="48"/>
  <c r="H99" i="48" s="1"/>
  <c r="H36" i="48" s="1"/>
  <c r="M76" i="48"/>
  <c r="M13" i="48" s="1"/>
  <c r="H46" i="49"/>
  <c r="E18" i="71" s="1"/>
  <c r="N191" i="61"/>
  <c r="N192" i="61"/>
  <c r="N193" i="61"/>
  <c r="F25" i="65"/>
  <c r="H24" i="65"/>
  <c r="J24" i="65" s="1"/>
  <c r="L24" i="65" s="1"/>
  <c r="N30" i="61"/>
  <c r="J30" i="61"/>
  <c r="M30" i="61" s="1"/>
  <c r="G30" i="61"/>
  <c r="I30" i="61" s="1"/>
  <c r="L243" i="61"/>
  <c r="E243" i="61"/>
  <c r="J193" i="61"/>
  <c r="M193" i="61" s="1"/>
  <c r="G193" i="61"/>
  <c r="I193" i="61" s="1"/>
  <c r="J192" i="61"/>
  <c r="M192" i="61" s="1"/>
  <c r="G192" i="61"/>
  <c r="I192" i="61" s="1"/>
  <c r="J191" i="61"/>
  <c r="M191" i="61" s="1"/>
  <c r="G191" i="61"/>
  <c r="I191" i="61" s="1"/>
  <c r="J84" i="61"/>
  <c r="M84" i="61" s="1"/>
  <c r="G84" i="61"/>
  <c r="I84" i="61" s="1"/>
  <c r="N153" i="61"/>
  <c r="N152" i="61"/>
  <c r="J153" i="61"/>
  <c r="M153" i="61" s="1"/>
  <c r="J152" i="61"/>
  <c r="M152" i="61" s="1"/>
  <c r="J151" i="61"/>
  <c r="M151" i="61" s="1"/>
  <c r="G151" i="61"/>
  <c r="I151" i="61" s="1"/>
  <c r="J150" i="61"/>
  <c r="M150" i="61" s="1"/>
  <c r="G150" i="61"/>
  <c r="I150" i="61" s="1"/>
  <c r="N84" i="61"/>
  <c r="N83" i="61"/>
  <c r="J83" i="61"/>
  <c r="M83" i="61" s="1"/>
  <c r="G83" i="61"/>
  <c r="I83" i="61" s="1"/>
  <c r="N29" i="61"/>
  <c r="N28" i="61"/>
  <c r="G27" i="61"/>
  <c r="I27" i="61" s="1"/>
  <c r="J29" i="61"/>
  <c r="M29" i="61" s="1"/>
  <c r="G29" i="61"/>
  <c r="I29" i="61" s="1"/>
  <c r="J28" i="61"/>
  <c r="M28" i="61" s="1"/>
  <c r="G28" i="61"/>
  <c r="I28" i="61" s="1"/>
  <c r="N230" i="61"/>
  <c r="N229" i="61"/>
  <c r="G229" i="61"/>
  <c r="I229" i="61" s="1"/>
  <c r="J229" i="61"/>
  <c r="M229" i="61" s="1"/>
  <c r="G230" i="61"/>
  <c r="I230" i="61" s="1"/>
  <c r="J230" i="61"/>
  <c r="M230" i="61" s="1"/>
  <c r="H344" i="11"/>
  <c r="G344" i="11"/>
  <c r="H343" i="11"/>
  <c r="G343" i="11"/>
  <c r="H342" i="11"/>
  <c r="G342" i="11"/>
  <c r="H341" i="11"/>
  <c r="G341" i="11"/>
  <c r="H340" i="11"/>
  <c r="G340" i="11"/>
  <c r="H339" i="11"/>
  <c r="G339" i="11"/>
  <c r="H338" i="11"/>
  <c r="G338" i="11"/>
  <c r="H337" i="11"/>
  <c r="G337" i="11"/>
  <c r="H336" i="11"/>
  <c r="G336" i="11"/>
  <c r="H335" i="11"/>
  <c r="G335" i="11"/>
  <c r="H334" i="11"/>
  <c r="G334" i="11"/>
  <c r="H333" i="11"/>
  <c r="G333" i="11"/>
  <c r="H332" i="11"/>
  <c r="G332" i="11"/>
  <c r="F68" i="48"/>
  <c r="F36" i="48" s="1"/>
  <c r="E68" i="48"/>
  <c r="E36" i="48" s="1"/>
  <c r="F67" i="48"/>
  <c r="F35" i="48" s="1"/>
  <c r="E67" i="48"/>
  <c r="E35" i="48" s="1"/>
  <c r="F66" i="48"/>
  <c r="F34" i="48" s="1"/>
  <c r="E66" i="48"/>
  <c r="E34" i="48" s="1"/>
  <c r="F65" i="48"/>
  <c r="F33" i="48" s="1"/>
  <c r="E65" i="48"/>
  <c r="E33" i="48" s="1"/>
  <c r="F64" i="48"/>
  <c r="F32" i="48" s="1"/>
  <c r="E64" i="48"/>
  <c r="E32" i="48" s="1"/>
  <c r="F63" i="48"/>
  <c r="F31" i="48" s="1"/>
  <c r="E63" i="48"/>
  <c r="E31" i="48" s="1"/>
  <c r="F62" i="48"/>
  <c r="F30" i="48" s="1"/>
  <c r="E62" i="48"/>
  <c r="E30" i="48" s="1"/>
  <c r="F61" i="48"/>
  <c r="F29" i="48" s="1"/>
  <c r="E61" i="48"/>
  <c r="E29" i="48" s="1"/>
  <c r="F60" i="48"/>
  <c r="F28" i="48" s="1"/>
  <c r="E60" i="48"/>
  <c r="E28" i="48" s="1"/>
  <c r="F59" i="48"/>
  <c r="F27" i="48" s="1"/>
  <c r="E59" i="48"/>
  <c r="E27" i="48" s="1"/>
  <c r="F58" i="48"/>
  <c r="F26" i="48" s="1"/>
  <c r="E58" i="48"/>
  <c r="E26" i="48" s="1"/>
  <c r="F57" i="48"/>
  <c r="F25" i="48" s="1"/>
  <c r="E57" i="48"/>
  <c r="E25" i="48" s="1"/>
  <c r="F56" i="48"/>
  <c r="F24" i="48" s="1"/>
  <c r="E56" i="48"/>
  <c r="E24" i="48" s="1"/>
  <c r="F55" i="48"/>
  <c r="F23" i="48" s="1"/>
  <c r="E55" i="48"/>
  <c r="E23" i="48" s="1"/>
  <c r="F54" i="48"/>
  <c r="F22" i="48" s="1"/>
  <c r="E54" i="48"/>
  <c r="E22" i="48" s="1"/>
  <c r="F53" i="48"/>
  <c r="F21" i="48" s="1"/>
  <c r="E53" i="48"/>
  <c r="E21" i="48" s="1"/>
  <c r="F52" i="48"/>
  <c r="F20" i="48" s="1"/>
  <c r="E52" i="48"/>
  <c r="E20" i="48" s="1"/>
  <c r="F51" i="48"/>
  <c r="F19" i="48" s="1"/>
  <c r="E51" i="48"/>
  <c r="E19" i="48" s="1"/>
  <c r="F50" i="48"/>
  <c r="F18" i="48" s="1"/>
  <c r="E50" i="48"/>
  <c r="E18" i="48" s="1"/>
  <c r="F49" i="48"/>
  <c r="F17" i="48" s="1"/>
  <c r="E49" i="48"/>
  <c r="E17" i="48" s="1"/>
  <c r="F48" i="48"/>
  <c r="F16" i="48" s="1"/>
  <c r="E48" i="48"/>
  <c r="E16" i="48" s="1"/>
  <c r="F47" i="48"/>
  <c r="F15" i="48" s="1"/>
  <c r="E47" i="48"/>
  <c r="E15" i="48" s="1"/>
  <c r="F46" i="48"/>
  <c r="F14" i="48" s="1"/>
  <c r="E46" i="48"/>
  <c r="E14" i="48" s="1"/>
  <c r="F45" i="48"/>
  <c r="F13" i="48" s="1"/>
  <c r="E45" i="48"/>
  <c r="E13" i="48" s="1"/>
  <c r="H47" i="83"/>
  <c r="I47" i="83" s="1"/>
  <c r="K44" i="84" s="1"/>
  <c r="H46" i="83"/>
  <c r="I46" i="83" s="1"/>
  <c r="K43" i="84" s="1"/>
  <c r="H45" i="83"/>
  <c r="I45" i="83" s="1"/>
  <c r="K42" i="84" s="1"/>
  <c r="H44" i="83"/>
  <c r="I44" i="83" s="1"/>
  <c r="K41" i="84" s="1"/>
  <c r="H43" i="83"/>
  <c r="I43" i="83" s="1"/>
  <c r="K40" i="84" s="1"/>
  <c r="H42" i="83"/>
  <c r="I42" i="83" s="1"/>
  <c r="K39" i="84" s="1"/>
  <c r="H41" i="83"/>
  <c r="H40" i="83"/>
  <c r="I40" i="83" s="1"/>
  <c r="K37" i="84" s="1"/>
  <c r="L37" i="84" s="1"/>
  <c r="H39" i="83"/>
  <c r="I39" i="83" s="1"/>
  <c r="K36" i="84" s="1"/>
  <c r="H38" i="83"/>
  <c r="I38" i="83" s="1"/>
  <c r="K35" i="84" s="1"/>
  <c r="H37" i="83"/>
  <c r="I37" i="83" s="1"/>
  <c r="K34" i="84" s="1"/>
  <c r="H36" i="83"/>
  <c r="I36" i="83" s="1"/>
  <c r="K33" i="84" s="1"/>
  <c r="H35" i="83"/>
  <c r="I35" i="83" s="1"/>
  <c r="K32" i="84" s="1"/>
  <c r="H34" i="83"/>
  <c r="I34" i="83"/>
  <c r="K31" i="84" s="1"/>
  <c r="E49" i="83"/>
  <c r="D49" i="83"/>
  <c r="F47" i="83"/>
  <c r="G47" i="83"/>
  <c r="F46" i="83"/>
  <c r="G46" i="83"/>
  <c r="F45" i="83"/>
  <c r="G45" i="83"/>
  <c r="F44" i="83"/>
  <c r="G44" i="83"/>
  <c r="G43" i="83"/>
  <c r="F43" i="83"/>
  <c r="F42" i="83"/>
  <c r="G42" i="83"/>
  <c r="F41" i="83"/>
  <c r="G41" i="83"/>
  <c r="I41" i="83"/>
  <c r="K38" i="84" s="1"/>
  <c r="F40" i="83"/>
  <c r="G40" i="83"/>
  <c r="F39" i="83"/>
  <c r="G39" i="83"/>
  <c r="F38" i="83"/>
  <c r="G38" i="83"/>
  <c r="F37" i="83"/>
  <c r="G37" i="83"/>
  <c r="F36" i="83"/>
  <c r="G36" i="83"/>
  <c r="F35" i="83"/>
  <c r="G35" i="83"/>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J43" i="84"/>
  <c r="J42" i="84"/>
  <c r="J41" i="84"/>
  <c r="J40" i="84"/>
  <c r="J39" i="84"/>
  <c r="J38" i="84"/>
  <c r="J37" i="84"/>
  <c r="J36" i="84"/>
  <c r="J35" i="84"/>
  <c r="J34" i="84"/>
  <c r="J33" i="84"/>
  <c r="J32" i="84"/>
  <c r="J31" i="84"/>
  <c r="A31" i="84"/>
  <c r="A32" i="84" s="1"/>
  <c r="A33" i="84" s="1"/>
  <c r="A34" i="84" s="1"/>
  <c r="A35" i="84" s="1"/>
  <c r="A36" i="84" s="1"/>
  <c r="A37" i="84" s="1"/>
  <c r="A38" i="84" s="1"/>
  <c r="A39" i="84" s="1"/>
  <c r="A40" i="84" s="1"/>
  <c r="A41" i="84" s="1"/>
  <c r="A42" i="84" s="1"/>
  <c r="A43" i="84" s="1"/>
  <c r="A44" i="84" s="1"/>
  <c r="A45" i="84" s="1"/>
  <c r="J26" i="84"/>
  <c r="H29" i="83"/>
  <c r="I29" i="83" s="1"/>
  <c r="K26" i="84" s="1"/>
  <c r="I24" i="84"/>
  <c r="H24" i="84"/>
  <c r="G24" i="84"/>
  <c r="G14" i="84"/>
  <c r="F24" i="84"/>
  <c r="E24" i="84"/>
  <c r="D24" i="84"/>
  <c r="J23" i="84"/>
  <c r="J22" i="84"/>
  <c r="H25" i="83"/>
  <c r="I25" i="83" s="1"/>
  <c r="K22" i="84" s="1"/>
  <c r="J21" i="84"/>
  <c r="H24" i="83"/>
  <c r="J20" i="84"/>
  <c r="J19" i="84"/>
  <c r="H22" i="83"/>
  <c r="I22" i="83" s="1"/>
  <c r="K19" i="84" s="1"/>
  <c r="J18" i="84"/>
  <c r="H21" i="83"/>
  <c r="I21" i="83" s="1"/>
  <c r="K18" i="84" s="1"/>
  <c r="J17" i="84"/>
  <c r="J24" i="84" s="1"/>
  <c r="H20" i="83"/>
  <c r="I20" i="83" s="1"/>
  <c r="A17" i="84"/>
  <c r="A18" i="84" s="1"/>
  <c r="A19" i="84" s="1"/>
  <c r="A20" i="84" s="1"/>
  <c r="A21" i="84" s="1"/>
  <c r="A22" i="84" s="1"/>
  <c r="A23" i="84" s="1"/>
  <c r="I14" i="84"/>
  <c r="I28" i="84" s="1"/>
  <c r="I48" i="84" s="1"/>
  <c r="H14" i="84"/>
  <c r="F14" i="84"/>
  <c r="F28" i="84" s="1"/>
  <c r="E14" i="84"/>
  <c r="D14" i="84"/>
  <c r="D28" i="84" s="1"/>
  <c r="J13" i="84"/>
  <c r="J12" i="84"/>
  <c r="H15" i="83"/>
  <c r="I15" i="83" s="1"/>
  <c r="K12" i="84" s="1"/>
  <c r="J11" i="84"/>
  <c r="J9" i="84"/>
  <c r="J10" i="84"/>
  <c r="H14" i="83"/>
  <c r="I14" i="83" s="1"/>
  <c r="K11" i="84" s="1"/>
  <c r="H13" i="83"/>
  <c r="I13" i="83" s="1"/>
  <c r="K10" i="84" s="1"/>
  <c r="H12" i="83"/>
  <c r="A9" i="84"/>
  <c r="A10" i="84"/>
  <c r="A11" i="84" s="1"/>
  <c r="A12" i="84" s="1"/>
  <c r="A13" i="84" s="1"/>
  <c r="H23" i="83"/>
  <c r="I23" i="83"/>
  <c r="K20" i="84" s="1"/>
  <c r="F27" i="83"/>
  <c r="F17" i="83"/>
  <c r="F49" i="83"/>
  <c r="G49" i="83"/>
  <c r="G17" i="83"/>
  <c r="G20" i="83"/>
  <c r="F31" i="83"/>
  <c r="F51" i="83"/>
  <c r="G27" i="83"/>
  <c r="G31" i="83"/>
  <c r="G51" i="83"/>
  <c r="D32" i="57"/>
  <c r="E17" i="57"/>
  <c r="D17" i="57"/>
  <c r="C17" i="57" s="1"/>
  <c r="E16" i="57"/>
  <c r="D16" i="57"/>
  <c r="E15" i="57"/>
  <c r="D15" i="57"/>
  <c r="E11" i="57"/>
  <c r="D11" i="57"/>
  <c r="E10" i="57"/>
  <c r="D10" i="57"/>
  <c r="E42" i="30"/>
  <c r="E22" i="30" s="1"/>
  <c r="E58" i="4"/>
  <c r="D58" i="4"/>
  <c r="C58" i="4"/>
  <c r="M102" i="4"/>
  <c r="M105" i="4"/>
  <c r="M104" i="4"/>
  <c r="M103" i="4"/>
  <c r="M101" i="4"/>
  <c r="M100" i="4"/>
  <c r="M99" i="4"/>
  <c r="M98" i="4"/>
  <c r="M97" i="4"/>
  <c r="M96" i="4"/>
  <c r="M95" i="4"/>
  <c r="M94" i="4"/>
  <c r="E142" i="4"/>
  <c r="E141" i="4"/>
  <c r="E140" i="4"/>
  <c r="E139" i="4"/>
  <c r="E138" i="4"/>
  <c r="E136" i="4"/>
  <c r="E135" i="4"/>
  <c r="E134" i="4"/>
  <c r="E133" i="4"/>
  <c r="E132" i="4"/>
  <c r="L142" i="4"/>
  <c r="L141" i="4"/>
  <c r="L140" i="4"/>
  <c r="L139" i="4"/>
  <c r="L138" i="4"/>
  <c r="L137" i="4"/>
  <c r="L136" i="4"/>
  <c r="L135" i="4"/>
  <c r="L134" i="4"/>
  <c r="L133" i="4"/>
  <c r="L132" i="4"/>
  <c r="K137" i="4"/>
  <c r="K142" i="4"/>
  <c r="K141" i="4"/>
  <c r="K140" i="4"/>
  <c r="K139" i="4"/>
  <c r="K138" i="4"/>
  <c r="K136" i="4"/>
  <c r="K135" i="4"/>
  <c r="K134" i="4"/>
  <c r="K133" i="4"/>
  <c r="K132" i="4"/>
  <c r="J142" i="4"/>
  <c r="J141" i="4"/>
  <c r="J140" i="4"/>
  <c r="J139" i="4"/>
  <c r="J138" i="4"/>
  <c r="J137" i="4"/>
  <c r="J135" i="4"/>
  <c r="J134" i="4"/>
  <c r="J133" i="4"/>
  <c r="J132" i="4"/>
  <c r="I142" i="4"/>
  <c r="I141" i="4"/>
  <c r="I140" i="4"/>
  <c r="I139" i="4"/>
  <c r="I138" i="4"/>
  <c r="I137" i="4"/>
  <c r="I136" i="4"/>
  <c r="I135" i="4"/>
  <c r="I134" i="4"/>
  <c r="I133" i="4"/>
  <c r="I132" i="4"/>
  <c r="H142" i="4"/>
  <c r="H141" i="4"/>
  <c r="H138" i="4"/>
  <c r="H140" i="4"/>
  <c r="H139" i="4"/>
  <c r="H137" i="4"/>
  <c r="H136" i="4"/>
  <c r="H135" i="4"/>
  <c r="H134" i="4"/>
  <c r="H133" i="4"/>
  <c r="H132" i="4"/>
  <c r="G136" i="4"/>
  <c r="G140" i="4"/>
  <c r="G142" i="4"/>
  <c r="G141" i="4"/>
  <c r="G139" i="4"/>
  <c r="G138" i="4"/>
  <c r="G137" i="4"/>
  <c r="G135" i="4"/>
  <c r="G134" i="4"/>
  <c r="G133" i="4"/>
  <c r="G132" i="4"/>
  <c r="F142" i="4"/>
  <c r="F141" i="4"/>
  <c r="F140" i="4"/>
  <c r="F139" i="4"/>
  <c r="F138" i="4"/>
  <c r="F137" i="4"/>
  <c r="F136" i="4"/>
  <c r="F135" i="4"/>
  <c r="F134" i="4"/>
  <c r="F133" i="4"/>
  <c r="F132" i="4"/>
  <c r="E137" i="4"/>
  <c r="D143" i="4"/>
  <c r="D142" i="4"/>
  <c r="D141" i="4"/>
  <c r="D140" i="4"/>
  <c r="D139" i="4"/>
  <c r="D138" i="4"/>
  <c r="D137" i="4"/>
  <c r="D136" i="4"/>
  <c r="D135" i="4"/>
  <c r="D134" i="4"/>
  <c r="D133" i="4"/>
  <c r="D132" i="4"/>
  <c r="C136" i="4"/>
  <c r="C140" i="4"/>
  <c r="C143" i="4"/>
  <c r="C142" i="4"/>
  <c r="C141" i="4"/>
  <c r="C139" i="4"/>
  <c r="C138" i="4"/>
  <c r="C137" i="4"/>
  <c r="C135" i="4"/>
  <c r="C134" i="4"/>
  <c r="C133" i="4"/>
  <c r="L183" i="4"/>
  <c r="L182" i="4"/>
  <c r="L181" i="4"/>
  <c r="L180" i="4"/>
  <c r="L177" i="4"/>
  <c r="L176" i="4"/>
  <c r="L175" i="4"/>
  <c r="L174" i="4"/>
  <c r="L173" i="4"/>
  <c r="L172" i="4"/>
  <c r="K183" i="4"/>
  <c r="K182" i="4"/>
  <c r="K181" i="4"/>
  <c r="K180" i="4"/>
  <c r="K179" i="4"/>
  <c r="K178" i="4"/>
  <c r="K177" i="4"/>
  <c r="K176" i="4"/>
  <c r="K175" i="4"/>
  <c r="K174" i="4"/>
  <c r="K173" i="4"/>
  <c r="K172" i="4"/>
  <c r="J180" i="4"/>
  <c r="J183" i="4"/>
  <c r="J182" i="4"/>
  <c r="J181" i="4"/>
  <c r="J179" i="4"/>
  <c r="J178" i="4"/>
  <c r="J177" i="4"/>
  <c r="J176" i="4"/>
  <c r="J175" i="4"/>
  <c r="J174" i="4"/>
  <c r="J173" i="4"/>
  <c r="J172" i="4"/>
  <c r="I183" i="4"/>
  <c r="I182" i="4"/>
  <c r="I181" i="4"/>
  <c r="I180" i="4"/>
  <c r="I179" i="4"/>
  <c r="I178" i="4"/>
  <c r="I177" i="4"/>
  <c r="I176" i="4"/>
  <c r="I175" i="4"/>
  <c r="I174" i="4"/>
  <c r="I173" i="4"/>
  <c r="I172" i="4"/>
  <c r="H183" i="4"/>
  <c r="H182" i="4"/>
  <c r="H181" i="4"/>
  <c r="H180" i="4"/>
  <c r="H179" i="4"/>
  <c r="H178" i="4"/>
  <c r="H177" i="4"/>
  <c r="H176" i="4"/>
  <c r="H175" i="4"/>
  <c r="H174" i="4"/>
  <c r="H173" i="4"/>
  <c r="H172" i="4"/>
  <c r="G182" i="4"/>
  <c r="G183" i="4"/>
  <c r="G181" i="4"/>
  <c r="G180" i="4"/>
  <c r="G179" i="4"/>
  <c r="G178" i="4"/>
  <c r="G177" i="4"/>
  <c r="G176" i="4"/>
  <c r="G175" i="4"/>
  <c r="G174" i="4"/>
  <c r="G173" i="4"/>
  <c r="G172" i="4"/>
  <c r="D179" i="4"/>
  <c r="D183" i="4"/>
  <c r="E182" i="4"/>
  <c r="E183" i="4"/>
  <c r="E181" i="4"/>
  <c r="E180" i="4"/>
  <c r="E179" i="4"/>
  <c r="E178" i="4"/>
  <c r="E177" i="4"/>
  <c r="E176" i="4"/>
  <c r="E175" i="4"/>
  <c r="F179" i="4"/>
  <c r="F183" i="4"/>
  <c r="F182" i="4"/>
  <c r="F181" i="4"/>
  <c r="F180" i="4"/>
  <c r="F178" i="4"/>
  <c r="F177" i="4"/>
  <c r="F176" i="4"/>
  <c r="F175" i="4"/>
  <c r="F174" i="4"/>
  <c r="F173" i="4"/>
  <c r="F172" i="4"/>
  <c r="F184" i="4" s="1"/>
  <c r="E174" i="4"/>
  <c r="E173" i="4"/>
  <c r="E172" i="4"/>
  <c r="D177" i="4"/>
  <c r="D182" i="4"/>
  <c r="D181" i="4"/>
  <c r="D180" i="4"/>
  <c r="D178" i="4"/>
  <c r="D176" i="4"/>
  <c r="D175" i="4"/>
  <c r="D174" i="4"/>
  <c r="D173" i="4"/>
  <c r="D172" i="4"/>
  <c r="C176" i="4"/>
  <c r="C181" i="4"/>
  <c r="C183" i="4"/>
  <c r="C182" i="4"/>
  <c r="C180" i="4"/>
  <c r="C179" i="4"/>
  <c r="C178" i="4"/>
  <c r="C177" i="4"/>
  <c r="C175" i="4"/>
  <c r="C174" i="4"/>
  <c r="C173" i="4"/>
  <c r="C172" i="4"/>
  <c r="M164" i="4"/>
  <c r="M163" i="4"/>
  <c r="M162" i="4"/>
  <c r="M161" i="4"/>
  <c r="M160" i="4"/>
  <c r="M159" i="4"/>
  <c r="M158" i="4"/>
  <c r="M157" i="4"/>
  <c r="M156" i="4"/>
  <c r="M155" i="4"/>
  <c r="M154" i="4"/>
  <c r="M153" i="4"/>
  <c r="M152" i="4"/>
  <c r="J43" i="82"/>
  <c r="J41" i="82"/>
  <c r="J40" i="82"/>
  <c r="J26" i="82"/>
  <c r="J10" i="82"/>
  <c r="J8" i="82"/>
  <c r="L33" i="82"/>
  <c r="L34" i="82"/>
  <c r="C26" i="72"/>
  <c r="L44" i="82" s="1"/>
  <c r="A26" i="72"/>
  <c r="J44" i="82" s="1"/>
  <c r="C24" i="72"/>
  <c r="L43" i="82" s="1"/>
  <c r="C22" i="72"/>
  <c r="L40" i="82" s="1"/>
  <c r="C20" i="72"/>
  <c r="L28" i="82" s="1"/>
  <c r="L42" i="82" s="1"/>
  <c r="C18" i="72"/>
  <c r="L27" i="82" s="1"/>
  <c r="A18" i="72"/>
  <c r="A20" i="72" s="1"/>
  <c r="J28" i="82" s="1"/>
  <c r="C16" i="72"/>
  <c r="L41" i="82" s="1"/>
  <c r="C14" i="72"/>
  <c r="L11" i="82" s="1"/>
  <c r="C12" i="72"/>
  <c r="L10" i="82" s="1"/>
  <c r="C10" i="72"/>
  <c r="L9" i="82" s="1"/>
  <c r="A10" i="72"/>
  <c r="A14" i="72" s="1"/>
  <c r="J11" i="82" s="1"/>
  <c r="C8" i="72"/>
  <c r="L8" i="82" s="1"/>
  <c r="A9" i="82"/>
  <c r="A11" i="82"/>
  <c r="A15" i="82"/>
  <c r="I63" i="1"/>
  <c r="J9" i="82"/>
  <c r="A16" i="82"/>
  <c r="A17" i="82"/>
  <c r="A18" i="82"/>
  <c r="A19" i="82"/>
  <c r="I64" i="1"/>
  <c r="J21" i="82"/>
  <c r="J12" i="82"/>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N82" i="61"/>
  <c r="J82" i="61"/>
  <c r="M82" i="61" s="1"/>
  <c r="G82" i="61"/>
  <c r="I82" i="61" s="1"/>
  <c r="L21" i="46"/>
  <c r="D84" i="46" s="1"/>
  <c r="H84" i="46" s="1"/>
  <c r="L20" i="46"/>
  <c r="D83" i="46" s="1"/>
  <c r="L19" i="46"/>
  <c r="D82" i="46" s="1"/>
  <c r="L18" i="46"/>
  <c r="L17" i="46"/>
  <c r="D80" i="46" s="1"/>
  <c r="H80" i="46" s="1"/>
  <c r="L16" i="46"/>
  <c r="L15" i="46"/>
  <c r="D78" i="46" s="1"/>
  <c r="H78" i="46" s="1"/>
  <c r="L14" i="46"/>
  <c r="D77" i="46" s="1"/>
  <c r="H77" i="46" s="1"/>
  <c r="L13" i="46"/>
  <c r="D76" i="46" s="1"/>
  <c r="L12" i="46"/>
  <c r="L22" i="46"/>
  <c r="D85" i="46" s="1"/>
  <c r="H85" i="46" s="1"/>
  <c r="L23" i="46"/>
  <c r="D86" i="46" s="1"/>
  <c r="H86" i="46" s="1"/>
  <c r="L24" i="46"/>
  <c r="D87" i="46" s="1"/>
  <c r="L25" i="46"/>
  <c r="D88" i="46" s="1"/>
  <c r="H88" i="46" s="1"/>
  <c r="L26" i="46"/>
  <c r="L27" i="46"/>
  <c r="D90" i="46" s="1"/>
  <c r="L28" i="46"/>
  <c r="D91" i="46" s="1"/>
  <c r="H91" i="46" s="1"/>
  <c r="L29" i="46"/>
  <c r="D92" i="46" s="1"/>
  <c r="H92" i="46" s="1"/>
  <c r="L30" i="46"/>
  <c r="D93" i="46" s="1"/>
  <c r="L31" i="46"/>
  <c r="D94" i="46" s="1"/>
  <c r="H94" i="46" s="1"/>
  <c r="L32" i="46"/>
  <c r="D95" i="46" s="1"/>
  <c r="L33" i="46"/>
  <c r="L34" i="46"/>
  <c r="D97" i="46" s="1"/>
  <c r="L35" i="46"/>
  <c r="D98" i="46" s="1"/>
  <c r="H98" i="46" s="1"/>
  <c r="L36" i="46"/>
  <c r="D99" i="46" s="1"/>
  <c r="L37" i="46"/>
  <c r="D100" i="46" s="1"/>
  <c r="H100" i="46" s="1"/>
  <c r="L38" i="46"/>
  <c r="D101" i="46" s="1"/>
  <c r="L39" i="46"/>
  <c r="D102" i="46" s="1"/>
  <c r="H102" i="46" s="1"/>
  <c r="L40" i="46"/>
  <c r="D103" i="46" s="1"/>
  <c r="F8" i="42"/>
  <c r="E21" i="32" s="1"/>
  <c r="D53" i="2"/>
  <c r="D54" i="2" s="1"/>
  <c r="A68" i="15"/>
  <c r="A69" i="15" s="1"/>
  <c r="E53" i="56"/>
  <c r="E55" i="56" s="1"/>
  <c r="F49" i="56"/>
  <c r="I28" i="53"/>
  <c r="H28" i="53"/>
  <c r="G28" i="53"/>
  <c r="F28" i="53"/>
  <c r="E130" i="53"/>
  <c r="D130" i="53"/>
  <c r="C130" i="53"/>
  <c r="I43" i="46"/>
  <c r="E43" i="46"/>
  <c r="D43" i="46"/>
  <c r="C11" i="46"/>
  <c r="G10" i="2"/>
  <c r="L53" i="61"/>
  <c r="H53" i="61"/>
  <c r="E53" i="61"/>
  <c r="L45" i="61"/>
  <c r="H45" i="61"/>
  <c r="L8" i="61"/>
  <c r="H8" i="61"/>
  <c r="E210" i="61"/>
  <c r="E205" i="61"/>
  <c r="E199" i="61"/>
  <c r="E78" i="26"/>
  <c r="H47" i="26" s="1"/>
  <c r="D47" i="26" s="1"/>
  <c r="G13" i="26" s="1"/>
  <c r="F78" i="26"/>
  <c r="E71" i="26"/>
  <c r="G11" i="2" s="1"/>
  <c r="I58" i="46"/>
  <c r="E58" i="46"/>
  <c r="D58" i="46"/>
  <c r="G76" i="48"/>
  <c r="H76" i="48" s="1"/>
  <c r="J385" i="49"/>
  <c r="H135" i="64"/>
  <c r="P55" i="48"/>
  <c r="I37" i="79"/>
  <c r="G37" i="79"/>
  <c r="F69" i="22"/>
  <c r="F46" i="22" s="1"/>
  <c r="F53" i="22" s="1"/>
  <c r="F63" i="22"/>
  <c r="F34" i="22" s="1"/>
  <c r="F23" i="22"/>
  <c r="E24" i="54"/>
  <c r="D24" i="54"/>
  <c r="E155" i="49"/>
  <c r="G46" i="49"/>
  <c r="E17" i="71" s="1"/>
  <c r="E16" i="71"/>
  <c r="E15" i="71"/>
  <c r="D46" i="49"/>
  <c r="E14" i="71" s="1"/>
  <c r="I26" i="49"/>
  <c r="E13" i="71" s="1"/>
  <c r="H26" i="49"/>
  <c r="E12" i="71" s="1"/>
  <c r="G26" i="49"/>
  <c r="E11" i="71" s="1"/>
  <c r="F26" i="49"/>
  <c r="E10" i="71" s="1"/>
  <c r="E56" i="71" s="1"/>
  <c r="E9" i="71"/>
  <c r="F75" i="21"/>
  <c r="E75" i="21"/>
  <c r="D75" i="21"/>
  <c r="G74" i="21"/>
  <c r="G73" i="21"/>
  <c r="C53" i="56"/>
  <c r="C55" i="56" s="1"/>
  <c r="E26" i="56"/>
  <c r="F26" i="56" s="1"/>
  <c r="E12" i="56"/>
  <c r="E17" i="56" s="1"/>
  <c r="D66" i="65"/>
  <c r="B45" i="53"/>
  <c r="I128" i="15"/>
  <c r="N205" i="61"/>
  <c r="M205" i="61"/>
  <c r="L205" i="61"/>
  <c r="J205" i="61"/>
  <c r="I205" i="61"/>
  <c r="H205" i="61"/>
  <c r="G205" i="61"/>
  <c r="L255" i="61"/>
  <c r="N252" i="61"/>
  <c r="N251" i="61"/>
  <c r="N250" i="61"/>
  <c r="N249" i="61"/>
  <c r="N248" i="61"/>
  <c r="J252" i="61"/>
  <c r="M252" i="61" s="1"/>
  <c r="J251" i="61"/>
  <c r="M251" i="61" s="1"/>
  <c r="J250" i="61"/>
  <c r="M250" i="61" s="1"/>
  <c r="J249" i="61"/>
  <c r="M249" i="61" s="1"/>
  <c r="J248" i="61"/>
  <c r="M248" i="61" s="1"/>
  <c r="H243" i="61"/>
  <c r="N108" i="61"/>
  <c r="N107" i="61"/>
  <c r="N106" i="61"/>
  <c r="N105" i="61"/>
  <c r="N104" i="61"/>
  <c r="N103" i="61"/>
  <c r="N101" i="61"/>
  <c r="N100" i="61"/>
  <c r="N99" i="61"/>
  <c r="N98" i="61"/>
  <c r="N97" i="61"/>
  <c r="N96" i="61"/>
  <c r="N95" i="61"/>
  <c r="N94" i="61"/>
  <c r="N93" i="61"/>
  <c r="J108" i="61"/>
  <c r="M108" i="61" s="1"/>
  <c r="J107" i="61"/>
  <c r="M107" i="61" s="1"/>
  <c r="J106" i="61"/>
  <c r="M106" i="61" s="1"/>
  <c r="J105" i="61"/>
  <c r="M105" i="61" s="1"/>
  <c r="J104" i="61"/>
  <c r="M104" i="61" s="1"/>
  <c r="J103" i="61"/>
  <c r="M103" i="61" s="1"/>
  <c r="J102" i="61"/>
  <c r="M102" i="61" s="1"/>
  <c r="J101" i="61"/>
  <c r="M101" i="61" s="1"/>
  <c r="J100" i="61"/>
  <c r="M100" i="61" s="1"/>
  <c r="J99" i="61"/>
  <c r="M99" i="61" s="1"/>
  <c r="J98" i="61"/>
  <c r="M98" i="61" s="1"/>
  <c r="J97" i="61"/>
  <c r="M97" i="61" s="1"/>
  <c r="J96" i="61"/>
  <c r="M96" i="61" s="1"/>
  <c r="J95" i="61"/>
  <c r="M95" i="61" s="1"/>
  <c r="J94" i="61"/>
  <c r="M94" i="61" s="1"/>
  <c r="J93" i="61"/>
  <c r="M93" i="61" s="1"/>
  <c r="N190" i="61"/>
  <c r="N189" i="61"/>
  <c r="N188" i="61"/>
  <c r="N187" i="61"/>
  <c r="N186" i="61"/>
  <c r="N185" i="61"/>
  <c r="N184" i="61"/>
  <c r="N183" i="61"/>
  <c r="N182" i="61"/>
  <c r="N181" i="61"/>
  <c r="N180" i="61"/>
  <c r="N179" i="61"/>
  <c r="N178" i="61"/>
  <c r="N177" i="61"/>
  <c r="N176" i="61"/>
  <c r="N175" i="61"/>
  <c r="N174" i="61"/>
  <c r="N173" i="61"/>
  <c r="N172" i="61"/>
  <c r="N171" i="61"/>
  <c r="J190" i="61"/>
  <c r="M190" i="61" s="1"/>
  <c r="J189" i="61"/>
  <c r="M189" i="61" s="1"/>
  <c r="J188" i="61"/>
  <c r="M188" i="61" s="1"/>
  <c r="J187" i="61"/>
  <c r="M187" i="61" s="1"/>
  <c r="J186" i="61"/>
  <c r="M186" i="61" s="1"/>
  <c r="J184" i="61"/>
  <c r="M184" i="61" s="1"/>
  <c r="J183" i="61"/>
  <c r="M183" i="61" s="1"/>
  <c r="J182" i="61"/>
  <c r="M182" i="61" s="1"/>
  <c r="J181" i="61"/>
  <c r="M181" i="61" s="1"/>
  <c r="J180" i="61"/>
  <c r="M180" i="61" s="1"/>
  <c r="J179" i="61"/>
  <c r="M179" i="61" s="1"/>
  <c r="J178" i="61"/>
  <c r="M178" i="61" s="1"/>
  <c r="J177" i="61"/>
  <c r="M177" i="61" s="1"/>
  <c r="J176" i="61"/>
  <c r="M176" i="61" s="1"/>
  <c r="J175" i="61"/>
  <c r="M175" i="61" s="1"/>
  <c r="J174" i="61"/>
  <c r="M174" i="61" s="1"/>
  <c r="J173" i="61"/>
  <c r="M173" i="61" s="1"/>
  <c r="J172" i="61"/>
  <c r="M172" i="61" s="1"/>
  <c r="J171" i="61"/>
  <c r="M171" i="61" s="1"/>
  <c r="G190" i="61"/>
  <c r="I190" i="61" s="1"/>
  <c r="G189" i="61"/>
  <c r="I189" i="61" s="1"/>
  <c r="G188" i="61"/>
  <c r="I188" i="61" s="1"/>
  <c r="G187" i="61"/>
  <c r="I187" i="61" s="1"/>
  <c r="G186" i="61"/>
  <c r="I186" i="61" s="1"/>
  <c r="G185" i="61"/>
  <c r="I185" i="61" s="1"/>
  <c r="G183" i="61"/>
  <c r="I183" i="61" s="1"/>
  <c r="G182" i="61"/>
  <c r="I182" i="61" s="1"/>
  <c r="G181" i="61"/>
  <c r="I181" i="61" s="1"/>
  <c r="G180" i="61"/>
  <c r="I180" i="61" s="1"/>
  <c r="G179" i="61"/>
  <c r="I179" i="61" s="1"/>
  <c r="G178" i="61"/>
  <c r="I178" i="61" s="1"/>
  <c r="G177" i="61"/>
  <c r="H177" i="61" s="1"/>
  <c r="G176" i="61"/>
  <c r="I176" i="61" s="1"/>
  <c r="G175" i="61"/>
  <c r="I175" i="61" s="1"/>
  <c r="G174" i="61"/>
  <c r="I174" i="61" s="1"/>
  <c r="G173" i="61"/>
  <c r="I173" i="61" s="1"/>
  <c r="G172" i="61"/>
  <c r="I172" i="61" s="1"/>
  <c r="G171" i="61"/>
  <c r="H171" i="61" s="1"/>
  <c r="I171" i="61" s="1"/>
  <c r="N140" i="61"/>
  <c r="N139" i="61"/>
  <c r="N138" i="61"/>
  <c r="N137" i="61"/>
  <c r="N136" i="61"/>
  <c r="N135" i="61"/>
  <c r="N134" i="61"/>
  <c r="N133" i="61"/>
  <c r="N132" i="61"/>
  <c r="N131" i="61"/>
  <c r="N130" i="61"/>
  <c r="N121" i="61"/>
  <c r="J142" i="61"/>
  <c r="M142" i="61" s="1"/>
  <c r="J141" i="61"/>
  <c r="M141" i="61" s="1"/>
  <c r="J140" i="61"/>
  <c r="M140" i="61" s="1"/>
  <c r="J139" i="61"/>
  <c r="M139" i="61" s="1"/>
  <c r="J138" i="61"/>
  <c r="M138" i="61" s="1"/>
  <c r="J137" i="61"/>
  <c r="M137" i="61" s="1"/>
  <c r="J136" i="61"/>
  <c r="M136" i="61" s="1"/>
  <c r="J135" i="61"/>
  <c r="M135" i="61" s="1"/>
  <c r="J134" i="61"/>
  <c r="M134" i="61" s="1"/>
  <c r="J133" i="61"/>
  <c r="M133" i="61" s="1"/>
  <c r="J132" i="61"/>
  <c r="M132" i="61" s="1"/>
  <c r="J131" i="61"/>
  <c r="M131" i="61" s="1"/>
  <c r="J130" i="61"/>
  <c r="M130" i="61" s="1"/>
  <c r="J127" i="61"/>
  <c r="M127" i="61" s="1"/>
  <c r="J126" i="61"/>
  <c r="M126" i="61" s="1"/>
  <c r="J125" i="61"/>
  <c r="M125" i="61" s="1"/>
  <c r="J124" i="61"/>
  <c r="M124" i="61" s="1"/>
  <c r="J123" i="61"/>
  <c r="M123" i="61" s="1"/>
  <c r="J122" i="61"/>
  <c r="M122" i="61" s="1"/>
  <c r="J121" i="61"/>
  <c r="M121" i="61" s="1"/>
  <c r="J120" i="61"/>
  <c r="M120" i="61" s="1"/>
  <c r="G142" i="61"/>
  <c r="I142" i="61" s="1"/>
  <c r="G141" i="61"/>
  <c r="I141" i="61" s="1"/>
  <c r="G127" i="61"/>
  <c r="I127" i="61" s="1"/>
  <c r="G126" i="61"/>
  <c r="I126" i="61" s="1"/>
  <c r="G125" i="61"/>
  <c r="I125" i="61" s="1"/>
  <c r="G124" i="61"/>
  <c r="I124" i="61" s="1"/>
  <c r="G123" i="61"/>
  <c r="I123" i="61" s="1"/>
  <c r="G122" i="61"/>
  <c r="I122" i="61" s="1"/>
  <c r="G120" i="61"/>
  <c r="I120" i="61" s="1"/>
  <c r="G119" i="61"/>
  <c r="I119" i="61" s="1"/>
  <c r="G118" i="61"/>
  <c r="I118" i="61" s="1"/>
  <c r="G117" i="61"/>
  <c r="I117" i="61" s="1"/>
  <c r="G116" i="61"/>
  <c r="I116" i="61" s="1"/>
  <c r="G115" i="61"/>
  <c r="I115" i="61" s="1"/>
  <c r="G114" i="61"/>
  <c r="I114" i="61" s="1"/>
  <c r="G113" i="61"/>
  <c r="I113" i="61" s="1"/>
  <c r="G112" i="61"/>
  <c r="I112" i="61" s="1"/>
  <c r="G111" i="61"/>
  <c r="I111" i="61" s="1"/>
  <c r="G110" i="61"/>
  <c r="I110" i="61" s="1"/>
  <c r="G109" i="61"/>
  <c r="I109" i="61" s="1"/>
  <c r="N79" i="61"/>
  <c r="N78" i="61"/>
  <c r="N77" i="61"/>
  <c r="N76" i="61"/>
  <c r="N75" i="61"/>
  <c r="J79" i="61"/>
  <c r="M79" i="61" s="1"/>
  <c r="J76" i="61"/>
  <c r="M76" i="61" s="1"/>
  <c r="J75" i="61"/>
  <c r="M75" i="61" s="1"/>
  <c r="J78" i="61"/>
  <c r="M78" i="61" s="1"/>
  <c r="N73" i="61"/>
  <c r="N72" i="61"/>
  <c r="N71" i="61"/>
  <c r="N70" i="61"/>
  <c r="N69" i="61"/>
  <c r="J73" i="61"/>
  <c r="M73" i="61" s="1"/>
  <c r="J72" i="61"/>
  <c r="M72" i="61" s="1"/>
  <c r="J71" i="61"/>
  <c r="M71" i="61" s="1"/>
  <c r="J70" i="61"/>
  <c r="M70" i="61" s="1"/>
  <c r="J69" i="61"/>
  <c r="M69" i="61" s="1"/>
  <c r="G69" i="61"/>
  <c r="I69" i="61" s="1"/>
  <c r="N68" i="61"/>
  <c r="H68" i="61"/>
  <c r="H67" i="61"/>
  <c r="G79" i="61"/>
  <c r="I79" i="61" s="1"/>
  <c r="G78" i="61"/>
  <c r="I78" i="61" s="1"/>
  <c r="G77" i="61"/>
  <c r="I77" i="61" s="1"/>
  <c r="G75" i="61"/>
  <c r="I75" i="61" s="1"/>
  <c r="G74" i="61"/>
  <c r="I74" i="61" s="1"/>
  <c r="G73" i="61"/>
  <c r="I73" i="61" s="1"/>
  <c r="G72" i="61"/>
  <c r="I72" i="61" s="1"/>
  <c r="G71" i="61"/>
  <c r="I71" i="61" s="1"/>
  <c r="G70" i="61"/>
  <c r="I70" i="61" s="1"/>
  <c r="J67" i="61"/>
  <c r="M67" i="61" s="1"/>
  <c r="N59" i="61"/>
  <c r="N58" i="61"/>
  <c r="N57" i="61"/>
  <c r="N56" i="61"/>
  <c r="J56" i="61"/>
  <c r="G59" i="61"/>
  <c r="I59" i="61" s="1"/>
  <c r="G58" i="61"/>
  <c r="I58" i="61" s="1"/>
  <c r="G57" i="61"/>
  <c r="I57" i="61" s="1"/>
  <c r="G56" i="61"/>
  <c r="I56" i="61" s="1"/>
  <c r="N149" i="61"/>
  <c r="G149" i="61"/>
  <c r="I149" i="61" s="1"/>
  <c r="N148" i="61"/>
  <c r="N147" i="61"/>
  <c r="N145" i="61"/>
  <c r="N144" i="61"/>
  <c r="N143" i="61"/>
  <c r="J143" i="61"/>
  <c r="M143" i="61" s="1"/>
  <c r="J144" i="61"/>
  <c r="M144" i="61" s="1"/>
  <c r="J145" i="61"/>
  <c r="M145" i="61" s="1"/>
  <c r="J146" i="61"/>
  <c r="M146" i="61" s="1"/>
  <c r="J147" i="61"/>
  <c r="M147" i="61" s="1"/>
  <c r="J148" i="61"/>
  <c r="M148" i="61" s="1"/>
  <c r="L199" i="61"/>
  <c r="H65" i="61"/>
  <c r="G65" i="61" s="1"/>
  <c r="J64" i="61"/>
  <c r="M64" i="61" s="1"/>
  <c r="G64" i="61"/>
  <c r="I64" i="61" s="1"/>
  <c r="N27" i="61"/>
  <c r="N26" i="61"/>
  <c r="N25" i="61"/>
  <c r="N24" i="61"/>
  <c r="N23" i="61"/>
  <c r="N22" i="61"/>
  <c r="N21" i="61"/>
  <c r="J27" i="61"/>
  <c r="M27" i="61" s="1"/>
  <c r="J26" i="61"/>
  <c r="M26" i="61" s="1"/>
  <c r="J25" i="61"/>
  <c r="M25" i="61" s="1"/>
  <c r="J24" i="61"/>
  <c r="M24" i="61" s="1"/>
  <c r="J23" i="61"/>
  <c r="M23" i="61" s="1"/>
  <c r="J22" i="61"/>
  <c r="M22" i="61" s="1"/>
  <c r="J21" i="61"/>
  <c r="M21" i="61" s="1"/>
  <c r="G26" i="61"/>
  <c r="I26" i="61" s="1"/>
  <c r="G25" i="61"/>
  <c r="I25" i="61" s="1"/>
  <c r="G24" i="61"/>
  <c r="I24" i="61" s="1"/>
  <c r="G23" i="61"/>
  <c r="I23" i="61" s="1"/>
  <c r="G22" i="61"/>
  <c r="I22" i="61" s="1"/>
  <c r="G21" i="61"/>
  <c r="I21" i="61" s="1"/>
  <c r="N19" i="61"/>
  <c r="J19" i="61"/>
  <c r="M19" i="61" s="1"/>
  <c r="G19" i="61"/>
  <c r="I19" i="61" s="1"/>
  <c r="H252" i="61"/>
  <c r="H255" i="61" s="1"/>
  <c r="G251" i="61"/>
  <c r="I251" i="61" s="1"/>
  <c r="G250" i="61"/>
  <c r="I250" i="61" s="1"/>
  <c r="G249" i="61"/>
  <c r="I249" i="61" s="1"/>
  <c r="G248" i="61"/>
  <c r="I248" i="61" s="1"/>
  <c r="J228" i="61"/>
  <c r="M228" i="61" s="1"/>
  <c r="J227" i="61"/>
  <c r="M227" i="61" s="1"/>
  <c r="J226" i="61"/>
  <c r="M226" i="61" s="1"/>
  <c r="J225" i="61"/>
  <c r="M225" i="61" s="1"/>
  <c r="J224" i="61"/>
  <c r="M224" i="61" s="1"/>
  <c r="J223" i="61"/>
  <c r="M223" i="61" s="1"/>
  <c r="J222" i="61"/>
  <c r="M222" i="61" s="1"/>
  <c r="J221" i="61"/>
  <c r="M221" i="61" s="1"/>
  <c r="J220" i="61"/>
  <c r="M220" i="61" s="1"/>
  <c r="J219" i="61"/>
  <c r="M219" i="61" s="1"/>
  <c r="J218" i="61"/>
  <c r="M218" i="61" s="1"/>
  <c r="J217" i="61"/>
  <c r="M217" i="61" s="1"/>
  <c r="J216" i="61"/>
  <c r="M216" i="61" s="1"/>
  <c r="J215" i="61"/>
  <c r="M215" i="61" s="1"/>
  <c r="J214" i="61"/>
  <c r="M214" i="61" s="1"/>
  <c r="G228" i="61"/>
  <c r="I228" i="61" s="1"/>
  <c r="G227" i="61"/>
  <c r="I227" i="61" s="1"/>
  <c r="G226" i="61"/>
  <c r="I226" i="61" s="1"/>
  <c r="G225" i="61"/>
  <c r="I225" i="61" s="1"/>
  <c r="G224" i="61"/>
  <c r="I224" i="61" s="1"/>
  <c r="G223" i="61"/>
  <c r="I223" i="61" s="1"/>
  <c r="G222" i="61"/>
  <c r="I222" i="61" s="1"/>
  <c r="G221" i="61"/>
  <c r="I221" i="61" s="1"/>
  <c r="G220" i="61"/>
  <c r="I220" i="61" s="1"/>
  <c r="G219" i="61"/>
  <c r="I219" i="61" s="1"/>
  <c r="G218" i="61"/>
  <c r="I218" i="61" s="1"/>
  <c r="G217" i="61"/>
  <c r="I217" i="61" s="1"/>
  <c r="G216" i="61"/>
  <c r="I216" i="61" s="1"/>
  <c r="G215" i="61"/>
  <c r="I215" i="61" s="1"/>
  <c r="G214" i="61"/>
  <c r="I214" i="61" s="1"/>
  <c r="G129" i="61"/>
  <c r="I129" i="61" s="1"/>
  <c r="G128" i="61"/>
  <c r="I128" i="61" s="1"/>
  <c r="N119" i="61"/>
  <c r="N118" i="61"/>
  <c r="N117" i="61"/>
  <c r="N116" i="61"/>
  <c r="N115" i="61"/>
  <c r="N114" i="61"/>
  <c r="N113" i="61"/>
  <c r="N112" i="61"/>
  <c r="N111" i="61"/>
  <c r="N110" i="61"/>
  <c r="N109" i="61"/>
  <c r="N74" i="61"/>
  <c r="N60" i="61"/>
  <c r="N20" i="61"/>
  <c r="N214" i="61"/>
  <c r="J18" i="61"/>
  <c r="M18" i="61" s="1"/>
  <c r="N227" i="61"/>
  <c r="N228" i="61"/>
  <c r="G12" i="61"/>
  <c r="I12" i="61" s="1"/>
  <c r="J80" i="61"/>
  <c r="M80" i="61" s="1"/>
  <c r="H81" i="61"/>
  <c r="G81" i="61" s="1"/>
  <c r="H80" i="61"/>
  <c r="G80" i="61" s="1"/>
  <c r="J81" i="61"/>
  <c r="M81" i="61" s="1"/>
  <c r="G76" i="61"/>
  <c r="I76" i="61" s="1"/>
  <c r="J77" i="61"/>
  <c r="M77" i="61" s="1"/>
  <c r="J74" i="61"/>
  <c r="M74" i="61" s="1"/>
  <c r="F52" i="56"/>
  <c r="H324" i="11"/>
  <c r="G324" i="11"/>
  <c r="H323" i="11"/>
  <c r="G323" i="11"/>
  <c r="H322" i="11"/>
  <c r="G322" i="11"/>
  <c r="H321" i="11"/>
  <c r="G321" i="11"/>
  <c r="H320" i="11"/>
  <c r="G320" i="11"/>
  <c r="H319" i="11"/>
  <c r="G319" i="11"/>
  <c r="H318" i="11"/>
  <c r="G318" i="11"/>
  <c r="H317" i="11"/>
  <c r="G317" i="11"/>
  <c r="H316" i="11"/>
  <c r="G316" i="11"/>
  <c r="H315" i="11"/>
  <c r="G315" i="11"/>
  <c r="H314" i="11"/>
  <c r="G314" i="11"/>
  <c r="H313" i="11"/>
  <c r="G313" i="11"/>
  <c r="H312" i="11"/>
  <c r="G312"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E35" i="11"/>
  <c r="M45" i="48"/>
  <c r="G25" i="46"/>
  <c r="F105" i="8"/>
  <c r="F100" i="8"/>
  <c r="E12" i="66"/>
  <c r="E18" i="66"/>
  <c r="B188" i="21"/>
  <c r="M146" i="21"/>
  <c r="L146" i="21"/>
  <c r="K146" i="21"/>
  <c r="J146" i="21"/>
  <c r="I146" i="21"/>
  <c r="H146" i="21"/>
  <c r="G146" i="21"/>
  <c r="F146" i="21"/>
  <c r="E146" i="21"/>
  <c r="D146" i="21"/>
  <c r="E85" i="21"/>
  <c r="F98" i="21" s="1"/>
  <c r="E84" i="21"/>
  <c r="A75" i="21"/>
  <c r="H19" i="8" s="1"/>
  <c r="A13" i="21"/>
  <c r="A14" i="21" s="1"/>
  <c r="A15" i="21" s="1"/>
  <c r="A16" i="21" s="1"/>
  <c r="A17" i="21" s="1"/>
  <c r="A18" i="21" s="1"/>
  <c r="A19" i="21" s="1"/>
  <c r="A20" i="21" s="1"/>
  <c r="A21" i="21" s="1"/>
  <c r="A22" i="21" s="1"/>
  <c r="A23" i="21" s="1"/>
  <c r="A24" i="21" s="1"/>
  <c r="E25" i="4"/>
  <c r="F25" i="4"/>
  <c r="F24" i="64" s="1"/>
  <c r="C128" i="48" s="1"/>
  <c r="G25" i="4"/>
  <c r="G24" i="64" s="1"/>
  <c r="C129" i="48" s="1"/>
  <c r="H25" i="4"/>
  <c r="H226" i="4" s="1"/>
  <c r="I25" i="4"/>
  <c r="I226" i="4" s="1"/>
  <c r="J25" i="4"/>
  <c r="K25" i="4"/>
  <c r="K226" i="4" s="1"/>
  <c r="L25" i="4"/>
  <c r="L226" i="4" s="1"/>
  <c r="D226" i="4"/>
  <c r="C226" i="4"/>
  <c r="J136" i="4"/>
  <c r="H75" i="4"/>
  <c r="F83" i="4" s="1"/>
  <c r="H74" i="4"/>
  <c r="F57" i="4"/>
  <c r="D37" i="7" s="1"/>
  <c r="F56" i="4"/>
  <c r="A14" i="4"/>
  <c r="A15" i="4" s="1"/>
  <c r="A16" i="4" s="1"/>
  <c r="A17" i="4" s="1"/>
  <c r="A18" i="4" s="1"/>
  <c r="A19" i="4" s="1"/>
  <c r="A20" i="4" s="1"/>
  <c r="A21" i="4" s="1"/>
  <c r="A22" i="4" s="1"/>
  <c r="A23" i="4" s="1"/>
  <c r="A24" i="4" s="1"/>
  <c r="A25" i="4" s="1"/>
  <c r="J319" i="49"/>
  <c r="C12" i="46"/>
  <c r="C57" i="22"/>
  <c r="D19" i="71"/>
  <c r="D18" i="71"/>
  <c r="G69" i="22"/>
  <c r="G63" i="22"/>
  <c r="G22" i="45"/>
  <c r="G20" i="45"/>
  <c r="K12" i="1" s="1"/>
  <c r="G19" i="45"/>
  <c r="G18" i="45"/>
  <c r="K130" i="1" s="1"/>
  <c r="J128" i="53"/>
  <c r="I128" i="53"/>
  <c r="F128" i="53"/>
  <c r="J127" i="53"/>
  <c r="I127" i="53"/>
  <c r="F127" i="53"/>
  <c r="J126" i="53"/>
  <c r="I126" i="53"/>
  <c r="F126" i="53"/>
  <c r="J125" i="53"/>
  <c r="I125" i="53"/>
  <c r="F125" i="53"/>
  <c r="J124" i="53"/>
  <c r="I124" i="53"/>
  <c r="F124" i="53"/>
  <c r="J123" i="53"/>
  <c r="I123" i="53"/>
  <c r="K123" i="53" s="1"/>
  <c r="F123" i="53"/>
  <c r="J122" i="53"/>
  <c r="I122" i="53"/>
  <c r="F122" i="53"/>
  <c r="J121" i="53"/>
  <c r="I121" i="53"/>
  <c r="F121" i="53"/>
  <c r="J120" i="53"/>
  <c r="I120" i="53"/>
  <c r="F120" i="53"/>
  <c r="J119" i="53"/>
  <c r="K119" i="53" s="1"/>
  <c r="I119" i="53"/>
  <c r="F119" i="53"/>
  <c r="J118" i="53"/>
  <c r="I118" i="53"/>
  <c r="F118" i="53"/>
  <c r="J117" i="53"/>
  <c r="I117" i="53"/>
  <c r="F117" i="53"/>
  <c r="J116" i="53"/>
  <c r="I116" i="53"/>
  <c r="F116" i="53"/>
  <c r="J115" i="53"/>
  <c r="I115" i="53"/>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15" i="53"/>
  <c r="J13" i="53"/>
  <c r="J12" i="53"/>
  <c r="A7" i="63"/>
  <c r="A14" i="63" s="1"/>
  <c r="A15" i="63" s="1"/>
  <c r="A16" i="63" s="1"/>
  <c r="A17" i="63" s="1"/>
  <c r="A18" i="63" s="1"/>
  <c r="A19" i="63" s="1"/>
  <c r="A20" i="63" s="1"/>
  <c r="A21" i="63" s="1"/>
  <c r="A22" i="63" s="1"/>
  <c r="A26" i="63" s="1"/>
  <c r="A27" i="63" s="1"/>
  <c r="A28"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62" i="63" s="1"/>
  <c r="A63" i="63" s="1"/>
  <c r="A64" i="63" s="1"/>
  <c r="A65" i="63" s="1"/>
  <c r="A70" i="63" s="1"/>
  <c r="A71" i="63" s="1"/>
  <c r="A72" i="63" s="1"/>
  <c r="A73" i="63" s="1"/>
  <c r="A74" i="63" s="1"/>
  <c r="A75" i="63" s="1"/>
  <c r="A76" i="63" s="1"/>
  <c r="E29" i="55"/>
  <c r="D29" i="55"/>
  <c r="C29" i="55"/>
  <c r="H42" i="8"/>
  <c r="H33" i="8"/>
  <c r="F26" i="65"/>
  <c r="F27" i="65"/>
  <c r="F28" i="65"/>
  <c r="F29" i="65"/>
  <c r="F30" i="65"/>
  <c r="F31" i="65"/>
  <c r="F32" i="65"/>
  <c r="F33" i="65"/>
  <c r="F34" i="65"/>
  <c r="F35" i="65"/>
  <c r="F36" i="65"/>
  <c r="E222" i="49"/>
  <c r="F222" i="49" s="1"/>
  <c r="O34" i="48"/>
  <c r="O35" i="48"/>
  <c r="O36" i="48"/>
  <c r="J20" i="61"/>
  <c r="M20" i="61" s="1"/>
  <c r="G20" i="61"/>
  <c r="I20" i="61" s="1"/>
  <c r="P97" i="48"/>
  <c r="P98" i="48"/>
  <c r="P99" i="48"/>
  <c r="C34" i="48"/>
  <c r="C35" i="48"/>
  <c r="C36" i="48"/>
  <c r="C97" i="48"/>
  <c r="C98" i="48"/>
  <c r="C99" i="48"/>
  <c r="P66" i="48"/>
  <c r="P67" i="48"/>
  <c r="P68" i="48"/>
  <c r="I407" i="49"/>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E177" i="49"/>
  <c r="E178" i="49"/>
  <c r="I145" i="49"/>
  <c r="E145" i="49"/>
  <c r="F145" i="49" s="1"/>
  <c r="I143" i="49"/>
  <c r="I144" i="49"/>
  <c r="E143" i="49"/>
  <c r="F143" i="49" s="1"/>
  <c r="E144" i="49"/>
  <c r="F144" i="49" s="1"/>
  <c r="I110" i="49"/>
  <c r="I111" i="49"/>
  <c r="I112" i="49"/>
  <c r="E110" i="49"/>
  <c r="F110" i="49" s="1"/>
  <c r="E111" i="49"/>
  <c r="F111" i="49" s="1"/>
  <c r="E112" i="49"/>
  <c r="F112" i="49" s="1"/>
  <c r="D134" i="48"/>
  <c r="D133" i="48"/>
  <c r="D132" i="48"/>
  <c r="D131" i="48"/>
  <c r="D130" i="48"/>
  <c r="D129" i="48"/>
  <c r="D128" i="48"/>
  <c r="D127" i="48"/>
  <c r="D120" i="48"/>
  <c r="D119" i="48"/>
  <c r="F280" i="61"/>
  <c r="F123" i="64"/>
  <c r="E123" i="64"/>
  <c r="D123" i="64"/>
  <c r="F118" i="64"/>
  <c r="F117" i="64"/>
  <c r="E118" i="64"/>
  <c r="E117" i="64"/>
  <c r="D118" i="64"/>
  <c r="D117" i="64"/>
  <c r="D24" i="64"/>
  <c r="C120" i="48" s="1"/>
  <c r="L80" i="64"/>
  <c r="M110" i="21" s="1"/>
  <c r="K12" i="64"/>
  <c r="K80" i="64" s="1"/>
  <c r="L110" i="21" s="1"/>
  <c r="J12" i="64"/>
  <c r="J80" i="64" s="1"/>
  <c r="K110" i="21" s="1"/>
  <c r="I12" i="64"/>
  <c r="I80" i="64" s="1"/>
  <c r="J110" i="21" s="1"/>
  <c r="H12" i="64"/>
  <c r="H80" i="64" s="1"/>
  <c r="I110" i="21" s="1"/>
  <c r="G12" i="64"/>
  <c r="G80" i="64" s="1"/>
  <c r="H110" i="21" s="1"/>
  <c r="F12" i="64"/>
  <c r="F80" i="64" s="1"/>
  <c r="G110" i="21" s="1"/>
  <c r="E12" i="64"/>
  <c r="E80" i="64" s="1"/>
  <c r="D12" i="64"/>
  <c r="C24" i="64"/>
  <c r="C119" i="48" s="1"/>
  <c r="C12" i="64"/>
  <c r="B148" i="64"/>
  <c r="A75" i="64"/>
  <c r="A76" i="64" s="1"/>
  <c r="A77" i="64" s="1"/>
  <c r="A78" i="64" s="1"/>
  <c r="A79" i="64" s="1"/>
  <c r="A80" i="64" s="1"/>
  <c r="A13" i="64"/>
  <c r="A14" i="64" s="1"/>
  <c r="A15" i="64" s="1"/>
  <c r="A16" i="64" s="1"/>
  <c r="A17" i="64" s="1"/>
  <c r="A18" i="64" s="1"/>
  <c r="A19" i="64" s="1"/>
  <c r="A20" i="64" s="1"/>
  <c r="A21" i="64" s="1"/>
  <c r="A22" i="64" s="1"/>
  <c r="A23" i="64" s="1"/>
  <c r="A24" i="64" s="1"/>
  <c r="A25" i="64" s="1"/>
  <c r="A43" i="64" s="1"/>
  <c r="A45" i="64" s="1"/>
  <c r="O19" i="48"/>
  <c r="J88" i="8"/>
  <c r="E89" i="8" s="1"/>
  <c r="C117" i="48"/>
  <c r="H26" i="8"/>
  <c r="I31" i="1"/>
  <c r="A33" i="79"/>
  <c r="A34" i="79"/>
  <c r="A35" i="79"/>
  <c r="A36" i="79"/>
  <c r="A37" i="79"/>
  <c r="A38" i="79"/>
  <c r="A39" i="79"/>
  <c r="D17" i="71"/>
  <c r="D16" i="71"/>
  <c r="D15" i="71"/>
  <c r="D14" i="71"/>
  <c r="D13" i="71"/>
  <c r="D12" i="71"/>
  <c r="D11" i="71"/>
  <c r="D10" i="71"/>
  <c r="D56" i="71" s="1"/>
  <c r="D9" i="7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F406" i="49" s="1"/>
  <c r="E405" i="49"/>
  <c r="F405" i="49" s="1"/>
  <c r="E404" i="49"/>
  <c r="F404" i="49" s="1"/>
  <c r="E403" i="49"/>
  <c r="F403" i="49" s="1"/>
  <c r="E402" i="49"/>
  <c r="F402" i="49" s="1"/>
  <c r="E401" i="49"/>
  <c r="F401" i="49" s="1"/>
  <c r="E400" i="49"/>
  <c r="F400" i="49" s="1"/>
  <c r="E399" i="49"/>
  <c r="F399" i="49" s="1"/>
  <c r="E398" i="49"/>
  <c r="F398" i="49" s="1"/>
  <c r="E397" i="49"/>
  <c r="F397" i="49" s="1"/>
  <c r="E396" i="49"/>
  <c r="F396" i="49" s="1"/>
  <c r="E395" i="49"/>
  <c r="F395" i="49" s="1"/>
  <c r="E394" i="49"/>
  <c r="F394" i="49" s="1"/>
  <c r="E393" i="49"/>
  <c r="F393" i="49" s="1"/>
  <c r="E392" i="49"/>
  <c r="F392" i="49" s="1"/>
  <c r="E391" i="49"/>
  <c r="F391" i="49" s="1"/>
  <c r="E390" i="49"/>
  <c r="F390" i="49" s="1"/>
  <c r="E389" i="49"/>
  <c r="F389" i="49" s="1"/>
  <c r="E388" i="49"/>
  <c r="F388" i="49" s="1"/>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F373" i="49" s="1"/>
  <c r="E372" i="49"/>
  <c r="F372" i="49" s="1"/>
  <c r="E371" i="49"/>
  <c r="F371" i="49" s="1"/>
  <c r="E370" i="49"/>
  <c r="F370" i="49" s="1"/>
  <c r="E369" i="49"/>
  <c r="F369" i="49" s="1"/>
  <c r="E368" i="49"/>
  <c r="F368" i="49" s="1"/>
  <c r="E367" i="49"/>
  <c r="F367" i="49" s="1"/>
  <c r="E366" i="49"/>
  <c r="F366" i="49" s="1"/>
  <c r="E365" i="49"/>
  <c r="F365" i="49" s="1"/>
  <c r="E364" i="49"/>
  <c r="F364" i="49" s="1"/>
  <c r="E363" i="49"/>
  <c r="F363" i="49" s="1"/>
  <c r="E362" i="49"/>
  <c r="F362" i="49" s="1"/>
  <c r="E361" i="49"/>
  <c r="F361" i="49" s="1"/>
  <c r="E360" i="49"/>
  <c r="F360" i="49" s="1"/>
  <c r="E359" i="49"/>
  <c r="F359" i="49" s="1"/>
  <c r="E358" i="49"/>
  <c r="F358" i="49" s="1"/>
  <c r="E357" i="49"/>
  <c r="F357" i="49" s="1"/>
  <c r="E356" i="49"/>
  <c r="F356" i="49" s="1"/>
  <c r="E355" i="49"/>
  <c r="F355" i="49" s="1"/>
  <c r="E354" i="49"/>
  <c r="F354" i="49" s="1"/>
  <c r="E353" i="49"/>
  <c r="F353" i="49" s="1"/>
  <c r="I340" i="49"/>
  <c r="I339" i="49"/>
  <c r="I338" i="49"/>
  <c r="I337" i="49"/>
  <c r="I336" i="49"/>
  <c r="I335" i="49"/>
  <c r="I334" i="49"/>
  <c r="I333" i="49"/>
  <c r="I332" i="49"/>
  <c r="I331" i="49"/>
  <c r="I330" i="49"/>
  <c r="I329" i="49"/>
  <c r="I328" i="49"/>
  <c r="I327" i="49"/>
  <c r="I326" i="49"/>
  <c r="I325" i="49"/>
  <c r="I324" i="49"/>
  <c r="I323" i="49"/>
  <c r="I322" i="49"/>
  <c r="I321" i="49"/>
  <c r="I320" i="49"/>
  <c r="E340" i="49"/>
  <c r="F340" i="49" s="1"/>
  <c r="E339" i="49"/>
  <c r="F339" i="49" s="1"/>
  <c r="E338" i="49"/>
  <c r="F338" i="49" s="1"/>
  <c r="E337" i="49"/>
  <c r="F337" i="49" s="1"/>
  <c r="E336" i="49"/>
  <c r="F336" i="49" s="1"/>
  <c r="E335" i="49"/>
  <c r="F335" i="49" s="1"/>
  <c r="E334" i="49"/>
  <c r="F334" i="49" s="1"/>
  <c r="E333" i="49"/>
  <c r="F333" i="49" s="1"/>
  <c r="E332" i="49"/>
  <c r="F332" i="49" s="1"/>
  <c r="E331" i="49"/>
  <c r="F331" i="49" s="1"/>
  <c r="E330" i="49"/>
  <c r="F330" i="49" s="1"/>
  <c r="E329" i="49"/>
  <c r="F329" i="49" s="1"/>
  <c r="E328" i="49"/>
  <c r="F328" i="49" s="1"/>
  <c r="E327" i="49"/>
  <c r="F327" i="49" s="1"/>
  <c r="E326" i="49"/>
  <c r="E325" i="49"/>
  <c r="F325" i="49" s="1"/>
  <c r="E324" i="49"/>
  <c r="F324" i="49" s="1"/>
  <c r="E323" i="49"/>
  <c r="F323" i="49" s="1"/>
  <c r="E322" i="49"/>
  <c r="F322" i="49" s="1"/>
  <c r="E321" i="49"/>
  <c r="F321" i="49" s="1"/>
  <c r="E320" i="49"/>
  <c r="F320" i="49" s="1"/>
  <c r="I307" i="49"/>
  <c r="I306" i="49"/>
  <c r="I305" i="49"/>
  <c r="I304" i="49"/>
  <c r="I303" i="49"/>
  <c r="I302" i="49"/>
  <c r="I301" i="49"/>
  <c r="I300" i="49"/>
  <c r="I299" i="49"/>
  <c r="I298" i="49"/>
  <c r="I297" i="49"/>
  <c r="I296" i="49"/>
  <c r="I295" i="49"/>
  <c r="I294" i="49"/>
  <c r="I293" i="49"/>
  <c r="I292" i="49"/>
  <c r="I291" i="49"/>
  <c r="I290" i="49"/>
  <c r="I289" i="49"/>
  <c r="I288" i="49"/>
  <c r="I287" i="49"/>
  <c r="E307" i="49"/>
  <c r="F307" i="49" s="1"/>
  <c r="E306" i="49"/>
  <c r="F306" i="49" s="1"/>
  <c r="E305" i="49"/>
  <c r="F305" i="49" s="1"/>
  <c r="E304" i="49"/>
  <c r="F304" i="49" s="1"/>
  <c r="E303" i="49"/>
  <c r="F303" i="49" s="1"/>
  <c r="E302" i="49"/>
  <c r="F302" i="49" s="1"/>
  <c r="E301" i="49"/>
  <c r="F301" i="49" s="1"/>
  <c r="E300" i="49"/>
  <c r="F300" i="49" s="1"/>
  <c r="E299" i="49"/>
  <c r="F299" i="49" s="1"/>
  <c r="E298" i="49"/>
  <c r="F298" i="49" s="1"/>
  <c r="E297" i="49"/>
  <c r="F297" i="49" s="1"/>
  <c r="E296" i="49"/>
  <c r="F296" i="49" s="1"/>
  <c r="E295" i="49"/>
  <c r="F295" i="49" s="1"/>
  <c r="E294" i="49"/>
  <c r="F294" i="49" s="1"/>
  <c r="E293" i="49"/>
  <c r="F293" i="49" s="1"/>
  <c r="E292" i="49"/>
  <c r="F292" i="49" s="1"/>
  <c r="E291" i="49"/>
  <c r="F291" i="49" s="1"/>
  <c r="E290" i="49"/>
  <c r="E289" i="49"/>
  <c r="F289" i="49" s="1"/>
  <c r="E288" i="49"/>
  <c r="F288" i="49" s="1"/>
  <c r="E287" i="49"/>
  <c r="F287" i="49" s="1"/>
  <c r="I274" i="49"/>
  <c r="I273" i="49"/>
  <c r="I272" i="49"/>
  <c r="I271" i="49"/>
  <c r="I270" i="49"/>
  <c r="I269" i="49"/>
  <c r="I268" i="49"/>
  <c r="I267" i="49"/>
  <c r="I266" i="49"/>
  <c r="I265" i="49"/>
  <c r="I264" i="49"/>
  <c r="I263" i="49"/>
  <c r="I262" i="49"/>
  <c r="I261" i="49"/>
  <c r="I260" i="49"/>
  <c r="I259" i="49"/>
  <c r="I258" i="49"/>
  <c r="I257" i="49"/>
  <c r="I256" i="49"/>
  <c r="I255" i="49"/>
  <c r="I254" i="49"/>
  <c r="E274" i="49"/>
  <c r="F274" i="49" s="1"/>
  <c r="E273" i="49"/>
  <c r="F273" i="49" s="1"/>
  <c r="E272" i="49"/>
  <c r="F272" i="49" s="1"/>
  <c r="E271" i="49"/>
  <c r="F271" i="49" s="1"/>
  <c r="E270" i="49"/>
  <c r="F270" i="49" s="1"/>
  <c r="E269" i="49"/>
  <c r="F269" i="49" s="1"/>
  <c r="E268" i="49"/>
  <c r="F268" i="49" s="1"/>
  <c r="E267" i="49"/>
  <c r="F267" i="49" s="1"/>
  <c r="E266" i="49"/>
  <c r="F266" i="49" s="1"/>
  <c r="E265" i="49"/>
  <c r="F265" i="49" s="1"/>
  <c r="E264" i="49"/>
  <c r="F264" i="49" s="1"/>
  <c r="E263" i="49"/>
  <c r="F263" i="49" s="1"/>
  <c r="E262" i="49"/>
  <c r="F262" i="49" s="1"/>
  <c r="E261" i="49"/>
  <c r="F261" i="49" s="1"/>
  <c r="E260" i="49"/>
  <c r="E259" i="49"/>
  <c r="F259" i="49" s="1"/>
  <c r="E258" i="49"/>
  <c r="F258" i="49" s="1"/>
  <c r="E257" i="49"/>
  <c r="F257" i="49" s="1"/>
  <c r="E256" i="49"/>
  <c r="F256" i="49" s="1"/>
  <c r="E255" i="49"/>
  <c r="F255" i="49" s="1"/>
  <c r="E254" i="49"/>
  <c r="F254" i="49" s="1"/>
  <c r="I241" i="49"/>
  <c r="I240" i="49"/>
  <c r="I239" i="49"/>
  <c r="I238" i="49"/>
  <c r="I237" i="49"/>
  <c r="I236" i="49"/>
  <c r="I235" i="49"/>
  <c r="I234" i="49"/>
  <c r="I233" i="49"/>
  <c r="I232" i="49"/>
  <c r="I231" i="49"/>
  <c r="I230" i="49"/>
  <c r="I229" i="49"/>
  <c r="I228" i="49"/>
  <c r="I227" i="49"/>
  <c r="I226" i="49"/>
  <c r="I225" i="49"/>
  <c r="I224" i="49"/>
  <c r="I223" i="49"/>
  <c r="I222" i="49"/>
  <c r="I221" i="49"/>
  <c r="E241" i="49"/>
  <c r="F241" i="49" s="1"/>
  <c r="E240" i="49"/>
  <c r="F240" i="49" s="1"/>
  <c r="E239" i="49"/>
  <c r="F239" i="49" s="1"/>
  <c r="E238" i="49"/>
  <c r="F238" i="49" s="1"/>
  <c r="E237" i="49"/>
  <c r="F237" i="49" s="1"/>
  <c r="E236" i="49"/>
  <c r="F236" i="49" s="1"/>
  <c r="E235" i="49"/>
  <c r="F235" i="49" s="1"/>
  <c r="E234" i="49"/>
  <c r="E233" i="49"/>
  <c r="F233" i="49" s="1"/>
  <c r="E232" i="49"/>
  <c r="F232" i="49" s="1"/>
  <c r="E231" i="49"/>
  <c r="F231" i="49" s="1"/>
  <c r="E230" i="49"/>
  <c r="F230" i="49" s="1"/>
  <c r="E229" i="49"/>
  <c r="E228" i="49"/>
  <c r="F228" i="49" s="1"/>
  <c r="E227" i="49"/>
  <c r="F227" i="49" s="1"/>
  <c r="E226" i="49"/>
  <c r="F226" i="49" s="1"/>
  <c r="E225" i="49"/>
  <c r="F225" i="49" s="1"/>
  <c r="E224" i="49"/>
  <c r="F224" i="49" s="1"/>
  <c r="E223" i="49"/>
  <c r="F223" i="49" s="1"/>
  <c r="E221" i="49"/>
  <c r="F221" i="49" s="1"/>
  <c r="I189" i="49"/>
  <c r="I190" i="49"/>
  <c r="I191" i="49"/>
  <c r="I192" i="49"/>
  <c r="I193" i="49"/>
  <c r="I194" i="49"/>
  <c r="I195" i="49"/>
  <c r="I196" i="49"/>
  <c r="I197" i="49"/>
  <c r="I198" i="49"/>
  <c r="I199" i="49"/>
  <c r="I200" i="49"/>
  <c r="I201" i="49"/>
  <c r="I202" i="49"/>
  <c r="I203" i="49"/>
  <c r="I204" i="49"/>
  <c r="I205" i="49"/>
  <c r="I206" i="49"/>
  <c r="I207" i="49"/>
  <c r="I208" i="49"/>
  <c r="I188" i="49"/>
  <c r="E189" i="49"/>
  <c r="F189" i="49" s="1"/>
  <c r="E190" i="49"/>
  <c r="F190" i="49" s="1"/>
  <c r="E191" i="49"/>
  <c r="F191" i="49" s="1"/>
  <c r="E192" i="49"/>
  <c r="F192" i="49" s="1"/>
  <c r="E193" i="49"/>
  <c r="F193" i="49" s="1"/>
  <c r="E194" i="49"/>
  <c r="F194" i="49" s="1"/>
  <c r="E195" i="49"/>
  <c r="F195" i="49" s="1"/>
  <c r="E196" i="49"/>
  <c r="F196" i="49" s="1"/>
  <c r="E197" i="49"/>
  <c r="F197" i="49" s="1"/>
  <c r="E198" i="49"/>
  <c r="F198" i="49" s="1"/>
  <c r="E199" i="49"/>
  <c r="F199" i="49" s="1"/>
  <c r="E200" i="49"/>
  <c r="F200" i="49" s="1"/>
  <c r="E201" i="49"/>
  <c r="F201" i="49" s="1"/>
  <c r="E202" i="49"/>
  <c r="F202" i="49" s="1"/>
  <c r="E203" i="49"/>
  <c r="F203" i="49" s="1"/>
  <c r="E204" i="49"/>
  <c r="F204" i="49" s="1"/>
  <c r="E205" i="49"/>
  <c r="F205" i="49" s="1"/>
  <c r="E206" i="49"/>
  <c r="F206" i="49" s="1"/>
  <c r="E207" i="49"/>
  <c r="F207" i="49" s="1"/>
  <c r="E208" i="49"/>
  <c r="F208" i="49" s="1"/>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E174" i="49"/>
  <c r="E173" i="49"/>
  <c r="E172" i="49"/>
  <c r="E171" i="49"/>
  <c r="E170" i="49"/>
  <c r="E169" i="49"/>
  <c r="E168" i="49"/>
  <c r="E167" i="49"/>
  <c r="E166" i="49"/>
  <c r="E165" i="49"/>
  <c r="F165" i="49" s="1"/>
  <c r="E164" i="49"/>
  <c r="E163" i="49"/>
  <c r="E162" i="49"/>
  <c r="E161" i="49"/>
  <c r="E160" i="49"/>
  <c r="E159" i="49"/>
  <c r="E158" i="49"/>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F142" i="49" s="1"/>
  <c r="E141" i="49"/>
  <c r="F141" i="49" s="1"/>
  <c r="E140" i="49"/>
  <c r="F140" i="49" s="1"/>
  <c r="E139" i="49"/>
  <c r="F139" i="49" s="1"/>
  <c r="E138" i="49"/>
  <c r="F138" i="49" s="1"/>
  <c r="E137" i="49"/>
  <c r="F137" i="49" s="1"/>
  <c r="E136" i="49"/>
  <c r="E135" i="49"/>
  <c r="F135" i="49" s="1"/>
  <c r="E134" i="49"/>
  <c r="F134" i="49" s="1"/>
  <c r="E133" i="49"/>
  <c r="F133" i="49" s="1"/>
  <c r="E132" i="49"/>
  <c r="F132" i="49" s="1"/>
  <c r="E131" i="49"/>
  <c r="F131" i="49" s="1"/>
  <c r="E130" i="49"/>
  <c r="F130" i="49" s="1"/>
  <c r="E129" i="49"/>
  <c r="F129" i="49" s="1"/>
  <c r="E128" i="49"/>
  <c r="F128" i="49" s="1"/>
  <c r="E127" i="49"/>
  <c r="F127" i="49" s="1"/>
  <c r="E126" i="49"/>
  <c r="F126" i="49" s="1"/>
  <c r="E125" i="49"/>
  <c r="F125" i="49" s="1"/>
  <c r="E124" i="49"/>
  <c r="F124" i="49" s="1"/>
  <c r="E123" i="49"/>
  <c r="F123" i="49" s="1"/>
  <c r="E122" i="49"/>
  <c r="F122" i="49" s="1"/>
  <c r="I109" i="49"/>
  <c r="I108" i="49"/>
  <c r="I107" i="49"/>
  <c r="I106" i="49"/>
  <c r="I105" i="49"/>
  <c r="I104" i="49"/>
  <c r="I103" i="49"/>
  <c r="I102" i="49"/>
  <c r="I101" i="49"/>
  <c r="I100" i="49"/>
  <c r="I99" i="49"/>
  <c r="I98" i="49"/>
  <c r="I97" i="49"/>
  <c r="I96" i="49"/>
  <c r="I95" i="49"/>
  <c r="I94" i="49"/>
  <c r="I93" i="49"/>
  <c r="I92" i="49"/>
  <c r="I91" i="49"/>
  <c r="I90" i="49"/>
  <c r="I89" i="49"/>
  <c r="E109" i="49"/>
  <c r="F109" i="49" s="1"/>
  <c r="E108" i="49"/>
  <c r="F108" i="49" s="1"/>
  <c r="E107" i="49"/>
  <c r="E106" i="49"/>
  <c r="F106" i="49" s="1"/>
  <c r="E105" i="49"/>
  <c r="F105" i="49" s="1"/>
  <c r="E104" i="49"/>
  <c r="F104" i="49" s="1"/>
  <c r="E103" i="49"/>
  <c r="F103" i="49" s="1"/>
  <c r="E102" i="49"/>
  <c r="F102" i="49" s="1"/>
  <c r="E101" i="49"/>
  <c r="F101" i="49" s="1"/>
  <c r="E100" i="49"/>
  <c r="E99" i="49"/>
  <c r="F99" i="49" s="1"/>
  <c r="E98" i="49"/>
  <c r="F98" i="49" s="1"/>
  <c r="E97" i="49"/>
  <c r="F97" i="49" s="1"/>
  <c r="E96" i="49"/>
  <c r="F96" i="49" s="1"/>
  <c r="E95" i="49"/>
  <c r="F95" i="49" s="1"/>
  <c r="E94" i="49"/>
  <c r="F94" i="49" s="1"/>
  <c r="E93" i="49"/>
  <c r="F93" i="49" s="1"/>
  <c r="E92" i="49"/>
  <c r="F92" i="49" s="1"/>
  <c r="E91" i="49"/>
  <c r="F91" i="49" s="1"/>
  <c r="E90" i="49"/>
  <c r="F90" i="49" s="1"/>
  <c r="E89" i="49"/>
  <c r="F89" i="49" s="1"/>
  <c r="C137"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K384" i="49"/>
  <c r="J384" i="49"/>
  <c r="I384" i="49"/>
  <c r="H384" i="49"/>
  <c r="G384" i="49"/>
  <c r="F384" i="49"/>
  <c r="E384" i="49"/>
  <c r="D384" i="49"/>
  <c r="K383" i="49"/>
  <c r="J383" i="49"/>
  <c r="I383" i="49"/>
  <c r="H383" i="49"/>
  <c r="G383" i="49"/>
  <c r="F383" i="49"/>
  <c r="E383" i="49"/>
  <c r="D383" i="49"/>
  <c r="G382" i="49"/>
  <c r="J352" i="49"/>
  <c r="K351" i="49"/>
  <c r="J351" i="49"/>
  <c r="I351" i="49"/>
  <c r="H351" i="49"/>
  <c r="G351" i="49"/>
  <c r="F351" i="49"/>
  <c r="E351" i="49"/>
  <c r="D351" i="49"/>
  <c r="K350" i="49"/>
  <c r="J350" i="49"/>
  <c r="I350" i="49"/>
  <c r="H350" i="49"/>
  <c r="G350" i="49"/>
  <c r="F350" i="49"/>
  <c r="E350" i="49"/>
  <c r="D350" i="49"/>
  <c r="G349" i="49"/>
  <c r="F326" i="49"/>
  <c r="K318" i="49"/>
  <c r="J318" i="49"/>
  <c r="I318" i="49"/>
  <c r="H318" i="49"/>
  <c r="G318" i="49"/>
  <c r="F318" i="49"/>
  <c r="E318" i="49"/>
  <c r="D318" i="49"/>
  <c r="K317" i="49"/>
  <c r="J317" i="49"/>
  <c r="I317" i="49"/>
  <c r="H317" i="49"/>
  <c r="G317" i="49"/>
  <c r="F317" i="49"/>
  <c r="E317" i="49"/>
  <c r="D317" i="49"/>
  <c r="G316" i="49"/>
  <c r="J286" i="49"/>
  <c r="K285" i="49"/>
  <c r="J285" i="49"/>
  <c r="I285" i="49"/>
  <c r="H285" i="49"/>
  <c r="G285" i="49"/>
  <c r="F285" i="49"/>
  <c r="E285" i="49"/>
  <c r="D285" i="49"/>
  <c r="K284" i="49"/>
  <c r="J284" i="49"/>
  <c r="I284" i="49"/>
  <c r="H284" i="49"/>
  <c r="G284" i="49"/>
  <c r="F284" i="49"/>
  <c r="E284" i="49"/>
  <c r="D284" i="49"/>
  <c r="G283" i="49"/>
  <c r="F260" i="49"/>
  <c r="J253" i="49"/>
  <c r="K252" i="49"/>
  <c r="J252" i="49"/>
  <c r="I252" i="49"/>
  <c r="H252" i="49"/>
  <c r="F252" i="49"/>
  <c r="E252" i="49"/>
  <c r="D252" i="49"/>
  <c r="K251" i="49"/>
  <c r="J251" i="49"/>
  <c r="I251" i="49"/>
  <c r="H251" i="49"/>
  <c r="F251" i="49"/>
  <c r="E251" i="49"/>
  <c r="D251" i="49"/>
  <c r="J220" i="49"/>
  <c r="K219" i="49"/>
  <c r="J219" i="49"/>
  <c r="I219" i="49"/>
  <c r="H219" i="49"/>
  <c r="G219" i="49"/>
  <c r="F219" i="49"/>
  <c r="E219" i="49"/>
  <c r="D219" i="49"/>
  <c r="K218" i="49"/>
  <c r="J218" i="49"/>
  <c r="I218" i="49"/>
  <c r="H218" i="49"/>
  <c r="G218" i="49"/>
  <c r="F218" i="49"/>
  <c r="E218" i="49"/>
  <c r="D218" i="49"/>
  <c r="G217" i="49"/>
  <c r="J187" i="49"/>
  <c r="K186" i="49"/>
  <c r="J186" i="49"/>
  <c r="I186" i="49"/>
  <c r="H186" i="49"/>
  <c r="G186" i="49"/>
  <c r="F186" i="49"/>
  <c r="E186" i="49"/>
  <c r="D186" i="49"/>
  <c r="K185" i="49"/>
  <c r="J185" i="49"/>
  <c r="I185" i="49"/>
  <c r="H185" i="49"/>
  <c r="G185" i="49"/>
  <c r="F185" i="49"/>
  <c r="E185" i="49"/>
  <c r="D185" i="49"/>
  <c r="G184" i="49"/>
  <c r="G516" i="49" s="1"/>
  <c r="J154" i="49"/>
  <c r="K153" i="49"/>
  <c r="J153" i="49"/>
  <c r="I153" i="49"/>
  <c r="H153" i="49"/>
  <c r="G153" i="49"/>
  <c r="F153" i="49"/>
  <c r="E153" i="49"/>
  <c r="D153" i="49"/>
  <c r="K152" i="49"/>
  <c r="J152" i="49"/>
  <c r="I152" i="49"/>
  <c r="H152" i="49"/>
  <c r="G152" i="49"/>
  <c r="G483" i="49" s="1"/>
  <c r="F152" i="49"/>
  <c r="E152" i="49"/>
  <c r="D152" i="49"/>
  <c r="G151" i="49"/>
  <c r="G482" i="49" s="1"/>
  <c r="J121" i="49"/>
  <c r="K120" i="49"/>
  <c r="J120" i="49"/>
  <c r="I120" i="49"/>
  <c r="H120" i="49"/>
  <c r="G120" i="49"/>
  <c r="G450" i="49" s="1"/>
  <c r="F120" i="49"/>
  <c r="E120" i="49"/>
  <c r="D120" i="49"/>
  <c r="K119" i="49"/>
  <c r="J119" i="49"/>
  <c r="I119" i="49"/>
  <c r="H119" i="49"/>
  <c r="G119" i="49"/>
  <c r="G449" i="49" s="1"/>
  <c r="F119" i="49"/>
  <c r="E119" i="49"/>
  <c r="D119" i="49"/>
  <c r="G118" i="49"/>
  <c r="G448" i="49" s="1"/>
  <c r="J88" i="49"/>
  <c r="K87" i="49"/>
  <c r="J87" i="49"/>
  <c r="I87" i="49"/>
  <c r="H87" i="49"/>
  <c r="G87" i="49"/>
  <c r="G417" i="49" s="1"/>
  <c r="F87" i="49"/>
  <c r="E87" i="49"/>
  <c r="D87" i="49"/>
  <c r="K86" i="49"/>
  <c r="J86" i="49"/>
  <c r="I86" i="49"/>
  <c r="H86" i="49"/>
  <c r="G86" i="49"/>
  <c r="G416" i="49" s="1"/>
  <c r="F86" i="49"/>
  <c r="E86" i="49"/>
  <c r="D86" i="49"/>
  <c r="G85" i="49"/>
  <c r="G415" i="49" s="1"/>
  <c r="A14" i="49"/>
  <c r="A15" i="49" s="1"/>
  <c r="A16" i="49" s="1"/>
  <c r="A17" i="49" s="1"/>
  <c r="A18" i="49" s="1"/>
  <c r="A19" i="49" s="1"/>
  <c r="A20" i="49" s="1"/>
  <c r="A21" i="49" s="1"/>
  <c r="A22" i="49" s="1"/>
  <c r="A23" i="49" s="1"/>
  <c r="A24" i="49" s="1"/>
  <c r="A25" i="49" s="1"/>
  <c r="F34" i="11"/>
  <c r="D46" i="7"/>
  <c r="P95" i="48"/>
  <c r="P78" i="48"/>
  <c r="F74" i="48"/>
  <c r="E44" i="48"/>
  <c r="P92" i="48"/>
  <c r="P79" i="48"/>
  <c r="P87" i="48"/>
  <c r="P94" i="48"/>
  <c r="P54" i="48"/>
  <c r="G44" i="48"/>
  <c r="P50" i="48"/>
  <c r="P57" i="48"/>
  <c r="P84" i="48"/>
  <c r="P93" i="48"/>
  <c r="P49" i="48"/>
  <c r="P56" i="48"/>
  <c r="P58" i="48"/>
  <c r="P85" i="48"/>
  <c r="P91" i="48"/>
  <c r="F75" i="48"/>
  <c r="F44" i="48"/>
  <c r="O15" i="48"/>
  <c r="P89" i="48"/>
  <c r="P60" i="48"/>
  <c r="P65" i="48"/>
  <c r="P76" i="48"/>
  <c r="P82" i="48"/>
  <c r="P83" i="48"/>
  <c r="O28" i="48"/>
  <c r="E42" i="48"/>
  <c r="P46" i="48"/>
  <c r="P64" i="48"/>
  <c r="P77" i="48"/>
  <c r="P14" i="48" s="1"/>
  <c r="O14" i="48"/>
  <c r="O20" i="48"/>
  <c r="P48" i="48"/>
  <c r="P62" i="48"/>
  <c r="P80" i="48"/>
  <c r="P61" i="48"/>
  <c r="P53" i="48"/>
  <c r="P45" i="48"/>
  <c r="P96" i="48"/>
  <c r="P88" i="48"/>
  <c r="P59" i="48"/>
  <c r="P51" i="48"/>
  <c r="P63" i="48"/>
  <c r="P47" i="48"/>
  <c r="P86" i="48"/>
  <c r="P90" i="48"/>
  <c r="E74" i="48"/>
  <c r="E43" i="48"/>
  <c r="P81" i="48"/>
  <c r="O16" i="48"/>
  <c r="O32" i="48"/>
  <c r="G43" i="48"/>
  <c r="O22" i="48"/>
  <c r="O30" i="48"/>
  <c r="I130" i="15"/>
  <c r="A130" i="15"/>
  <c r="E135" i="15" s="1"/>
  <c r="I117" i="15"/>
  <c r="E91" i="15"/>
  <c r="A87" i="15"/>
  <c r="A88" i="15" s="1"/>
  <c r="I86" i="15"/>
  <c r="I68" i="15"/>
  <c r="E73" i="15"/>
  <c r="I66" i="15"/>
  <c r="A11" i="15"/>
  <c r="A12" i="15" s="1"/>
  <c r="A13" i="15" s="1"/>
  <c r="E14" i="15" s="1"/>
  <c r="I54" i="15"/>
  <c r="G56" i="46"/>
  <c r="A10" i="22"/>
  <c r="A11" i="22"/>
  <c r="A12" i="22"/>
  <c r="A13" i="22"/>
  <c r="A14" i="22"/>
  <c r="A15" i="22"/>
  <c r="A16" i="22"/>
  <c r="A17" i="22"/>
  <c r="A18" i="22"/>
  <c r="A19" i="22"/>
  <c r="A20" i="22"/>
  <c r="A21" i="22"/>
  <c r="G23" i="22"/>
  <c r="D47" i="2"/>
  <c r="D48" i="2" s="1"/>
  <c r="D41" i="2"/>
  <c r="D42" i="2" s="1"/>
  <c r="F101" i="46" s="1"/>
  <c r="D35" i="2"/>
  <c r="D36" i="2" s="1"/>
  <c r="F82" i="46" s="1"/>
  <c r="C29" i="46"/>
  <c r="G29" i="46"/>
  <c r="E12" i="2"/>
  <c r="E11" i="2"/>
  <c r="E44" i="71"/>
  <c r="H27" i="8"/>
  <c r="H25" i="8"/>
  <c r="H9" i="8"/>
  <c r="H8" i="8"/>
  <c r="G27" i="32"/>
  <c r="G21" i="32"/>
  <c r="G13" i="32"/>
  <c r="B212" i="71"/>
  <c r="F153" i="71"/>
  <c r="F152" i="71"/>
  <c r="D64" i="46"/>
  <c r="G70" i="8"/>
  <c r="G72" i="8"/>
  <c r="E51" i="7"/>
  <c r="I136" i="1"/>
  <c r="I135" i="1"/>
  <c r="I132" i="1"/>
  <c r="I130" i="1"/>
  <c r="I128" i="1"/>
  <c r="I102" i="1"/>
  <c r="I32" i="1"/>
  <c r="I30" i="1"/>
  <c r="I12" i="1"/>
  <c r="I11" i="1"/>
  <c r="F277" i="61"/>
  <c r="F278" i="61"/>
  <c r="F275" i="61"/>
  <c r="F281" i="61"/>
  <c r="J46" i="8"/>
  <c r="C110" i="26"/>
  <c r="E19" i="55"/>
  <c r="E17" i="55"/>
  <c r="E18" i="55"/>
  <c r="I21" i="45"/>
  <c r="H64" i="26"/>
  <c r="F71" i="26"/>
  <c r="B112" i="12"/>
  <c r="K135" i="1"/>
  <c r="E27" i="12"/>
  <c r="D58" i="7" s="1"/>
  <c r="E26" i="12"/>
  <c r="H305" i="11"/>
  <c r="G305" i="11"/>
  <c r="H304" i="11"/>
  <c r="G304" i="11"/>
  <c r="H303" i="11"/>
  <c r="G303" i="11"/>
  <c r="H302" i="11"/>
  <c r="G302" i="11"/>
  <c r="H301" i="11"/>
  <c r="G301" i="11"/>
  <c r="H300" i="11"/>
  <c r="G300" i="11"/>
  <c r="H299" i="11"/>
  <c r="G299" i="11"/>
  <c r="H298" i="11"/>
  <c r="G298" i="11"/>
  <c r="H297" i="11"/>
  <c r="G297" i="11"/>
  <c r="H296" i="11"/>
  <c r="G296" i="11"/>
  <c r="H295" i="11"/>
  <c r="G295" i="11"/>
  <c r="H294" i="11"/>
  <c r="G294" i="11"/>
  <c r="H293" i="11"/>
  <c r="G293" i="11"/>
  <c r="H286" i="11"/>
  <c r="G286" i="11"/>
  <c r="H285" i="11"/>
  <c r="G285" i="11"/>
  <c r="H284" i="11"/>
  <c r="G284" i="11"/>
  <c r="H283" i="11"/>
  <c r="G283" i="11"/>
  <c r="H282" i="11"/>
  <c r="G282" i="11"/>
  <c r="H281" i="11"/>
  <c r="G281" i="11"/>
  <c r="H280" i="11"/>
  <c r="G280" i="11"/>
  <c r="H279" i="11"/>
  <c r="G279" i="11"/>
  <c r="H278" i="11"/>
  <c r="G278" i="11"/>
  <c r="H277" i="11"/>
  <c r="G277" i="11"/>
  <c r="H276" i="11"/>
  <c r="G276" i="11"/>
  <c r="H275" i="11"/>
  <c r="G275" i="11"/>
  <c r="H274" i="11"/>
  <c r="G274" i="11"/>
  <c r="H267" i="11"/>
  <c r="G267" i="11"/>
  <c r="H266" i="11"/>
  <c r="G266" i="11"/>
  <c r="H265" i="11"/>
  <c r="G265" i="11"/>
  <c r="H264" i="11"/>
  <c r="G264" i="11"/>
  <c r="H263" i="11"/>
  <c r="G263" i="11"/>
  <c r="H262" i="11"/>
  <c r="G262" i="11"/>
  <c r="H261" i="11"/>
  <c r="G261" i="11"/>
  <c r="H260" i="11"/>
  <c r="G260" i="11"/>
  <c r="H259" i="11"/>
  <c r="G259" i="11"/>
  <c r="H258" i="11"/>
  <c r="G258" i="11"/>
  <c r="H257" i="11"/>
  <c r="G257" i="11"/>
  <c r="H256" i="11"/>
  <c r="G256" i="11"/>
  <c r="H255" i="11"/>
  <c r="G255" i="11"/>
  <c r="H248" i="11"/>
  <c r="G248" i="11"/>
  <c r="H247" i="11"/>
  <c r="G247" i="11"/>
  <c r="H246" i="11"/>
  <c r="G246" i="11"/>
  <c r="H245" i="11"/>
  <c r="G245" i="11"/>
  <c r="H244" i="11"/>
  <c r="G244" i="11"/>
  <c r="H243" i="11"/>
  <c r="G243" i="11"/>
  <c r="H242" i="11"/>
  <c r="G242" i="11"/>
  <c r="H241" i="11"/>
  <c r="G241" i="11"/>
  <c r="H240" i="11"/>
  <c r="G240" i="11"/>
  <c r="H239" i="11"/>
  <c r="G239" i="11"/>
  <c r="H238" i="11"/>
  <c r="G238" i="11"/>
  <c r="H237" i="11"/>
  <c r="G237" i="11"/>
  <c r="H236" i="11"/>
  <c r="G236" i="11"/>
  <c r="H229" i="11"/>
  <c r="G229" i="11"/>
  <c r="H228" i="11"/>
  <c r="G228" i="11"/>
  <c r="H227" i="11"/>
  <c r="G227" i="11"/>
  <c r="H226" i="11"/>
  <c r="G226" i="11"/>
  <c r="H225" i="11"/>
  <c r="G225" i="11"/>
  <c r="H224" i="11"/>
  <c r="G224" i="11"/>
  <c r="H223" i="11"/>
  <c r="G223" i="11"/>
  <c r="H222" i="11"/>
  <c r="G222" i="11"/>
  <c r="H221" i="11"/>
  <c r="G221" i="11"/>
  <c r="H220" i="11"/>
  <c r="G220" i="11"/>
  <c r="H219" i="11"/>
  <c r="G219" i="11"/>
  <c r="H218" i="11"/>
  <c r="G218" i="11"/>
  <c r="H217" i="11"/>
  <c r="G217" i="11"/>
  <c r="H210" i="11"/>
  <c r="G210" i="11"/>
  <c r="H209" i="11"/>
  <c r="G209" i="11"/>
  <c r="H208" i="11"/>
  <c r="G208" i="11"/>
  <c r="H207" i="11"/>
  <c r="G207" i="11"/>
  <c r="H206" i="11"/>
  <c r="G206" i="11"/>
  <c r="H205" i="11"/>
  <c r="G205" i="11"/>
  <c r="H204" i="11"/>
  <c r="G204" i="11"/>
  <c r="H203" i="11"/>
  <c r="G203" i="11"/>
  <c r="H202" i="11"/>
  <c r="G202" i="11"/>
  <c r="H201" i="11"/>
  <c r="G201" i="11"/>
  <c r="H200" i="11"/>
  <c r="G200" i="11"/>
  <c r="H199" i="11"/>
  <c r="G199" i="11"/>
  <c r="H198" i="11"/>
  <c r="G198" i="11"/>
  <c r="H191" i="11"/>
  <c r="G191" i="11"/>
  <c r="H190" i="11"/>
  <c r="G190" i="11"/>
  <c r="H189" i="11"/>
  <c r="G189" i="11"/>
  <c r="H188" i="11"/>
  <c r="G188" i="11"/>
  <c r="H187" i="11"/>
  <c r="G187" i="11"/>
  <c r="H186" i="11"/>
  <c r="G186" i="11"/>
  <c r="H185" i="11"/>
  <c r="G185" i="11"/>
  <c r="H184" i="11"/>
  <c r="G184" i="11"/>
  <c r="H183" i="11"/>
  <c r="G183" i="11"/>
  <c r="H182" i="11"/>
  <c r="G182" i="11"/>
  <c r="H181" i="11"/>
  <c r="G181" i="11"/>
  <c r="H180" i="11"/>
  <c r="G180" i="11"/>
  <c r="H179" i="11"/>
  <c r="G179" i="11"/>
  <c r="H172" i="11"/>
  <c r="G172" i="11"/>
  <c r="G87" i="11" s="1"/>
  <c r="G51" i="11" s="1"/>
  <c r="H171" i="11"/>
  <c r="G171" i="11"/>
  <c r="G86" i="11" s="1"/>
  <c r="H170" i="11"/>
  <c r="G170" i="11"/>
  <c r="G85" i="11" s="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2" i="11"/>
  <c r="G152" i="11"/>
  <c r="H87" i="11" s="1"/>
  <c r="G49" i="11" s="1"/>
  <c r="E49" i="11" s="1"/>
  <c r="E39" i="12" s="1"/>
  <c r="H151" i="11"/>
  <c r="G151" i="11"/>
  <c r="H86" i="11" s="1"/>
  <c r="H150" i="11"/>
  <c r="G150" i="11"/>
  <c r="H85"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2" i="11"/>
  <c r="G132" i="11"/>
  <c r="F87" i="11" s="1"/>
  <c r="H131" i="11"/>
  <c r="G131" i="11"/>
  <c r="F86" i="11" s="1"/>
  <c r="H130" i="11"/>
  <c r="G130" i="11"/>
  <c r="F85"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F110" i="11"/>
  <c r="G24" i="2"/>
  <c r="F100" i="12"/>
  <c r="B108" i="12"/>
  <c r="B34" i="31"/>
  <c r="G14" i="26"/>
  <c r="F49" i="71"/>
  <c r="A10" i="71"/>
  <c r="F56" i="71" s="1"/>
  <c r="A11" i="71"/>
  <c r="A12" i="71" s="1"/>
  <c r="A13" i="71" s="1"/>
  <c r="A14" i="71" s="1"/>
  <c r="A15" i="71" s="1"/>
  <c r="A16" i="71" s="1"/>
  <c r="A17" i="71" s="1"/>
  <c r="A18" i="71" s="1"/>
  <c r="A19" i="71" s="1"/>
  <c r="A20" i="71" s="1"/>
  <c r="J59" i="61"/>
  <c r="M59" i="61" s="1"/>
  <c r="G12" i="2"/>
  <c r="C64" i="46"/>
  <c r="G64" i="26"/>
  <c r="G65" i="26" s="1"/>
  <c r="C56" i="46"/>
  <c r="L57" i="46"/>
  <c r="E120" i="46" s="1"/>
  <c r="I120" i="46" s="1"/>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K52" i="46"/>
  <c r="D115" i="46" s="1"/>
  <c r="C52" i="46"/>
  <c r="G41" i="46"/>
  <c r="G40" i="46"/>
  <c r="C40" i="46"/>
  <c r="G39" i="46"/>
  <c r="C39" i="46"/>
  <c r="G38" i="46"/>
  <c r="C38" i="46"/>
  <c r="G37" i="46"/>
  <c r="C37" i="46"/>
  <c r="G36" i="46"/>
  <c r="C36" i="46"/>
  <c r="G35" i="46"/>
  <c r="C35" i="46"/>
  <c r="G34" i="46"/>
  <c r="C34" i="46"/>
  <c r="G33" i="46"/>
  <c r="C33" i="46"/>
  <c r="G32" i="46"/>
  <c r="C32" i="46"/>
  <c r="G31" i="46"/>
  <c r="C31" i="46"/>
  <c r="G30" i="46"/>
  <c r="C30" i="46"/>
  <c r="G28" i="46"/>
  <c r="C28" i="46"/>
  <c r="G27" i="46"/>
  <c r="C27" i="46"/>
  <c r="G26" i="46"/>
  <c r="C26" i="46"/>
  <c r="C25" i="46"/>
  <c r="G24" i="46"/>
  <c r="C24" i="46"/>
  <c r="G23" i="46"/>
  <c r="C23" i="46"/>
  <c r="G22" i="46"/>
  <c r="C22" i="46"/>
  <c r="G21" i="46"/>
  <c r="C21" i="46"/>
  <c r="C20" i="46"/>
  <c r="G19" i="46"/>
  <c r="C19" i="46"/>
  <c r="G18" i="46"/>
  <c r="C18" i="46"/>
  <c r="G17" i="46"/>
  <c r="C17" i="46"/>
  <c r="G16" i="46"/>
  <c r="C16" i="46"/>
  <c r="G15" i="46"/>
  <c r="C15" i="46"/>
  <c r="G14" i="46"/>
  <c r="C14" i="46"/>
  <c r="G13" i="46"/>
  <c r="C13" i="46"/>
  <c r="G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G11" i="46"/>
  <c r="B55" i="54"/>
  <c r="C10" i="9"/>
  <c r="A5" i="31"/>
  <c r="E15" i="66"/>
  <c r="J25" i="8" s="1"/>
  <c r="F15" i="66"/>
  <c r="D54" i="7"/>
  <c r="F42" i="54"/>
  <c r="F39" i="54"/>
  <c r="F30" i="54"/>
  <c r="A8" i="2"/>
  <c r="A9" i="2"/>
  <c r="A10" i="2"/>
  <c r="A11" i="2"/>
  <c r="K128" i="1"/>
  <c r="A11" i="7"/>
  <c r="A12" i="7"/>
  <c r="A13" i="7"/>
  <c r="A14" i="7"/>
  <c r="A15" i="7"/>
  <c r="A16" i="7"/>
  <c r="K32" i="1"/>
  <c r="A14" i="65"/>
  <c r="A15" i="65" s="1"/>
  <c r="A16" i="65" s="1"/>
  <c r="A17" i="65" s="1"/>
  <c r="A18" i="65" s="1"/>
  <c r="A19" i="65" s="1"/>
  <c r="A20" i="65" s="1"/>
  <c r="A21" i="65" s="1"/>
  <c r="A22" i="65" s="1"/>
  <c r="A23" i="65" s="1"/>
  <c r="A24" i="65" s="1"/>
  <c r="A25" i="12"/>
  <c r="A26" i="12"/>
  <c r="E279" i="61"/>
  <c r="N224" i="61"/>
  <c r="N221" i="61"/>
  <c r="N219" i="61"/>
  <c r="N216" i="61"/>
  <c r="N215" i="61"/>
  <c r="N210" i="61"/>
  <c r="M210" i="61"/>
  <c r="L210" i="61"/>
  <c r="J210" i="61"/>
  <c r="I210" i="61"/>
  <c r="H210" i="61"/>
  <c r="G210" i="61"/>
  <c r="J185" i="61"/>
  <c r="M185" i="61" s="1"/>
  <c r="N128" i="61"/>
  <c r="H66" i="61"/>
  <c r="G66" i="61"/>
  <c r="J65" i="61"/>
  <c r="M65" i="61" s="1"/>
  <c r="N64" i="61"/>
  <c r="N63" i="61"/>
  <c r="J62" i="61"/>
  <c r="M62" i="61" s="1"/>
  <c r="J61" i="61"/>
  <c r="M61" i="61" s="1"/>
  <c r="J60" i="61"/>
  <c r="M60" i="61" s="1"/>
  <c r="G18" i="61"/>
  <c r="I18" i="61" s="1"/>
  <c r="J17" i="61"/>
  <c r="M17" i="61" s="1"/>
  <c r="N16" i="61"/>
  <c r="J15" i="61"/>
  <c r="M15" i="61" s="1"/>
  <c r="G14" i="61"/>
  <c r="I14" i="61" s="1"/>
  <c r="J13" i="61"/>
  <c r="M13" i="61" s="1"/>
  <c r="J12" i="61"/>
  <c r="M12" i="61" s="1"/>
  <c r="J11" i="61"/>
  <c r="M11" i="61" s="1"/>
  <c r="J5" i="61"/>
  <c r="M5" i="61" s="1"/>
  <c r="G4" i="61"/>
  <c r="I4" i="61" s="1"/>
  <c r="A8" i="17"/>
  <c r="A9" i="17"/>
  <c r="A10" i="17"/>
  <c r="A11" i="17"/>
  <c r="A12" i="17"/>
  <c r="A13" i="17"/>
  <c r="A14" i="17"/>
  <c r="I103" i="1"/>
  <c r="D54" i="26"/>
  <c r="G20" i="26" s="1"/>
  <c r="D53" i="26"/>
  <c r="G19" i="26" s="1"/>
  <c r="D52" i="26"/>
  <c r="G18" i="26" s="1"/>
  <c r="D51" i="26"/>
  <c r="G17" i="26" s="1"/>
  <c r="D50" i="26"/>
  <c r="G16" i="26" s="1"/>
  <c r="D49" i="26"/>
  <c r="G15" i="26" s="1"/>
  <c r="D46" i="26"/>
  <c r="G12" i="26" s="1"/>
  <c r="D45" i="26"/>
  <c r="G11" i="26" s="1"/>
  <c r="D44" i="26"/>
  <c r="G10" i="26" s="1"/>
  <c r="D43" i="26"/>
  <c r="G9" i="26" s="1"/>
  <c r="D42" i="26"/>
  <c r="G8" i="26" s="1"/>
  <c r="A10" i="57"/>
  <c r="A11" i="57"/>
  <c r="A12" i="57"/>
  <c r="A13" i="57"/>
  <c r="A14" i="57"/>
  <c r="A15" i="57"/>
  <c r="A16" i="57"/>
  <c r="A17" i="57"/>
  <c r="A18" i="57"/>
  <c r="A19" i="57"/>
  <c r="A20" i="57"/>
  <c r="A21" i="57"/>
  <c r="A22" i="57"/>
  <c r="A23" i="57"/>
  <c r="A24" i="57"/>
  <c r="A25" i="57"/>
  <c r="A26" i="57"/>
  <c r="A27" i="57"/>
  <c r="A28" i="57"/>
  <c r="K18" i="57"/>
  <c r="J18" i="57"/>
  <c r="I18" i="57"/>
  <c r="H18" i="57"/>
  <c r="G18" i="57"/>
  <c r="K12" i="57"/>
  <c r="J12" i="57"/>
  <c r="I12" i="57"/>
  <c r="H12" i="57"/>
  <c r="G12" i="57"/>
  <c r="F11" i="56"/>
  <c r="A9" i="56"/>
  <c r="A10" i="56" s="1"/>
  <c r="F51" i="56"/>
  <c r="F25" i="56"/>
  <c r="F24" i="56"/>
  <c r="F23" i="56"/>
  <c r="F22" i="56"/>
  <c r="F21" i="56"/>
  <c r="F20" i="56"/>
  <c r="K30" i="1"/>
  <c r="K136" i="1"/>
  <c r="A13" i="32"/>
  <c r="G14" i="32"/>
  <c r="A8" i="26"/>
  <c r="A9" i="26" s="1"/>
  <c r="A10" i="26" s="1"/>
  <c r="A11" i="26" s="1"/>
  <c r="A27" i="11"/>
  <c r="K102" i="1"/>
  <c r="A7" i="8"/>
  <c r="A8" i="8" s="1"/>
  <c r="A9" i="8" s="1"/>
  <c r="A12" i="8" s="1"/>
  <c r="E27" i="32"/>
  <c r="F26" i="12"/>
  <c r="F40" i="12" s="1"/>
  <c r="F25" i="12"/>
  <c r="F39" i="12" s="1"/>
  <c r="F22" i="31"/>
  <c r="E22" i="31"/>
  <c r="D22" i="31"/>
  <c r="F15" i="56"/>
  <c r="L52" i="46"/>
  <c r="E115" i="46" s="1"/>
  <c r="A10" i="1"/>
  <c r="A11" i="1" s="1"/>
  <c r="A12" i="1" s="1"/>
  <c r="J14" i="61"/>
  <c r="M14" i="61" s="1"/>
  <c r="G16" i="61"/>
  <c r="I16" i="61" s="1"/>
  <c r="J16" i="61"/>
  <c r="M16" i="61" s="1"/>
  <c r="J57" i="61"/>
  <c r="M57" i="61" s="1"/>
  <c r="G15" i="61"/>
  <c r="I15" i="61" s="1"/>
  <c r="N12" i="61"/>
  <c r="N222" i="61"/>
  <c r="E10" i="2"/>
  <c r="F50" i="71"/>
  <c r="E54" i="7"/>
  <c r="A29" i="57"/>
  <c r="J63" i="61"/>
  <c r="M63" i="61" s="1"/>
  <c r="N62" i="61"/>
  <c r="G184" i="61"/>
  <c r="I184" i="61" s="1"/>
  <c r="N15" i="61"/>
  <c r="G61" i="61"/>
  <c r="I61" i="61" s="1"/>
  <c r="G11" i="61"/>
  <c r="I11" i="61" s="1"/>
  <c r="N226" i="61"/>
  <c r="N5" i="61"/>
  <c r="G62" i="61"/>
  <c r="I62" i="61" s="1"/>
  <c r="N17" i="61"/>
  <c r="N14" i="61"/>
  <c r="N18" i="61"/>
  <c r="G5" i="61"/>
  <c r="I5" i="61" s="1"/>
  <c r="N4" i="61"/>
  <c r="N220" i="61"/>
  <c r="N223" i="61"/>
  <c r="J58" i="61"/>
  <c r="M58" i="61" s="1"/>
  <c r="J66" i="61"/>
  <c r="M66" i="61" s="1"/>
  <c r="N13" i="61"/>
  <c r="N129" i="61"/>
  <c r="G17" i="61"/>
  <c r="I17" i="61" s="1"/>
  <c r="G13" i="61"/>
  <c r="I13" i="61" s="1"/>
  <c r="N217" i="61"/>
  <c r="N11" i="61"/>
  <c r="N218" i="61"/>
  <c r="N61" i="61"/>
  <c r="G60" i="61"/>
  <c r="I60" i="61" s="1"/>
  <c r="N66" i="61"/>
  <c r="N225" i="61"/>
  <c r="G63" i="61"/>
  <c r="I63" i="61" s="1"/>
  <c r="J4" i="61"/>
  <c r="J68" i="61"/>
  <c r="M68" i="61" s="1"/>
  <c r="A12" i="2"/>
  <c r="A13" i="2"/>
  <c r="J27" i="8"/>
  <c r="K103" i="1"/>
  <c r="A15" i="17"/>
  <c r="A16" i="17"/>
  <c r="A17" i="17"/>
  <c r="A18" i="17"/>
  <c r="A19" i="17"/>
  <c r="A20" i="17"/>
  <c r="A21" i="17"/>
  <c r="A22" i="17"/>
  <c r="A23" i="17"/>
  <c r="A17" i="7"/>
  <c r="A18" i="7"/>
  <c r="A19" i="7"/>
  <c r="A20" i="7"/>
  <c r="A21" i="7"/>
  <c r="A22" i="7"/>
  <c r="A23" i="7"/>
  <c r="A24" i="7"/>
  <c r="A25" i="7"/>
  <c r="A23" i="22"/>
  <c r="A14" i="32"/>
  <c r="A20" i="32"/>
  <c r="A27" i="12"/>
  <c r="D50" i="71"/>
  <c r="E50" i="71"/>
  <c r="A6" i="31"/>
  <c r="A7" i="31"/>
  <c r="A8" i="31"/>
  <c r="B39" i="31"/>
  <c r="A30" i="57"/>
  <c r="A31" i="57"/>
  <c r="G31" i="57"/>
  <c r="F57" i="71"/>
  <c r="E58" i="7"/>
  <c r="F121" i="71"/>
  <c r="E25" i="7"/>
  <c r="E13" i="2"/>
  <c r="E14" i="2"/>
  <c r="A14" i="2"/>
  <c r="A9" i="31"/>
  <c r="H22" i="31"/>
  <c r="A28" i="12"/>
  <c r="A29" i="12"/>
  <c r="A39" i="12"/>
  <c r="A40" i="12"/>
  <c r="A41" i="12"/>
  <c r="A42" i="12"/>
  <c r="A43" i="12"/>
  <c r="A44" i="12"/>
  <c r="I137" i="1"/>
  <c r="E83" i="7"/>
  <c r="E47" i="7"/>
  <c r="A26" i="7"/>
  <c r="A27" i="7"/>
  <c r="A28" i="7"/>
  <c r="A29" i="7"/>
  <c r="A30" i="7"/>
  <c r="A31" i="7"/>
  <c r="A32" i="7"/>
  <c r="A33" i="7"/>
  <c r="A34" i="7"/>
  <c r="A35" i="7"/>
  <c r="A36" i="7"/>
  <c r="A24" i="22"/>
  <c r="G27" i="22"/>
  <c r="A32" i="57"/>
  <c r="A33" i="57"/>
  <c r="E15" i="2"/>
  <c r="A15" i="2"/>
  <c r="A37" i="7"/>
  <c r="A38" i="7"/>
  <c r="A39" i="7"/>
  <c r="A40" i="7"/>
  <c r="A41" i="7"/>
  <c r="A42" i="7"/>
  <c r="A43" i="7"/>
  <c r="A44" i="7"/>
  <c r="A45" i="7"/>
  <c r="A46" i="7"/>
  <c r="A54" i="12"/>
  <c r="B40" i="31"/>
  <c r="B35" i="31"/>
  <c r="A10" i="31"/>
  <c r="A26" i="22"/>
  <c r="I15" i="1"/>
  <c r="G26" i="22"/>
  <c r="A21" i="32"/>
  <c r="A22" i="32"/>
  <c r="A26" i="32"/>
  <c r="G92" i="21"/>
  <c r="G99" i="21"/>
  <c r="G84" i="4"/>
  <c r="G79" i="4"/>
  <c r="A34" i="57"/>
  <c r="A35" i="57"/>
  <c r="A36" i="57"/>
  <c r="A37" i="57"/>
  <c r="A38" i="57"/>
  <c r="A39" i="57"/>
  <c r="A40" i="57"/>
  <c r="A41" i="57"/>
  <c r="A42" i="57"/>
  <c r="A43" i="57"/>
  <c r="A44" i="57"/>
  <c r="A45" i="57"/>
  <c r="G40" i="57"/>
  <c r="G33" i="57"/>
  <c r="I136" i="64"/>
  <c r="A47" i="7"/>
  <c r="A48" i="7"/>
  <c r="A49" i="7"/>
  <c r="A50" i="7"/>
  <c r="A51" i="7"/>
  <c r="A52" i="7"/>
  <c r="A53" i="7"/>
  <c r="A54" i="7"/>
  <c r="A55" i="7"/>
  <c r="G30" i="26"/>
  <c r="G50" i="22"/>
  <c r="F29" i="54"/>
  <c r="G54" i="22"/>
  <c r="G24" i="22"/>
  <c r="I55" i="1"/>
  <c r="A16" i="2"/>
  <c r="A17" i="2"/>
  <c r="A18" i="2"/>
  <c r="A19" i="2"/>
  <c r="A20" i="2"/>
  <c r="A21" i="2"/>
  <c r="A22" i="2"/>
  <c r="G22" i="32"/>
  <c r="A55" i="12"/>
  <c r="A56" i="12"/>
  <c r="A57" i="12"/>
  <c r="A58" i="12"/>
  <c r="A59" i="12"/>
  <c r="H62" i="8"/>
  <c r="A27" i="22"/>
  <c r="H12" i="8"/>
  <c r="A27" i="32"/>
  <c r="A28" i="32"/>
  <c r="B41" i="31"/>
  <c r="B36" i="31"/>
  <c r="A18" i="31"/>
  <c r="E40" i="7"/>
  <c r="G43" i="57"/>
  <c r="G45" i="57"/>
  <c r="A46" i="57"/>
  <c r="A47" i="57"/>
  <c r="G9" i="31"/>
  <c r="G10" i="31"/>
  <c r="E48" i="7"/>
  <c r="E23" i="2"/>
  <c r="A23" i="2"/>
  <c r="B109" i="12"/>
  <c r="A68" i="12"/>
  <c r="A19" i="31"/>
  <c r="A20" i="31"/>
  <c r="A22" i="31"/>
  <c r="A24" i="31"/>
  <c r="A27" i="31"/>
  <c r="A56" i="7"/>
  <c r="A57" i="7"/>
  <c r="A58" i="7"/>
  <c r="A59" i="7"/>
  <c r="A60" i="7"/>
  <c r="A61" i="7"/>
  <c r="E55" i="7"/>
  <c r="G28" i="32"/>
  <c r="A34" i="22"/>
  <c r="G12" i="32"/>
  <c r="G26" i="32"/>
  <c r="G20" i="32"/>
  <c r="A35" i="22"/>
  <c r="A36" i="22"/>
  <c r="A37" i="22"/>
  <c r="A38" i="22"/>
  <c r="A39" i="22"/>
  <c r="A40" i="22"/>
  <c r="A41" i="22"/>
  <c r="A42" i="22"/>
  <c r="A43" i="22"/>
  <c r="A44" i="22"/>
  <c r="A45" i="22"/>
  <c r="A46" i="22"/>
  <c r="G49" i="22"/>
  <c r="A24" i="2"/>
  <c r="E63" i="7"/>
  <c r="A69" i="12"/>
  <c r="A70" i="12"/>
  <c r="A71" i="12"/>
  <c r="A81" i="12"/>
  <c r="A82" i="12"/>
  <c r="A83" i="12"/>
  <c r="A84" i="12"/>
  <c r="A85" i="12"/>
  <c r="A86" i="12"/>
  <c r="B38" i="31"/>
  <c r="H27" i="31"/>
  <c r="A62" i="7"/>
  <c r="A63" i="7"/>
  <c r="E59" i="7"/>
  <c r="E64" i="7"/>
  <c r="E69" i="7"/>
  <c r="E25" i="2"/>
  <c r="A25" i="2"/>
  <c r="G53" i="22"/>
  <c r="A64" i="7"/>
  <c r="A65" i="7"/>
  <c r="B110" i="12"/>
  <c r="A90" i="12"/>
  <c r="A49" i="22"/>
  <c r="A26" i="2"/>
  <c r="A27" i="2"/>
  <c r="A28" i="2"/>
  <c r="E65" i="7"/>
  <c r="A66" i="7"/>
  <c r="A67" i="7"/>
  <c r="A68" i="7"/>
  <c r="A69" i="7"/>
  <c r="A70" i="7"/>
  <c r="A50" i="22"/>
  <c r="A51" i="22"/>
  <c r="H13" i="8"/>
  <c r="A91" i="12"/>
  <c r="A92" i="12"/>
  <c r="A53" i="22"/>
  <c r="I131" i="15"/>
  <c r="I87" i="15"/>
  <c r="I69" i="15"/>
  <c r="E28" i="2"/>
  <c r="A29" i="2"/>
  <c r="A30" i="2"/>
  <c r="A31" i="2"/>
  <c r="A32" i="2"/>
  <c r="I40" i="1"/>
  <c r="G32" i="26"/>
  <c r="G92" i="12"/>
  <c r="A71" i="7"/>
  <c r="E71" i="7"/>
  <c r="A54" i="22"/>
  <c r="A55" i="22"/>
  <c r="I16" i="1"/>
  <c r="G51" i="22"/>
  <c r="A93" i="12"/>
  <c r="A94" i="12"/>
  <c r="G98" i="12"/>
  <c r="C22" i="17"/>
  <c r="A72" i="7"/>
  <c r="A73" i="7"/>
  <c r="A74" i="7"/>
  <c r="A75" i="7"/>
  <c r="A76" i="7"/>
  <c r="A77" i="7"/>
  <c r="A78" i="7"/>
  <c r="A79" i="7"/>
  <c r="A80" i="7"/>
  <c r="A81" i="7"/>
  <c r="A82" i="7"/>
  <c r="A83" i="7"/>
  <c r="A84" i="7"/>
  <c r="A85" i="7"/>
  <c r="A86" i="7"/>
  <c r="E88" i="7"/>
  <c r="A87" i="7"/>
  <c r="A88" i="7"/>
  <c r="A89" i="7"/>
  <c r="C23" i="17"/>
  <c r="I53" i="1"/>
  <c r="G55" i="22"/>
  <c r="A98" i="12"/>
  <c r="G94" i="12"/>
  <c r="E73" i="7"/>
  <c r="E89" i="7"/>
  <c r="E79" i="7"/>
  <c r="A90" i="7"/>
  <c r="A91" i="7"/>
  <c r="I150" i="1"/>
  <c r="A99" i="12"/>
  <c r="A100" i="12"/>
  <c r="A101" i="12"/>
  <c r="E91" i="7"/>
  <c r="E80" i="7"/>
  <c r="E86" i="7"/>
  <c r="E84" i="7"/>
  <c r="G101" i="12"/>
  <c r="A33" i="2"/>
  <c r="A34" i="2"/>
  <c r="A35" i="2"/>
  <c r="A36" i="2"/>
  <c r="E36" i="2"/>
  <c r="E35" i="2"/>
  <c r="A37" i="2"/>
  <c r="A38" i="2"/>
  <c r="A39" i="2"/>
  <c r="A40" i="2"/>
  <c r="A41" i="2"/>
  <c r="A42" i="2"/>
  <c r="E41" i="2"/>
  <c r="E42" i="2"/>
  <c r="A43" i="2"/>
  <c r="A44" i="2"/>
  <c r="A45" i="2"/>
  <c r="A46" i="2"/>
  <c r="A47" i="2"/>
  <c r="A48" i="2"/>
  <c r="A49" i="2"/>
  <c r="A50" i="2"/>
  <c r="A51" i="2"/>
  <c r="A52" i="2"/>
  <c r="A53" i="2"/>
  <c r="A54" i="2"/>
  <c r="E48" i="2"/>
  <c r="E47" i="2"/>
  <c r="E54" i="2"/>
  <c r="E53" i="2"/>
  <c r="K64" i="1"/>
  <c r="K115" i="53" l="1"/>
  <c r="K126" i="53"/>
  <c r="E184" i="4"/>
  <c r="L184" i="4"/>
  <c r="I184" i="4"/>
  <c r="H184" i="4"/>
  <c r="D184" i="4"/>
  <c r="K184" i="4"/>
  <c r="K231" i="4" s="1"/>
  <c r="K236" i="4" s="1"/>
  <c r="J184" i="4"/>
  <c r="J231" i="4" s="1"/>
  <c r="G184" i="4"/>
  <c r="C191" i="4"/>
  <c r="C184" i="4"/>
  <c r="E200" i="4"/>
  <c r="C144" i="4"/>
  <c r="H183" i="1"/>
  <c r="K49" i="1" s="1"/>
  <c r="F28" i="11"/>
  <c r="L26" i="82"/>
  <c r="P23" i="48"/>
  <c r="E78" i="7"/>
  <c r="G41" i="57"/>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I62" i="49"/>
  <c r="G52" i="48" s="1"/>
  <c r="G20" i="48" s="1"/>
  <c r="P15" i="48"/>
  <c r="P13" i="48"/>
  <c r="I17" i="26"/>
  <c r="E56" i="49"/>
  <c r="I63" i="49"/>
  <c r="G53" i="48" s="1"/>
  <c r="G21" i="48" s="1"/>
  <c r="I76" i="49"/>
  <c r="G66" i="48" s="1"/>
  <c r="G34" i="48" s="1"/>
  <c r="I60" i="49"/>
  <c r="G50" i="48" s="1"/>
  <c r="G18" i="48" s="1"/>
  <c r="L32" i="84"/>
  <c r="M32" i="84"/>
  <c r="L42" i="84"/>
  <c r="L43" i="84"/>
  <c r="E28" i="56"/>
  <c r="F28" i="56" s="1"/>
  <c r="H194" i="4"/>
  <c r="E143" i="4"/>
  <c r="E202" i="4" s="1"/>
  <c r="M106" i="4"/>
  <c r="E13" i="32"/>
  <c r="D49" i="71"/>
  <c r="D23" i="71"/>
  <c r="D34" i="71" s="1"/>
  <c r="E49" i="71"/>
  <c r="A23" i="71"/>
  <c r="G23" i="71"/>
  <c r="P28" i="48"/>
  <c r="E97" i="11"/>
  <c r="G97" i="11" s="1"/>
  <c r="E104" i="11"/>
  <c r="G104" i="11" s="1"/>
  <c r="E103" i="11"/>
  <c r="G103" i="11" s="1"/>
  <c r="E98" i="11"/>
  <c r="G98" i="11" s="1"/>
  <c r="E106" i="11"/>
  <c r="G106" i="11" s="1"/>
  <c r="E100" i="11"/>
  <c r="G100" i="11" s="1"/>
  <c r="E107" i="11"/>
  <c r="G107" i="11" s="1"/>
  <c r="E108" i="11"/>
  <c r="G108" i="11" s="1"/>
  <c r="E102" i="11"/>
  <c r="G102" i="11" s="1"/>
  <c r="E109" i="11"/>
  <c r="G109" i="11" s="1"/>
  <c r="E105" i="11"/>
  <c r="G105" i="11" s="1"/>
  <c r="E99" i="11"/>
  <c r="E101" i="11"/>
  <c r="G101" i="11" s="1"/>
  <c r="I56" i="49"/>
  <c r="G46" i="48" s="1"/>
  <c r="G14" i="48" s="1"/>
  <c r="I70" i="49"/>
  <c r="G60" i="48" s="1"/>
  <c r="G28" i="48" s="1"/>
  <c r="E65" i="49"/>
  <c r="F65" i="49"/>
  <c r="I58" i="49"/>
  <c r="G48" i="48" s="1"/>
  <c r="G16" i="48" s="1"/>
  <c r="I72" i="49"/>
  <c r="G62" i="48" s="1"/>
  <c r="G30" i="48" s="1"/>
  <c r="I71" i="49"/>
  <c r="G61" i="48" s="1"/>
  <c r="G29" i="48" s="1"/>
  <c r="I59" i="49"/>
  <c r="G49" i="48" s="1"/>
  <c r="G17" i="48" s="1"/>
  <c r="I73" i="49"/>
  <c r="G63" i="48" s="1"/>
  <c r="G31" i="48" s="1"/>
  <c r="I57" i="49"/>
  <c r="G47" i="48" s="1"/>
  <c r="G15" i="48" s="1"/>
  <c r="I64" i="49"/>
  <c r="G54" i="48" s="1"/>
  <c r="G22" i="48" s="1"/>
  <c r="I55" i="49"/>
  <c r="G45" i="48" s="1"/>
  <c r="K45" i="48" s="1"/>
  <c r="I69" i="49"/>
  <c r="G59" i="48" s="1"/>
  <c r="G27" i="48" s="1"/>
  <c r="I74" i="49"/>
  <c r="G64" i="48" s="1"/>
  <c r="G32" i="48" s="1"/>
  <c r="I65" i="49"/>
  <c r="G55" i="48" s="1"/>
  <c r="G23" i="48" s="1"/>
  <c r="E64" i="49"/>
  <c r="E72" i="49"/>
  <c r="E71" i="49"/>
  <c r="I66" i="49"/>
  <c r="G56" i="48" s="1"/>
  <c r="G24" i="48" s="1"/>
  <c r="I67" i="49"/>
  <c r="G57" i="48" s="1"/>
  <c r="G25" i="48" s="1"/>
  <c r="I68" i="49"/>
  <c r="G58" i="48" s="1"/>
  <c r="G26" i="48" s="1"/>
  <c r="I78" i="49"/>
  <c r="G68" i="48" s="1"/>
  <c r="G36" i="48" s="1"/>
  <c r="I61" i="49"/>
  <c r="G51" i="48" s="1"/>
  <c r="G19" i="48" s="1"/>
  <c r="I75" i="49"/>
  <c r="G65" i="48" s="1"/>
  <c r="G33" i="48" s="1"/>
  <c r="I77" i="49"/>
  <c r="G67" i="48" s="1"/>
  <c r="G35" i="48" s="1"/>
  <c r="F159" i="49"/>
  <c r="F59" i="49" s="1"/>
  <c r="E59" i="49"/>
  <c r="F173" i="49"/>
  <c r="E73" i="49"/>
  <c r="F172" i="49"/>
  <c r="F72" i="49" s="1"/>
  <c r="F160" i="49"/>
  <c r="F60" i="49" s="1"/>
  <c r="E60" i="49"/>
  <c r="F174" i="49"/>
  <c r="F74" i="49" s="1"/>
  <c r="E74" i="49"/>
  <c r="F170" i="49"/>
  <c r="F70" i="49" s="1"/>
  <c r="E70" i="49"/>
  <c r="F156" i="49"/>
  <c r="F56" i="49" s="1"/>
  <c r="F157" i="49"/>
  <c r="F57" i="49" s="1"/>
  <c r="E57" i="49"/>
  <c r="F164" i="49"/>
  <c r="F64" i="49" s="1"/>
  <c r="F158" i="49"/>
  <c r="E58" i="49"/>
  <c r="F161" i="49"/>
  <c r="F61" i="49" s="1"/>
  <c r="E61" i="49"/>
  <c r="F175" i="49"/>
  <c r="F75" i="49" s="1"/>
  <c r="E75" i="49"/>
  <c r="F162" i="49"/>
  <c r="F62" i="49" s="1"/>
  <c r="E62" i="49"/>
  <c r="F155" i="49"/>
  <c r="F55" i="49" s="1"/>
  <c r="E55" i="49"/>
  <c r="F178" i="49"/>
  <c r="F78" i="49" s="1"/>
  <c r="E78" i="49"/>
  <c r="F176" i="49"/>
  <c r="F76" i="49" s="1"/>
  <c r="E76" i="49"/>
  <c r="F166" i="49"/>
  <c r="E66" i="49"/>
  <c r="F167" i="49"/>
  <c r="F67" i="49" s="1"/>
  <c r="E67" i="49"/>
  <c r="F163" i="49"/>
  <c r="E63" i="49"/>
  <c r="F177" i="49"/>
  <c r="F77" i="49" s="1"/>
  <c r="E77" i="49"/>
  <c r="F168" i="49"/>
  <c r="E68" i="49"/>
  <c r="F169" i="49"/>
  <c r="E69" i="49"/>
  <c r="F30" i="11"/>
  <c r="F50" i="11"/>
  <c r="E40" i="11"/>
  <c r="K28" i="1" s="1"/>
  <c r="H54" i="15"/>
  <c r="H68" i="15" s="1"/>
  <c r="H117" i="15"/>
  <c r="H130" i="15" s="1"/>
  <c r="J27" i="82"/>
  <c r="E128" i="48"/>
  <c r="K22" i="1"/>
  <c r="D39" i="7"/>
  <c r="D80" i="64"/>
  <c r="E110" i="21" s="1"/>
  <c r="E111" i="85"/>
  <c r="F111" i="85"/>
  <c r="I16" i="26"/>
  <c r="G74" i="8"/>
  <c r="I152" i="1"/>
  <c r="G105" i="85"/>
  <c r="E260" i="61" s="1"/>
  <c r="N260" i="61" s="1"/>
  <c r="N263" i="61" s="1"/>
  <c r="G94" i="85"/>
  <c r="G80" i="85"/>
  <c r="F178" i="1" s="1"/>
  <c r="H178" i="1" s="1"/>
  <c r="K39" i="1" s="1"/>
  <c r="G73" i="85"/>
  <c r="G49" i="85"/>
  <c r="E226" i="4"/>
  <c r="K192" i="4"/>
  <c r="F200" i="4"/>
  <c r="I15" i="26"/>
  <c r="I18" i="26"/>
  <c r="I19" i="26"/>
  <c r="E62" i="46"/>
  <c r="A44" i="46"/>
  <c r="A52" i="46" s="1"/>
  <c r="A53" i="46" s="1"/>
  <c r="A54" i="46" s="1"/>
  <c r="A55" i="46" s="1"/>
  <c r="A56" i="46" s="1"/>
  <c r="A57" i="46" s="1"/>
  <c r="A58" i="46" s="1"/>
  <c r="E120" i="48"/>
  <c r="E119" i="48"/>
  <c r="E129" i="48"/>
  <c r="A84" i="21"/>
  <c r="A85" i="21" s="1"/>
  <c r="A86" i="21" s="1"/>
  <c r="A91" i="21" s="1"/>
  <c r="G195" i="4"/>
  <c r="C201" i="4"/>
  <c r="E24" i="64"/>
  <c r="C127" i="48" s="1"/>
  <c r="E127" i="48" s="1"/>
  <c r="C195" i="4"/>
  <c r="C80" i="64"/>
  <c r="A81" i="64"/>
  <c r="A82" i="64" s="1"/>
  <c r="A83" i="64" s="1"/>
  <c r="A84" i="64" s="1"/>
  <c r="A85" i="64" s="1"/>
  <c r="A86" i="64" s="1"/>
  <c r="A87" i="64" s="1"/>
  <c r="A88" i="64" s="1"/>
  <c r="A89" i="64" s="1"/>
  <c r="A90" i="64" s="1"/>
  <c r="A91" i="64" s="1"/>
  <c r="A92" i="64" s="1"/>
  <c r="A93" i="64" s="1"/>
  <c r="K194" i="4"/>
  <c r="K195" i="4"/>
  <c r="H196" i="4"/>
  <c r="L200" i="4"/>
  <c r="C194" i="4"/>
  <c r="C197" i="4"/>
  <c r="D198" i="4"/>
  <c r="J197" i="4"/>
  <c r="D194" i="4"/>
  <c r="G200" i="4"/>
  <c r="I192" i="4"/>
  <c r="G226" i="4"/>
  <c r="D202" i="4"/>
  <c r="C199" i="4"/>
  <c r="J198" i="4"/>
  <c r="H195" i="4"/>
  <c r="I199" i="4"/>
  <c r="K202" i="4"/>
  <c r="I200" i="4"/>
  <c r="F58" i="4"/>
  <c r="F192" i="4"/>
  <c r="E197" i="4"/>
  <c r="H199" i="4"/>
  <c r="I201" i="4"/>
  <c r="A11" i="56"/>
  <c r="A12" i="56" s="1"/>
  <c r="D57" i="71"/>
  <c r="E57" i="71"/>
  <c r="F27" i="12"/>
  <c r="F41" i="12" s="1"/>
  <c r="J452" i="49"/>
  <c r="K452" i="49" s="1"/>
  <c r="K55" i="49" s="1"/>
  <c r="F27" i="11"/>
  <c r="F65" i="11" s="1"/>
  <c r="F26" i="11"/>
  <c r="E57" i="7"/>
  <c r="E46" i="7"/>
  <c r="A26" i="49"/>
  <c r="A33" i="49" s="1"/>
  <c r="A34" i="49" s="1"/>
  <c r="A35" i="49" s="1"/>
  <c r="A36" i="49" s="1"/>
  <c r="A37" i="49" s="1"/>
  <c r="A38" i="49" s="1"/>
  <c r="A39" i="49" s="1"/>
  <c r="A40" i="49" s="1"/>
  <c r="A41" i="49" s="1"/>
  <c r="A42" i="49" s="1"/>
  <c r="A43" i="49" s="1"/>
  <c r="A44" i="49" s="1"/>
  <c r="A45" i="49" s="1"/>
  <c r="E53" i="7"/>
  <c r="A28" i="11"/>
  <c r="A29" i="11" s="1"/>
  <c r="A30" i="11" s="1"/>
  <c r="A31" i="11" s="1"/>
  <c r="A32" i="11" s="1"/>
  <c r="A33" i="11" s="1"/>
  <c r="A34" i="11" s="1"/>
  <c r="A35" i="11" s="1"/>
  <c r="A36" i="11" s="1"/>
  <c r="A37" i="11" s="1"/>
  <c r="A38" i="11" s="1"/>
  <c r="A39" i="11" s="1"/>
  <c r="A40" i="11" s="1"/>
  <c r="F56" i="12"/>
  <c r="P29" i="48"/>
  <c r="P18" i="48"/>
  <c r="F32" i="11"/>
  <c r="L268" i="61"/>
  <c r="C15" i="57"/>
  <c r="E18" i="57"/>
  <c r="J53" i="46"/>
  <c r="C116" i="46" s="1"/>
  <c r="J54" i="46"/>
  <c r="C117" i="46" s="1"/>
  <c r="G192" i="4"/>
  <c r="E196" i="4"/>
  <c r="J194" i="4"/>
  <c r="E199" i="4"/>
  <c r="E119" i="64"/>
  <c r="E128" i="64" s="1"/>
  <c r="K122" i="53"/>
  <c r="L122" i="53" s="1"/>
  <c r="F68" i="15"/>
  <c r="F70" i="15" s="1"/>
  <c r="I8" i="26"/>
  <c r="E86" i="21"/>
  <c r="F91" i="21" s="1"/>
  <c r="B194" i="21"/>
  <c r="A25" i="21"/>
  <c r="F53" i="56"/>
  <c r="F12" i="56"/>
  <c r="M56" i="61"/>
  <c r="M90" i="61" s="1"/>
  <c r="J90" i="61"/>
  <c r="P30" i="48"/>
  <c r="P16" i="48"/>
  <c r="P22" i="48"/>
  <c r="P32" i="48"/>
  <c r="P24" i="48"/>
  <c r="P17" i="48"/>
  <c r="C10" i="57"/>
  <c r="L126" i="53"/>
  <c r="K121" i="53"/>
  <c r="L121" i="53" s="1"/>
  <c r="K125" i="53"/>
  <c r="K128" i="53"/>
  <c r="L128" i="53" s="1"/>
  <c r="I20" i="26"/>
  <c r="F119" i="64"/>
  <c r="F128" i="64" s="1"/>
  <c r="H202" i="4"/>
  <c r="F196" i="4"/>
  <c r="E192" i="4"/>
  <c r="F197" i="4"/>
  <c r="G194" i="4"/>
  <c r="K191" i="4"/>
  <c r="K200" i="4"/>
  <c r="G28" i="26"/>
  <c r="A12" i="26"/>
  <c r="A13" i="26" s="1"/>
  <c r="A14" i="26" s="1"/>
  <c r="A15" i="26" s="1"/>
  <c r="A16" i="26" s="1"/>
  <c r="A17" i="26" s="1"/>
  <c r="A18" i="26" s="1"/>
  <c r="A19" i="26" s="1"/>
  <c r="I12" i="26"/>
  <c r="I14" i="26"/>
  <c r="G41" i="26"/>
  <c r="D41" i="26" s="1"/>
  <c r="G7" i="26" s="1"/>
  <c r="I7" i="26" s="1"/>
  <c r="I9" i="26"/>
  <c r="I10" i="26"/>
  <c r="I11" i="26"/>
  <c r="F28" i="26" s="1"/>
  <c r="J51" i="8"/>
  <c r="A13" i="8"/>
  <c r="A14" i="8" s="1"/>
  <c r="A15" i="8" s="1"/>
  <c r="A18" i="8" s="1"/>
  <c r="F55" i="12"/>
  <c r="J155" i="49"/>
  <c r="K155" i="49" s="1"/>
  <c r="F35" i="11"/>
  <c r="F33" i="11"/>
  <c r="F29" i="11"/>
  <c r="A26" i="4"/>
  <c r="M178" i="4"/>
  <c r="G193" i="4"/>
  <c r="F194" i="4"/>
  <c r="G191" i="4"/>
  <c r="L193" i="4"/>
  <c r="L201" i="4"/>
  <c r="I24" i="64"/>
  <c r="C131" i="48" s="1"/>
  <c r="E131" i="48" s="1"/>
  <c r="D196" i="4"/>
  <c r="H193" i="4"/>
  <c r="E193" i="4"/>
  <c r="I195" i="4"/>
  <c r="L202" i="4"/>
  <c r="L196" i="4"/>
  <c r="D191" i="4"/>
  <c r="J201" i="4"/>
  <c r="J199" i="4"/>
  <c r="M136" i="4"/>
  <c r="L195" i="4"/>
  <c r="H201" i="4"/>
  <c r="P26" i="48"/>
  <c r="P21" i="48"/>
  <c r="I91" i="48"/>
  <c r="J91" i="48" s="1"/>
  <c r="J28" i="48" s="1"/>
  <c r="H28" i="48"/>
  <c r="I99" i="48"/>
  <c r="J99" i="48" s="1"/>
  <c r="J36" i="48" s="1"/>
  <c r="H20" i="48"/>
  <c r="P19" i="48"/>
  <c r="J353" i="49"/>
  <c r="J354" i="49" s="1"/>
  <c r="E70" i="8"/>
  <c r="E152" i="71"/>
  <c r="D111" i="85"/>
  <c r="I13" i="26"/>
  <c r="E90" i="46"/>
  <c r="K27" i="46"/>
  <c r="C90" i="46" s="1"/>
  <c r="M12" i="46"/>
  <c r="E75" i="46" s="1"/>
  <c r="I75" i="46" s="1"/>
  <c r="J43" i="46"/>
  <c r="K26" i="46"/>
  <c r="C89" i="46" s="1"/>
  <c r="K11" i="46"/>
  <c r="C74" i="46" s="1"/>
  <c r="G94" i="46"/>
  <c r="K16" i="46"/>
  <c r="C79" i="46" s="1"/>
  <c r="K18" i="46"/>
  <c r="C81" i="46" s="1"/>
  <c r="G68" i="61"/>
  <c r="H90" i="61"/>
  <c r="G53" i="61"/>
  <c r="N255" i="61"/>
  <c r="G255" i="61"/>
  <c r="N243" i="61"/>
  <c r="G8" i="61"/>
  <c r="I8" i="61"/>
  <c r="J8" i="61"/>
  <c r="N8" i="61"/>
  <c r="L38" i="84"/>
  <c r="M38" i="84"/>
  <c r="H28" i="84"/>
  <c r="H48" i="84" s="1"/>
  <c r="I49" i="84" s="1"/>
  <c r="K107" i="1" s="1"/>
  <c r="J46" i="84"/>
  <c r="L18" i="84"/>
  <c r="M35" i="84"/>
  <c r="L26" i="84"/>
  <c r="M43" i="84"/>
  <c r="H49" i="83"/>
  <c r="H27" i="83"/>
  <c r="K20" i="57"/>
  <c r="D12" i="57"/>
  <c r="C11" i="57"/>
  <c r="J20" i="57"/>
  <c r="D27" i="57" s="1"/>
  <c r="L44" i="84"/>
  <c r="M44" i="84"/>
  <c r="L33" i="84"/>
  <c r="M33" i="84"/>
  <c r="L40" i="84"/>
  <c r="M40" i="84"/>
  <c r="L20" i="84"/>
  <c r="M20" i="84"/>
  <c r="M36" i="84"/>
  <c r="L36" i="84"/>
  <c r="M41" i="84"/>
  <c r="L41" i="84"/>
  <c r="K46" i="84"/>
  <c r="M31" i="84"/>
  <c r="L31" i="84"/>
  <c r="L39" i="84"/>
  <c r="M39" i="84"/>
  <c r="L35" i="84"/>
  <c r="F48" i="84"/>
  <c r="M42" i="84"/>
  <c r="I49" i="83"/>
  <c r="J14" i="84"/>
  <c r="J28" i="84" s="1"/>
  <c r="J48" i="84" s="1"/>
  <c r="L34" i="84"/>
  <c r="M37" i="84"/>
  <c r="M34" i="84"/>
  <c r="D48" i="84"/>
  <c r="M18" i="84"/>
  <c r="A131" i="15"/>
  <c r="A132" i="15" s="1"/>
  <c r="E12" i="15" s="1"/>
  <c r="A52" i="15"/>
  <c r="A70" i="15"/>
  <c r="I70" i="15"/>
  <c r="E11" i="15"/>
  <c r="A91" i="15"/>
  <c r="A14" i="15"/>
  <c r="I88" i="15"/>
  <c r="E28" i="84"/>
  <c r="E48" i="84" s="1"/>
  <c r="H17" i="83"/>
  <c r="F54" i="12"/>
  <c r="G75" i="21"/>
  <c r="J19" i="8" s="1"/>
  <c r="K38" i="46"/>
  <c r="C101" i="46" s="1"/>
  <c r="K14" i="46"/>
  <c r="C77" i="46" s="1"/>
  <c r="K24" i="46"/>
  <c r="C87" i="46" s="1"/>
  <c r="D79" i="46"/>
  <c r="K32" i="46"/>
  <c r="C95" i="46" s="1"/>
  <c r="K30" i="46"/>
  <c r="C93" i="46" s="1"/>
  <c r="K28" i="46"/>
  <c r="C91" i="46" s="1"/>
  <c r="D89" i="46"/>
  <c r="H89" i="46" s="1"/>
  <c r="G89" i="46" s="1"/>
  <c r="E60" i="46"/>
  <c r="K116" i="53"/>
  <c r="K124" i="53"/>
  <c r="L124" i="53" s="1"/>
  <c r="L123" i="53"/>
  <c r="I130" i="53"/>
  <c r="K118" i="53"/>
  <c r="L118" i="53" s="1"/>
  <c r="I191" i="4"/>
  <c r="L198" i="4"/>
  <c r="M175" i="4"/>
  <c r="M174" i="4"/>
  <c r="H231" i="4"/>
  <c r="H236" i="4" s="1"/>
  <c r="H191" i="4"/>
  <c r="G202" i="4"/>
  <c r="M177" i="4"/>
  <c r="M173" i="4"/>
  <c r="F198" i="4"/>
  <c r="G196" i="4"/>
  <c r="K201" i="4"/>
  <c r="L197" i="4"/>
  <c r="E194" i="4"/>
  <c r="F202" i="4"/>
  <c r="C192" i="4"/>
  <c r="F199" i="4"/>
  <c r="D119" i="64"/>
  <c r="D128" i="64" s="1"/>
  <c r="K24" i="64"/>
  <c r="C133" i="48" s="1"/>
  <c r="E133" i="48" s="1"/>
  <c r="L24" i="64"/>
  <c r="C134" i="48" s="1"/>
  <c r="E134" i="48" s="1"/>
  <c r="F226" i="4"/>
  <c r="P33" i="48"/>
  <c r="P27" i="48"/>
  <c r="F78" i="4"/>
  <c r="F130" i="53"/>
  <c r="L115" i="53"/>
  <c r="L125" i="53"/>
  <c r="K127" i="53"/>
  <c r="L127" i="53" s="1"/>
  <c r="J130" i="53"/>
  <c r="K120" i="53"/>
  <c r="L120" i="53" s="1"/>
  <c r="L119" i="53"/>
  <c r="J28" i="53"/>
  <c r="K117" i="53"/>
  <c r="I20" i="57"/>
  <c r="C27" i="57" s="1"/>
  <c r="C16" i="57"/>
  <c r="H20" i="57"/>
  <c r="D26" i="57" s="1"/>
  <c r="E12" i="57"/>
  <c r="F83" i="46"/>
  <c r="I83" i="46" s="1"/>
  <c r="M255" i="61"/>
  <c r="G243" i="61"/>
  <c r="J243" i="61"/>
  <c r="G13" i="2"/>
  <c r="G14" i="2" s="1"/>
  <c r="J52" i="46"/>
  <c r="C115" i="46" s="1"/>
  <c r="C58" i="46"/>
  <c r="L58" i="46"/>
  <c r="K23" i="46"/>
  <c r="C86" i="46" s="1"/>
  <c r="K22" i="46"/>
  <c r="C85" i="46" s="1"/>
  <c r="K19" i="46"/>
  <c r="C82" i="46" s="1"/>
  <c r="K37" i="46"/>
  <c r="C100" i="46" s="1"/>
  <c r="K13" i="46"/>
  <c r="C76" i="46" s="1"/>
  <c r="C43" i="46"/>
  <c r="K31" i="46"/>
  <c r="C94" i="46" s="1"/>
  <c r="K39" i="46"/>
  <c r="C102" i="46" s="1"/>
  <c r="K15" i="46"/>
  <c r="C78" i="46" s="1"/>
  <c r="I95" i="48"/>
  <c r="J95" i="48" s="1"/>
  <c r="J32" i="48" s="1"/>
  <c r="H32" i="48"/>
  <c r="I79" i="48"/>
  <c r="I82" i="48"/>
  <c r="I19" i="48" s="1"/>
  <c r="H17" i="48"/>
  <c r="I85" i="48"/>
  <c r="J85" i="48" s="1"/>
  <c r="J22" i="48" s="1"/>
  <c r="I86" i="48"/>
  <c r="I77" i="48"/>
  <c r="J77" i="48" s="1"/>
  <c r="J14" i="48" s="1"/>
  <c r="I96" i="48"/>
  <c r="I33" i="48" s="1"/>
  <c r="P35" i="48"/>
  <c r="P31" i="48"/>
  <c r="H88" i="11"/>
  <c r="G63" i="11" s="1"/>
  <c r="E63" i="11" s="1"/>
  <c r="E83" i="11"/>
  <c r="E81" i="11"/>
  <c r="F49" i="22"/>
  <c r="J386" i="49"/>
  <c r="J387" i="49" s="1"/>
  <c r="J188" i="49"/>
  <c r="J189" i="49" s="1"/>
  <c r="F107" i="49"/>
  <c r="F31" i="11"/>
  <c r="M26" i="84"/>
  <c r="M19" i="84"/>
  <c r="L19" i="84"/>
  <c r="K17" i="84"/>
  <c r="L22" i="84"/>
  <c r="M22" i="84"/>
  <c r="I24" i="83"/>
  <c r="K21" i="84" s="1"/>
  <c r="G28" i="84"/>
  <c r="G48" i="84" s="1"/>
  <c r="L11" i="84"/>
  <c r="M11" i="84"/>
  <c r="L12" i="84"/>
  <c r="M12" i="84"/>
  <c r="L10" i="84"/>
  <c r="M10" i="84"/>
  <c r="I12" i="83"/>
  <c r="D130" i="15"/>
  <c r="F130" i="15"/>
  <c r="F132" i="15" s="1"/>
  <c r="D68" i="15"/>
  <c r="N146" i="21"/>
  <c r="H144" i="4"/>
  <c r="H24" i="64"/>
  <c r="C130" i="48" s="1"/>
  <c r="E130" i="48" s="1"/>
  <c r="I231" i="4"/>
  <c r="I236" i="4" s="1"/>
  <c r="F191" i="4"/>
  <c r="J196" i="4"/>
  <c r="K193" i="4"/>
  <c r="K196" i="4"/>
  <c r="E231" i="4"/>
  <c r="C193" i="4"/>
  <c r="D197" i="4"/>
  <c r="G198" i="4"/>
  <c r="M172" i="4"/>
  <c r="D231" i="4"/>
  <c r="D236" i="4" s="1"/>
  <c r="L231" i="4"/>
  <c r="L236" i="4" s="1"/>
  <c r="D199" i="4"/>
  <c r="J195" i="4"/>
  <c r="M183" i="4"/>
  <c r="G231" i="4"/>
  <c r="F195" i="4"/>
  <c r="G199" i="4"/>
  <c r="I194" i="4"/>
  <c r="K198" i="4"/>
  <c r="L194" i="4"/>
  <c r="M181" i="4"/>
  <c r="M180" i="4"/>
  <c r="M179" i="4"/>
  <c r="M176" i="4"/>
  <c r="F231" i="4"/>
  <c r="M182" i="4"/>
  <c r="M140" i="4"/>
  <c r="H198" i="4"/>
  <c r="M135" i="4"/>
  <c r="J191" i="4"/>
  <c r="I197" i="4"/>
  <c r="J202" i="4"/>
  <c r="M139" i="4"/>
  <c r="I144" i="4"/>
  <c r="I198" i="4"/>
  <c r="M141" i="4"/>
  <c r="M138" i="4"/>
  <c r="D144" i="4"/>
  <c r="M134" i="4"/>
  <c r="M132" i="4"/>
  <c r="M137" i="4"/>
  <c r="I89" i="65"/>
  <c r="A25" i="65"/>
  <c r="B8" i="65"/>
  <c r="E72" i="8"/>
  <c r="E153" i="71"/>
  <c r="A15" i="1"/>
  <c r="K44" i="1"/>
  <c r="J59" i="8"/>
  <c r="J53" i="8"/>
  <c r="K104" i="1"/>
  <c r="L51" i="84" s="1"/>
  <c r="J58" i="8"/>
  <c r="G21" i="45"/>
  <c r="J9" i="8" s="1"/>
  <c r="N80" i="61"/>
  <c r="I60" i="46"/>
  <c r="E119" i="46"/>
  <c r="I119" i="46" s="1"/>
  <c r="G119" i="46" s="1"/>
  <c r="J55" i="46"/>
  <c r="C118" i="46" s="1"/>
  <c r="D60" i="46"/>
  <c r="C145" i="46" s="1"/>
  <c r="H57" i="46" s="1"/>
  <c r="K57" i="46" s="1"/>
  <c r="J56" i="46"/>
  <c r="C119" i="46" s="1"/>
  <c r="D81" i="46"/>
  <c r="H81" i="46" s="1"/>
  <c r="G81" i="46" s="1"/>
  <c r="K20" i="46"/>
  <c r="C83" i="46" s="1"/>
  <c r="K36" i="46"/>
  <c r="C99" i="46" s="1"/>
  <c r="K33" i="46"/>
  <c r="C96" i="46" s="1"/>
  <c r="G84" i="46"/>
  <c r="G77" i="46"/>
  <c r="G91" i="46"/>
  <c r="D75" i="46"/>
  <c r="H75" i="46" s="1"/>
  <c r="G92" i="46"/>
  <c r="G85" i="46"/>
  <c r="G98" i="46"/>
  <c r="G80" i="46"/>
  <c r="G102" i="46"/>
  <c r="G78" i="46"/>
  <c r="G88" i="46"/>
  <c r="G100" i="46"/>
  <c r="G86" i="46"/>
  <c r="K40" i="46"/>
  <c r="C103" i="46" s="1"/>
  <c r="K25" i="46"/>
  <c r="C88" i="46" s="1"/>
  <c r="K21" i="46"/>
  <c r="C84" i="46" s="1"/>
  <c r="K17" i="46"/>
  <c r="C80" i="46" s="1"/>
  <c r="D96" i="46"/>
  <c r="H96" i="46" s="1"/>
  <c r="G96" i="46" s="1"/>
  <c r="K34" i="46"/>
  <c r="C97" i="46" s="1"/>
  <c r="K29" i="46"/>
  <c r="C92" i="46" s="1"/>
  <c r="K35" i="46"/>
  <c r="C98" i="46" s="1"/>
  <c r="L116" i="53"/>
  <c r="N67" i="61"/>
  <c r="I66" i="61"/>
  <c r="I90" i="61" s="1"/>
  <c r="G67" i="61"/>
  <c r="N81" i="61"/>
  <c r="I252" i="61"/>
  <c r="I255" i="61" s="1"/>
  <c r="J255" i="61"/>
  <c r="I243" i="61"/>
  <c r="M243" i="61"/>
  <c r="H199" i="61"/>
  <c r="I177" i="61"/>
  <c r="I199" i="61" s="1"/>
  <c r="N199" i="61"/>
  <c r="M199" i="61"/>
  <c r="G199" i="61"/>
  <c r="J199" i="61"/>
  <c r="M260" i="61"/>
  <c r="M263" i="61" s="1"/>
  <c r="I48" i="61"/>
  <c r="I53" i="61" s="1"/>
  <c r="G263" i="61"/>
  <c r="N65" i="61"/>
  <c r="M53" i="61"/>
  <c r="J53" i="61"/>
  <c r="I45" i="61"/>
  <c r="J45" i="61"/>
  <c r="N45" i="61"/>
  <c r="M45" i="61"/>
  <c r="G45" i="61"/>
  <c r="M4" i="61"/>
  <c r="M8" i="61" s="1"/>
  <c r="F118" i="46"/>
  <c r="F115" i="46"/>
  <c r="F117" i="46"/>
  <c r="F116" i="46"/>
  <c r="F79" i="46"/>
  <c r="F74" i="46"/>
  <c r="F87" i="46"/>
  <c r="F76" i="46"/>
  <c r="F97" i="46"/>
  <c r="F95" i="46"/>
  <c r="F93" i="46"/>
  <c r="F103" i="46"/>
  <c r="I101" i="46"/>
  <c r="H101" i="46"/>
  <c r="H82" i="46"/>
  <c r="I82" i="46"/>
  <c r="F90" i="46"/>
  <c r="F99" i="46"/>
  <c r="P36" i="48"/>
  <c r="P25" i="48"/>
  <c r="P20" i="48"/>
  <c r="P34" i="48"/>
  <c r="H27" i="48"/>
  <c r="I90" i="48"/>
  <c r="H34" i="48"/>
  <c r="I97" i="48"/>
  <c r="I20" i="48"/>
  <c r="J83" i="48"/>
  <c r="J20" i="48" s="1"/>
  <c r="J80" i="48"/>
  <c r="J17" i="48" s="1"/>
  <c r="I17" i="48"/>
  <c r="I25" i="48"/>
  <c r="J88" i="48"/>
  <c r="J25" i="48" s="1"/>
  <c r="I94" i="48"/>
  <c r="H31" i="48"/>
  <c r="I76" i="48"/>
  <c r="H13" i="48"/>
  <c r="H24" i="48"/>
  <c r="I87" i="48"/>
  <c r="I81" i="48"/>
  <c r="H18" i="48"/>
  <c r="J92" i="48"/>
  <c r="J29" i="48" s="1"/>
  <c r="I29" i="48"/>
  <c r="I78" i="48"/>
  <c r="H93" i="48"/>
  <c r="H30" i="48" s="1"/>
  <c r="H25" i="48"/>
  <c r="H89" i="48"/>
  <c r="H26" i="48" s="1"/>
  <c r="H29" i="48"/>
  <c r="H98" i="48"/>
  <c r="H35" i="48" s="1"/>
  <c r="H84" i="48"/>
  <c r="H21" i="48" s="1"/>
  <c r="G88" i="11"/>
  <c r="G65" i="11" s="1"/>
  <c r="E70" i="12" s="1"/>
  <c r="E84" i="11"/>
  <c r="E75" i="11"/>
  <c r="E79" i="11"/>
  <c r="E76" i="11"/>
  <c r="E82" i="11"/>
  <c r="E86" i="11"/>
  <c r="E80" i="11"/>
  <c r="E77" i="11"/>
  <c r="E78" i="11"/>
  <c r="E85" i="11"/>
  <c r="G50" i="11"/>
  <c r="E87" i="11"/>
  <c r="F88" i="11"/>
  <c r="G64" i="11" s="1"/>
  <c r="E69" i="12" s="1"/>
  <c r="J419" i="49"/>
  <c r="J320" i="49"/>
  <c r="J321" i="49" s="1"/>
  <c r="K321" i="49" s="1"/>
  <c r="J287" i="49"/>
  <c r="J288" i="49" s="1"/>
  <c r="F290" i="49"/>
  <c r="J254" i="49"/>
  <c r="K254" i="49" s="1"/>
  <c r="J221" i="49"/>
  <c r="J222" i="49" s="1"/>
  <c r="F229" i="49"/>
  <c r="F234" i="49"/>
  <c r="F171" i="49"/>
  <c r="F71" i="49" s="1"/>
  <c r="J122" i="49"/>
  <c r="J123" i="49" s="1"/>
  <c r="K123" i="49" s="1"/>
  <c r="F136" i="49"/>
  <c r="F100" i="49"/>
  <c r="J89" i="49"/>
  <c r="E19" i="71"/>
  <c r="E23" i="71" s="1"/>
  <c r="F51" i="11"/>
  <c r="E51" i="11" s="1"/>
  <c r="E41" i="12" s="1"/>
  <c r="L35" i="82"/>
  <c r="K69" i="1" s="1"/>
  <c r="L45" i="82"/>
  <c r="K73" i="1" s="1"/>
  <c r="L29" i="82"/>
  <c r="K68" i="1" s="1"/>
  <c r="L12" i="82"/>
  <c r="L23" i="82" s="1"/>
  <c r="K65" i="1" s="1"/>
  <c r="C196" i="4"/>
  <c r="D200" i="4"/>
  <c r="E201" i="4"/>
  <c r="I202" i="4"/>
  <c r="C231" i="4"/>
  <c r="C236" i="4" s="1"/>
  <c r="E198" i="4"/>
  <c r="E191" i="4"/>
  <c r="D201" i="4"/>
  <c r="G201" i="4"/>
  <c r="I193" i="4"/>
  <c r="L191" i="4"/>
  <c r="E195" i="4"/>
  <c r="F201" i="4"/>
  <c r="L192" i="4"/>
  <c r="L199" i="4"/>
  <c r="D195" i="4"/>
  <c r="J192" i="4"/>
  <c r="J200" i="4"/>
  <c r="K197" i="4"/>
  <c r="H192" i="4"/>
  <c r="H197" i="4"/>
  <c r="J193" i="4"/>
  <c r="C202" i="4"/>
  <c r="F193" i="4"/>
  <c r="G197" i="4"/>
  <c r="H200" i="4"/>
  <c r="K199" i="4"/>
  <c r="J144" i="4"/>
  <c r="L144" i="4"/>
  <c r="F144" i="4"/>
  <c r="K144" i="4"/>
  <c r="M142" i="4"/>
  <c r="G144" i="4"/>
  <c r="C200" i="4"/>
  <c r="I196" i="4"/>
  <c r="D193" i="4"/>
  <c r="C198" i="4"/>
  <c r="M133" i="4"/>
  <c r="D192" i="4"/>
  <c r="F110" i="21"/>
  <c r="D18" i="57"/>
  <c r="G20" i="57"/>
  <c r="C26" i="57" s="1"/>
  <c r="G21" i="2"/>
  <c r="F55" i="56"/>
  <c r="J24" i="64"/>
  <c r="C132" i="48" s="1"/>
  <c r="E132" i="48" s="1"/>
  <c r="J226" i="4"/>
  <c r="F17" i="56"/>
  <c r="J453" i="49" l="1"/>
  <c r="K453" i="49" s="1"/>
  <c r="E49" i="84"/>
  <c r="I203" i="4"/>
  <c r="J203" i="4"/>
  <c r="M184" i="4"/>
  <c r="C203" i="4"/>
  <c r="F203" i="4"/>
  <c r="G203" i="4"/>
  <c r="L203" i="4"/>
  <c r="H203" i="4"/>
  <c r="H210" i="4" s="1"/>
  <c r="K203" i="4"/>
  <c r="E203" i="4"/>
  <c r="D203" i="4"/>
  <c r="F68" i="49"/>
  <c r="H31" i="83"/>
  <c r="H51" i="83" s="1"/>
  <c r="F66" i="49"/>
  <c r="G72" i="48"/>
  <c r="A107" i="48"/>
  <c r="E39" i="56"/>
  <c r="E38" i="56"/>
  <c r="E37" i="56"/>
  <c r="E144" i="4"/>
  <c r="M144" i="4" s="1"/>
  <c r="E20" i="57"/>
  <c r="C12" i="57"/>
  <c r="C28" i="57"/>
  <c r="I24" i="26"/>
  <c r="F27" i="26" s="1"/>
  <c r="F29" i="26" s="1"/>
  <c r="F58" i="49"/>
  <c r="F63" i="49"/>
  <c r="F69" i="49"/>
  <c r="F73" i="49"/>
  <c r="E50" i="11"/>
  <c r="E40" i="12" s="1"/>
  <c r="M46" i="84"/>
  <c r="M143" i="4"/>
  <c r="G46" i="4"/>
  <c r="F46" i="4"/>
  <c r="E46" i="4"/>
  <c r="D46" i="4"/>
  <c r="C38" i="4"/>
  <c r="G45" i="4"/>
  <c r="F45" i="4"/>
  <c r="E45" i="4"/>
  <c r="D45" i="4"/>
  <c r="F44" i="4"/>
  <c r="E44" i="4"/>
  <c r="D44" i="4"/>
  <c r="G43" i="4"/>
  <c r="F43" i="4"/>
  <c r="E43" i="4"/>
  <c r="D43" i="4"/>
  <c r="G42" i="4"/>
  <c r="F42" i="4"/>
  <c r="E42" i="4"/>
  <c r="D42" i="4"/>
  <c r="G41" i="4"/>
  <c r="F41" i="4"/>
  <c r="E41" i="4"/>
  <c r="D41" i="4"/>
  <c r="G40" i="4"/>
  <c r="F40" i="4"/>
  <c r="D40" i="4"/>
  <c r="F39" i="4"/>
  <c r="D39" i="4"/>
  <c r="F38" i="4"/>
  <c r="E38" i="4"/>
  <c r="F37" i="4"/>
  <c r="F36" i="4"/>
  <c r="F31" i="64" s="1"/>
  <c r="F35" i="4"/>
  <c r="G44" i="4"/>
  <c r="E40" i="4"/>
  <c r="G39" i="4"/>
  <c r="E39" i="4"/>
  <c r="G38" i="4"/>
  <c r="D38" i="4"/>
  <c r="G37" i="4"/>
  <c r="E37" i="4"/>
  <c r="D37" i="4"/>
  <c r="G36" i="4"/>
  <c r="E36" i="4"/>
  <c r="D36" i="4"/>
  <c r="G35" i="4"/>
  <c r="E35" i="4"/>
  <c r="D35" i="4"/>
  <c r="I46" i="21"/>
  <c r="C35" i="4"/>
  <c r="C45" i="4"/>
  <c r="C44" i="4"/>
  <c r="C42" i="4"/>
  <c r="I45" i="21"/>
  <c r="I44" i="21"/>
  <c r="I43" i="21"/>
  <c r="I42" i="21"/>
  <c r="I41" i="21"/>
  <c r="I40" i="21"/>
  <c r="I39" i="21"/>
  <c r="I38" i="21"/>
  <c r="C39" i="4"/>
  <c r="C41" i="4"/>
  <c r="C40" i="4"/>
  <c r="I37" i="21"/>
  <c r="I36" i="21"/>
  <c r="C37" i="4"/>
  <c r="C36" i="4"/>
  <c r="C43" i="4"/>
  <c r="I35" i="21"/>
  <c r="C46" i="4"/>
  <c r="M226" i="4"/>
  <c r="H45" i="4"/>
  <c r="H45" i="21"/>
  <c r="G45" i="21"/>
  <c r="F45" i="21"/>
  <c r="E45" i="21"/>
  <c r="D45" i="21"/>
  <c r="H36" i="21"/>
  <c r="H44" i="4"/>
  <c r="H44" i="21"/>
  <c r="G44" i="21"/>
  <c r="F44" i="21"/>
  <c r="E44" i="21"/>
  <c r="D44" i="21"/>
  <c r="G43" i="21"/>
  <c r="H43" i="4"/>
  <c r="H43" i="21"/>
  <c r="H42" i="4"/>
  <c r="H42" i="21"/>
  <c r="G42" i="21"/>
  <c r="F42" i="21"/>
  <c r="E42" i="21"/>
  <c r="D42" i="21"/>
  <c r="F41" i="21"/>
  <c r="F39" i="21"/>
  <c r="E39" i="21"/>
  <c r="G38" i="21"/>
  <c r="G37" i="21"/>
  <c r="F36" i="21"/>
  <c r="E36" i="21"/>
  <c r="D36" i="21"/>
  <c r="H41" i="4"/>
  <c r="H41" i="21"/>
  <c r="G41" i="21"/>
  <c r="E41" i="21"/>
  <c r="D41" i="21"/>
  <c r="G39" i="21"/>
  <c r="D39" i="21"/>
  <c r="H38" i="4"/>
  <c r="H38" i="21"/>
  <c r="F38" i="21"/>
  <c r="E38" i="21"/>
  <c r="D38" i="21"/>
  <c r="H37" i="4"/>
  <c r="H37" i="21"/>
  <c r="F37" i="21"/>
  <c r="D37" i="21"/>
  <c r="H36" i="4"/>
  <c r="H40" i="4"/>
  <c r="H40" i="21"/>
  <c r="G40" i="21"/>
  <c r="F40" i="21"/>
  <c r="E40" i="21"/>
  <c r="D40" i="21"/>
  <c r="H39" i="4"/>
  <c r="H39" i="21"/>
  <c r="E37" i="21"/>
  <c r="G36" i="21"/>
  <c r="H35" i="4"/>
  <c r="H35" i="21"/>
  <c r="G35" i="21"/>
  <c r="F35" i="21"/>
  <c r="E35" i="21"/>
  <c r="D35" i="21"/>
  <c r="H46" i="21"/>
  <c r="G46" i="21"/>
  <c r="F46" i="21"/>
  <c r="E46" i="21"/>
  <c r="D46" i="21"/>
  <c r="F43" i="21"/>
  <c r="E43" i="21"/>
  <c r="D43" i="21"/>
  <c r="H46" i="4"/>
  <c r="D116" i="85"/>
  <c r="K152" i="1" s="1"/>
  <c r="C9" i="9" s="1"/>
  <c r="C18" i="57"/>
  <c r="D20" i="57"/>
  <c r="E27" i="71"/>
  <c r="F34" i="71"/>
  <c r="B209" i="71"/>
  <c r="F27" i="71"/>
  <c r="A27" i="71"/>
  <c r="F120" i="71"/>
  <c r="E263" i="61"/>
  <c r="E110" i="11"/>
  <c r="G99" i="11"/>
  <c r="G110" i="11" s="1"/>
  <c r="J55" i="49"/>
  <c r="F64" i="11"/>
  <c r="E64" i="11" s="1"/>
  <c r="E55" i="12" s="1"/>
  <c r="F40" i="11"/>
  <c r="J24" i="8" s="1"/>
  <c r="F91" i="12" s="1"/>
  <c r="K110" i="1"/>
  <c r="J44" i="8" s="1"/>
  <c r="G117" i="15"/>
  <c r="G130" i="15" s="1"/>
  <c r="E117" i="15"/>
  <c r="E130" i="15" s="1"/>
  <c r="G54" i="15"/>
  <c r="G68" i="15" s="1"/>
  <c r="E54" i="15"/>
  <c r="E68" i="15" s="1"/>
  <c r="D110" i="21"/>
  <c r="N110" i="21" s="1"/>
  <c r="H86" i="21"/>
  <c r="G98" i="21"/>
  <c r="G91" i="21"/>
  <c r="E236" i="4"/>
  <c r="D12" i="56"/>
  <c r="C60" i="46"/>
  <c r="A59" i="46"/>
  <c r="A60" i="46" s="1"/>
  <c r="D145" i="46" s="1"/>
  <c r="E63" i="46"/>
  <c r="A94" i="64"/>
  <c r="B192" i="21"/>
  <c r="G128" i="64"/>
  <c r="F143" i="64" s="1"/>
  <c r="G236" i="4"/>
  <c r="A13" i="56"/>
  <c r="A14" i="56" s="1"/>
  <c r="A15" i="56" s="1"/>
  <c r="A16" i="56" s="1"/>
  <c r="A17" i="56" s="1"/>
  <c r="E54" i="12"/>
  <c r="J454" i="49"/>
  <c r="K454" i="49" s="1"/>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H24" i="8"/>
  <c r="I28" i="1"/>
  <c r="A49" i="11"/>
  <c r="K353" i="49"/>
  <c r="J156" i="49"/>
  <c r="K156" i="49" s="1"/>
  <c r="K221" i="49"/>
  <c r="E271" i="61"/>
  <c r="E272" i="61" s="1"/>
  <c r="N90" i="61"/>
  <c r="E26" i="57"/>
  <c r="A135" i="15"/>
  <c r="I132" i="15"/>
  <c r="K12" i="46"/>
  <c r="C75" i="46" s="1"/>
  <c r="A73" i="21"/>
  <c r="B187" i="21" s="1"/>
  <c r="A92" i="21"/>
  <c r="A93" i="21" s="1"/>
  <c r="I36" i="48"/>
  <c r="J82" i="48"/>
  <c r="J19" i="48" s="1"/>
  <c r="E68" i="12"/>
  <c r="E31" i="57"/>
  <c r="F236" i="4"/>
  <c r="C87" i="26"/>
  <c r="A19" i="8"/>
  <c r="A20" i="8" s="1"/>
  <c r="A21" i="8" s="1"/>
  <c r="H15" i="8"/>
  <c r="I32" i="48"/>
  <c r="I28" i="48"/>
  <c r="J96" i="48"/>
  <c r="J33" i="48" s="1"/>
  <c r="I14" i="48"/>
  <c r="K386" i="49"/>
  <c r="K188" i="49"/>
  <c r="M194" i="4"/>
  <c r="A56" i="4"/>
  <c r="J236" i="4"/>
  <c r="M231" i="4"/>
  <c r="D27" i="71"/>
  <c r="I22" i="48"/>
  <c r="I84" i="48"/>
  <c r="I21" i="48" s="1"/>
  <c r="J124" i="49"/>
  <c r="J125" i="49" s="1"/>
  <c r="M43" i="46"/>
  <c r="L60" i="46" s="1"/>
  <c r="E106" i="46"/>
  <c r="G75" i="46"/>
  <c r="G90" i="61"/>
  <c r="D28" i="57"/>
  <c r="E27" i="57"/>
  <c r="L46" i="84"/>
  <c r="A15" i="15"/>
  <c r="A16" i="15" s="1"/>
  <c r="A17" i="15" s="1"/>
  <c r="A18" i="15" s="1"/>
  <c r="A19" i="15" s="1"/>
  <c r="A20" i="15" s="1"/>
  <c r="A21" i="15" s="1"/>
  <c r="A22" i="15" s="1"/>
  <c r="A23" i="15" s="1"/>
  <c r="A24" i="15" s="1"/>
  <c r="H23" i="8" s="1"/>
  <c r="E19" i="15"/>
  <c r="I26" i="1"/>
  <c r="A73" i="15"/>
  <c r="E10" i="15"/>
  <c r="K130" i="53"/>
  <c r="M199" i="4"/>
  <c r="M201" i="4"/>
  <c r="M197" i="4"/>
  <c r="P37" i="48"/>
  <c r="D41" i="57" s="1"/>
  <c r="L117" i="53"/>
  <c r="L130" i="53" s="1"/>
  <c r="M120" i="53" s="1"/>
  <c r="C18" i="53" s="1"/>
  <c r="H83" i="46"/>
  <c r="G83" i="46" s="1"/>
  <c r="G101" i="46"/>
  <c r="J79" i="48"/>
  <c r="J16" i="48" s="1"/>
  <c r="I16" i="48"/>
  <c r="I23" i="48"/>
  <c r="J86" i="48"/>
  <c r="J23" i="48" s="1"/>
  <c r="J322" i="49"/>
  <c r="K322" i="49" s="1"/>
  <c r="K320" i="49"/>
  <c r="J255" i="49"/>
  <c r="K255" i="49" s="1"/>
  <c r="K122" i="49"/>
  <c r="M21" i="84"/>
  <c r="L21" i="84"/>
  <c r="K24" i="84"/>
  <c r="M17" i="84"/>
  <c r="L17" i="84"/>
  <c r="I27" i="83"/>
  <c r="K9" i="84"/>
  <c r="I17" i="83"/>
  <c r="M195" i="4"/>
  <c r="A26" i="65"/>
  <c r="A27" i="65" s="1"/>
  <c r="A28" i="65" s="1"/>
  <c r="A29" i="65" s="1"/>
  <c r="A30" i="65" s="1"/>
  <c r="A31" i="65" s="1"/>
  <c r="A32" i="65" s="1"/>
  <c r="A33" i="65" s="1"/>
  <c r="A34" i="65" s="1"/>
  <c r="A35" i="65" s="1"/>
  <c r="A36" i="65" s="1"/>
  <c r="B98" i="65" s="1"/>
  <c r="B103" i="65"/>
  <c r="K52" i="1"/>
  <c r="D23" i="7"/>
  <c r="J43" i="8"/>
  <c r="E36" i="71"/>
  <c r="D36" i="71"/>
  <c r="G16" i="12"/>
  <c r="A16" i="1"/>
  <c r="A17" i="1" s="1"/>
  <c r="C144" i="46"/>
  <c r="H42" i="46" s="1"/>
  <c r="L42" i="46" s="1"/>
  <c r="E121" i="46"/>
  <c r="G82" i="46"/>
  <c r="H58" i="46"/>
  <c r="G57" i="46"/>
  <c r="G58" i="46" s="1"/>
  <c r="J57" i="46"/>
  <c r="K58" i="46"/>
  <c r="D120" i="46"/>
  <c r="H116" i="46"/>
  <c r="I116" i="46"/>
  <c r="I117" i="46"/>
  <c r="H117" i="46"/>
  <c r="I115" i="46"/>
  <c r="H115" i="46"/>
  <c r="I118" i="46"/>
  <c r="H118" i="46"/>
  <c r="H93" i="46"/>
  <c r="I93" i="46"/>
  <c r="H95" i="46"/>
  <c r="I95" i="46"/>
  <c r="I97" i="46"/>
  <c r="H97" i="46"/>
  <c r="I76" i="46"/>
  <c r="H76" i="46"/>
  <c r="I87" i="46"/>
  <c r="H87" i="46"/>
  <c r="I74" i="46"/>
  <c r="H74" i="46"/>
  <c r="H103" i="46"/>
  <c r="I103" i="46"/>
  <c r="H79" i="46"/>
  <c r="I79" i="46"/>
  <c r="I90" i="46"/>
  <c r="H90" i="46"/>
  <c r="I99" i="46"/>
  <c r="H99" i="46"/>
  <c r="J76" i="48"/>
  <c r="J13" i="48" s="1"/>
  <c r="I13" i="48"/>
  <c r="I18" i="48"/>
  <c r="J81" i="48"/>
  <c r="J18" i="48" s="1"/>
  <c r="I34" i="48"/>
  <c r="J97" i="48"/>
  <c r="J34" i="48" s="1"/>
  <c r="I98" i="48"/>
  <c r="I89" i="48"/>
  <c r="I15" i="48"/>
  <c r="J78" i="48"/>
  <c r="J15" i="48" s="1"/>
  <c r="I93" i="48"/>
  <c r="I31" i="48"/>
  <c r="J94" i="48"/>
  <c r="J31" i="48" s="1"/>
  <c r="J90" i="48"/>
  <c r="J27" i="48" s="1"/>
  <c r="I27" i="48"/>
  <c r="J87" i="48"/>
  <c r="J24" i="48" s="1"/>
  <c r="I24" i="48"/>
  <c r="E65" i="11"/>
  <c r="E56" i="12" s="1"/>
  <c r="E88" i="11"/>
  <c r="J420" i="49"/>
  <c r="J421" i="49" s="1"/>
  <c r="K387" i="49"/>
  <c r="J388" i="49"/>
  <c r="K354" i="49"/>
  <c r="J355" i="49"/>
  <c r="K287" i="49"/>
  <c r="G13" i="48"/>
  <c r="K46" i="48"/>
  <c r="K47" i="48" s="1"/>
  <c r="N45" i="48"/>
  <c r="K89" i="49"/>
  <c r="J90" i="49"/>
  <c r="E34" i="71"/>
  <c r="J289" i="49"/>
  <c r="K288" i="49"/>
  <c r="K189" i="49"/>
  <c r="J190" i="49"/>
  <c r="K222" i="49"/>
  <c r="J223" i="49"/>
  <c r="L37" i="82"/>
  <c r="K70" i="1" s="1"/>
  <c r="K63" i="1"/>
  <c r="K85" i="1"/>
  <c r="M198" i="4"/>
  <c r="M193" i="4"/>
  <c r="C209" i="4"/>
  <c r="M191" i="4"/>
  <c r="M200" i="4"/>
  <c r="M192" i="4"/>
  <c r="M202" i="4"/>
  <c r="M196" i="4"/>
  <c r="E264" i="61" l="1"/>
  <c r="E268" i="61"/>
  <c r="C20" i="57"/>
  <c r="E28" i="57"/>
  <c r="C29" i="57" s="1"/>
  <c r="M203" i="4"/>
  <c r="E40" i="56"/>
  <c r="E42" i="56" s="1"/>
  <c r="J84" i="48"/>
  <c r="J21" i="48" s="1"/>
  <c r="H72" i="48"/>
  <c r="A111" i="48"/>
  <c r="E74" i="8"/>
  <c r="E54" i="11"/>
  <c r="L24" i="84"/>
  <c r="E40" i="64"/>
  <c r="E109" i="64" s="1"/>
  <c r="D35" i="64"/>
  <c r="D104" i="64" s="1"/>
  <c r="D36" i="64"/>
  <c r="D105" i="64" s="1"/>
  <c r="F35" i="64"/>
  <c r="F104" i="64" s="1"/>
  <c r="E36" i="64"/>
  <c r="E105" i="64" s="1"/>
  <c r="D33" i="64"/>
  <c r="D102" i="64" s="1"/>
  <c r="E37" i="64"/>
  <c r="E106" i="64" s="1"/>
  <c r="G37" i="64"/>
  <c r="G106" i="64" s="1"/>
  <c r="H33" i="64"/>
  <c r="H102" i="64" s="1"/>
  <c r="H37" i="64"/>
  <c r="H106" i="64" s="1"/>
  <c r="H34" i="64"/>
  <c r="H103" i="64" s="1"/>
  <c r="E39" i="64"/>
  <c r="E108" i="64" s="1"/>
  <c r="E30" i="64"/>
  <c r="E99" i="64" s="1"/>
  <c r="F38" i="64"/>
  <c r="F107" i="64" s="1"/>
  <c r="F39" i="64"/>
  <c r="F108" i="64" s="1"/>
  <c r="F40" i="64"/>
  <c r="F109" i="64" s="1"/>
  <c r="F32" i="64"/>
  <c r="F101" i="64" s="1"/>
  <c r="G35" i="64"/>
  <c r="G104" i="64" s="1"/>
  <c r="G33" i="64"/>
  <c r="G102" i="64" s="1"/>
  <c r="H31" i="64"/>
  <c r="H100" i="64" s="1"/>
  <c r="F34" i="64"/>
  <c r="F103" i="64" s="1"/>
  <c r="H38" i="64"/>
  <c r="H107" i="64" s="1"/>
  <c r="G39" i="64"/>
  <c r="G108" i="64" s="1"/>
  <c r="G40" i="64"/>
  <c r="G109" i="64" s="1"/>
  <c r="F100" i="64"/>
  <c r="D37" i="64"/>
  <c r="D106" i="64" s="1"/>
  <c r="D39" i="64"/>
  <c r="D108" i="64" s="1"/>
  <c r="D41" i="64"/>
  <c r="C122" i="48" s="1"/>
  <c r="E122" i="48" s="1"/>
  <c r="G30" i="64"/>
  <c r="G99" i="64" s="1"/>
  <c r="E32" i="64"/>
  <c r="E101" i="64" s="1"/>
  <c r="G31" i="64"/>
  <c r="G100" i="64" s="1"/>
  <c r="D31" i="64"/>
  <c r="D100" i="64" s="1"/>
  <c r="H39" i="64"/>
  <c r="H108" i="64" s="1"/>
  <c r="H40" i="64"/>
  <c r="H109" i="64" s="1"/>
  <c r="E31" i="64"/>
  <c r="E100" i="64" s="1"/>
  <c r="E33" i="64"/>
  <c r="E102" i="64" s="1"/>
  <c r="F37" i="64"/>
  <c r="F106" i="64" s="1"/>
  <c r="E34" i="64"/>
  <c r="E103" i="64" s="1"/>
  <c r="F33" i="64"/>
  <c r="F102" i="64" s="1"/>
  <c r="G36" i="64"/>
  <c r="G105" i="64" s="1"/>
  <c r="D40" i="64"/>
  <c r="D109" i="64" s="1"/>
  <c r="D34" i="64"/>
  <c r="D103" i="64" s="1"/>
  <c r="F30" i="64"/>
  <c r="F99" i="64" s="1"/>
  <c r="E41" i="64"/>
  <c r="C123" i="48" s="1"/>
  <c r="E123" i="48" s="1"/>
  <c r="H30" i="64"/>
  <c r="H99" i="64" s="1"/>
  <c r="H32" i="64"/>
  <c r="H101" i="64" s="1"/>
  <c r="G41" i="64"/>
  <c r="C125" i="48" s="1"/>
  <c r="E125" i="48" s="1"/>
  <c r="G32" i="64"/>
  <c r="G101" i="64" s="1"/>
  <c r="E35" i="64"/>
  <c r="E104" i="64" s="1"/>
  <c r="F36" i="64"/>
  <c r="F105" i="64" s="1"/>
  <c r="H35" i="64"/>
  <c r="H104" i="64" s="1"/>
  <c r="G34" i="64"/>
  <c r="G103" i="64" s="1"/>
  <c r="H36" i="64"/>
  <c r="H105" i="64" s="1"/>
  <c r="D30" i="64"/>
  <c r="D99" i="64" s="1"/>
  <c r="F41" i="64"/>
  <c r="C124" i="48" s="1"/>
  <c r="E124" i="48" s="1"/>
  <c r="D32" i="64"/>
  <c r="D101" i="64" s="1"/>
  <c r="E38" i="64"/>
  <c r="E107" i="64" s="1"/>
  <c r="D38" i="64"/>
  <c r="D107" i="64" s="1"/>
  <c r="G47" i="21"/>
  <c r="F47" i="21"/>
  <c r="H47" i="21"/>
  <c r="G20" i="2"/>
  <c r="H213" i="4"/>
  <c r="H247" i="4" s="1"/>
  <c r="A28" i="71"/>
  <c r="A29" i="71" s="1"/>
  <c r="J91" i="49"/>
  <c r="K91" i="49" s="1"/>
  <c r="J56" i="49"/>
  <c r="H41" i="64"/>
  <c r="C126" i="48" s="1"/>
  <c r="E126" i="48" s="1"/>
  <c r="D17" i="56"/>
  <c r="G117"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A104" i="46" s="1"/>
  <c r="A105" i="46" s="1"/>
  <c r="A106" i="46" s="1"/>
  <c r="D144" i="46"/>
  <c r="A114" i="64"/>
  <c r="A115" i="64" s="1"/>
  <c r="A116" i="64" s="1"/>
  <c r="A117" i="64" s="1"/>
  <c r="A118" i="64" s="1"/>
  <c r="A119" i="64" s="1"/>
  <c r="B149" i="64" s="1"/>
  <c r="L214" i="4"/>
  <c r="L248" i="4" s="1"/>
  <c r="H218" i="4"/>
  <c r="I138" i="21" s="1"/>
  <c r="G216" i="4"/>
  <c r="H136" i="21" s="1"/>
  <c r="I214" i="4"/>
  <c r="I248" i="4" s="1"/>
  <c r="D211" i="4"/>
  <c r="E131" i="21" s="1"/>
  <c r="J209" i="4"/>
  <c r="K129" i="21" s="1"/>
  <c r="F214" i="4"/>
  <c r="F248" i="4" s="1"/>
  <c r="K220" i="4"/>
  <c r="L140" i="21" s="1"/>
  <c r="A18" i="56"/>
  <c r="A19" i="56" s="1"/>
  <c r="A20" i="56" s="1"/>
  <c r="G213" i="4"/>
  <c r="H133" i="21" s="1"/>
  <c r="E68" i="11"/>
  <c r="K124" i="49"/>
  <c r="J157" i="49"/>
  <c r="J158" i="49" s="1"/>
  <c r="K158" i="49" s="1"/>
  <c r="G42" i="57"/>
  <c r="E82" i="7"/>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J455" i="49"/>
  <c r="A50" i="11"/>
  <c r="H39" i="12"/>
  <c r="G97" i="46"/>
  <c r="G218" i="4"/>
  <c r="H138" i="21" s="1"/>
  <c r="G219" i="4"/>
  <c r="H139" i="21" s="1"/>
  <c r="G220" i="4"/>
  <c r="H140" i="21" s="1"/>
  <c r="A98" i="21"/>
  <c r="H20" i="8"/>
  <c r="G93" i="21"/>
  <c r="H75" i="21"/>
  <c r="J213" i="4"/>
  <c r="K133" i="21" s="1"/>
  <c r="J220" i="4"/>
  <c r="K140" i="21" s="1"/>
  <c r="H216" i="4"/>
  <c r="H250" i="4" s="1"/>
  <c r="H209" i="4"/>
  <c r="H243" i="4" s="1"/>
  <c r="H220" i="4"/>
  <c r="H254" i="4" s="1"/>
  <c r="H219" i="4"/>
  <c r="I139" i="21" s="1"/>
  <c r="H211" i="4"/>
  <c r="I131" i="21" s="1"/>
  <c r="H214" i="4"/>
  <c r="I134" i="21" s="1"/>
  <c r="H217" i="4"/>
  <c r="I137" i="21" s="1"/>
  <c r="H212" i="4"/>
  <c r="I132" i="21" s="1"/>
  <c r="G212" i="4"/>
  <c r="G246" i="4" s="1"/>
  <c r="G211" i="4"/>
  <c r="G245" i="4" s="1"/>
  <c r="G209" i="4"/>
  <c r="G243" i="4" s="1"/>
  <c r="G214" i="4"/>
  <c r="H134" i="21" s="1"/>
  <c r="G215" i="4"/>
  <c r="H135" i="21" s="1"/>
  <c r="E124" i="46"/>
  <c r="C31" i="57"/>
  <c r="C33" i="57" s="1"/>
  <c r="C40" i="57" s="1"/>
  <c r="J217" i="4"/>
  <c r="K137" i="21" s="1"/>
  <c r="J216" i="4"/>
  <c r="K136" i="21" s="1"/>
  <c r="J218" i="4"/>
  <c r="K138" i="21" s="1"/>
  <c r="G217" i="4"/>
  <c r="H137" i="21" s="1"/>
  <c r="G210" i="4"/>
  <c r="G244" i="4" s="1"/>
  <c r="G27" i="26"/>
  <c r="A27" i="26"/>
  <c r="H21" i="8"/>
  <c r="I18" i="1"/>
  <c r="A23" i="8"/>
  <c r="H29" i="8"/>
  <c r="K219" i="4"/>
  <c r="K253" i="4" s="1"/>
  <c r="B270" i="4"/>
  <c r="A57" i="4"/>
  <c r="K214" i="4"/>
  <c r="L134" i="21" s="1"/>
  <c r="J214" i="4"/>
  <c r="K134" i="21" s="1"/>
  <c r="K210" i="4"/>
  <c r="K244" i="4" s="1"/>
  <c r="J215" i="4"/>
  <c r="K135" i="21" s="1"/>
  <c r="K216" i="4"/>
  <c r="K250" i="4" s="1"/>
  <c r="K218" i="4"/>
  <c r="K252" i="4" s="1"/>
  <c r="K217" i="4"/>
  <c r="K251" i="4" s="1"/>
  <c r="K215" i="4"/>
  <c r="L135" i="21" s="1"/>
  <c r="K209" i="4"/>
  <c r="L129" i="21" s="1"/>
  <c r="F215" i="4"/>
  <c r="F249" i="4" s="1"/>
  <c r="K212" i="4"/>
  <c r="L132" i="21" s="1"/>
  <c r="K211" i="4"/>
  <c r="L131" i="21" s="1"/>
  <c r="F219" i="4"/>
  <c r="G139" i="21" s="1"/>
  <c r="K213" i="4"/>
  <c r="K247" i="4" s="1"/>
  <c r="F210" i="4"/>
  <c r="F244" i="4" s="1"/>
  <c r="J210" i="4"/>
  <c r="K130" i="21" s="1"/>
  <c r="J323" i="49"/>
  <c r="K323" i="49" s="1"/>
  <c r="J256" i="49"/>
  <c r="J257" i="49" s="1"/>
  <c r="K90" i="49"/>
  <c r="G99" i="46"/>
  <c r="M24" i="84"/>
  <c r="I31" i="83"/>
  <c r="I51" i="83" s="1"/>
  <c r="J212" i="4"/>
  <c r="K132" i="21" s="1"/>
  <c r="L217" i="4"/>
  <c r="M137" i="21" s="1"/>
  <c r="L216" i="4"/>
  <c r="M136" i="21" s="1"/>
  <c r="L211" i="4"/>
  <c r="M131" i="21" s="1"/>
  <c r="L220" i="4"/>
  <c r="M140" i="21" s="1"/>
  <c r="L213" i="4"/>
  <c r="M133" i="21" s="1"/>
  <c r="L218" i="4"/>
  <c r="M138" i="21" s="1"/>
  <c r="F212" i="4"/>
  <c r="G132" i="21" s="1"/>
  <c r="F213" i="4"/>
  <c r="G133" i="21" s="1"/>
  <c r="F220" i="4"/>
  <c r="F254" i="4" s="1"/>
  <c r="M118" i="53"/>
  <c r="C16" i="53" s="1"/>
  <c r="M127" i="53"/>
  <c r="C25" i="53" s="1"/>
  <c r="M128" i="53"/>
  <c r="C26" i="53" s="1"/>
  <c r="M116" i="53"/>
  <c r="C13" i="53" s="1"/>
  <c r="M117" i="53"/>
  <c r="C15" i="53" s="1"/>
  <c r="M124" i="53"/>
  <c r="C22" i="53" s="1"/>
  <c r="K420" i="49"/>
  <c r="K14" i="84"/>
  <c r="K28" i="84" s="1"/>
  <c r="K48" i="84" s="1"/>
  <c r="M9" i="84"/>
  <c r="M14" i="84" s="1"/>
  <c r="L9" i="84"/>
  <c r="L14" i="84" s="1"/>
  <c r="L28" i="84" s="1"/>
  <c r="L48" i="84" s="1"/>
  <c r="L52" i="84" s="1"/>
  <c r="J211" i="4"/>
  <c r="F216" i="4"/>
  <c r="F250" i="4" s="1"/>
  <c r="F211" i="4"/>
  <c r="G131" i="21" s="1"/>
  <c r="F218" i="4"/>
  <c r="F252" i="4" s="1"/>
  <c r="F209" i="4"/>
  <c r="G129" i="21" s="1"/>
  <c r="J219" i="4"/>
  <c r="H215" i="4"/>
  <c r="F217" i="4"/>
  <c r="G137" i="21" s="1"/>
  <c r="L210" i="4"/>
  <c r="M130" i="21" s="1"/>
  <c r="L212" i="4"/>
  <c r="M132" i="21" s="1"/>
  <c r="L219" i="4"/>
  <c r="M139" i="21" s="1"/>
  <c r="L209" i="4"/>
  <c r="M129" i="21" s="1"/>
  <c r="L215" i="4"/>
  <c r="L249" i="4" s="1"/>
  <c r="B116" i="65"/>
  <c r="A38" i="65"/>
  <c r="A39" i="65" s="1"/>
  <c r="A40" i="65" s="1"/>
  <c r="F40" i="65"/>
  <c r="B9" i="65"/>
  <c r="B7" i="65"/>
  <c r="B94" i="65"/>
  <c r="G76" i="46"/>
  <c r="K75" i="1"/>
  <c r="K86" i="1"/>
  <c r="A18" i="1"/>
  <c r="H14" i="8"/>
  <c r="F20" i="17"/>
  <c r="F22" i="17" s="1"/>
  <c r="G42" i="46"/>
  <c r="G43" i="46" s="1"/>
  <c r="G60" i="46" s="1"/>
  <c r="H43" i="46"/>
  <c r="H60" i="46" s="1"/>
  <c r="G118" i="46"/>
  <c r="G90" i="46"/>
  <c r="G87" i="46"/>
  <c r="G103" i="46"/>
  <c r="D121" i="46"/>
  <c r="H120" i="46"/>
  <c r="G120" i="46" s="1"/>
  <c r="C120" i="46"/>
  <c r="C121" i="46" s="1"/>
  <c r="J58" i="46"/>
  <c r="D105" i="46"/>
  <c r="D106" i="46" s="1"/>
  <c r="K42" i="46"/>
  <c r="L43" i="46"/>
  <c r="K60" i="46" s="1"/>
  <c r="M122" i="53"/>
  <c r="C20" i="53" s="1"/>
  <c r="M126" i="53"/>
  <c r="C24" i="53" s="1"/>
  <c r="M125" i="53"/>
  <c r="C23" i="53" s="1"/>
  <c r="M115" i="53"/>
  <c r="M123" i="53"/>
  <c r="C21" i="53" s="1"/>
  <c r="M119" i="53"/>
  <c r="C17" i="53" s="1"/>
  <c r="M121" i="53"/>
  <c r="C19" i="53" s="1"/>
  <c r="G115" i="46"/>
  <c r="I121" i="46"/>
  <c r="G116" i="46"/>
  <c r="G79" i="46"/>
  <c r="C149" i="46"/>
  <c r="G74" i="46"/>
  <c r="I106" i="46"/>
  <c r="G95" i="46"/>
  <c r="G93" i="46"/>
  <c r="I30" i="48"/>
  <c r="J93" i="48"/>
  <c r="J30" i="48" s="1"/>
  <c r="J89" i="48"/>
  <c r="J26" i="48" s="1"/>
  <c r="I26" i="48"/>
  <c r="I35" i="48"/>
  <c r="J98" i="48"/>
  <c r="J35" i="48" s="1"/>
  <c r="K76" i="48"/>
  <c r="K388" i="49"/>
  <c r="J389" i="49"/>
  <c r="J356" i="49"/>
  <c r="K355" i="49"/>
  <c r="K48" i="48"/>
  <c r="K421" i="49"/>
  <c r="J422" i="49"/>
  <c r="J290" i="49"/>
  <c r="K289" i="49"/>
  <c r="J191" i="49"/>
  <c r="K190" i="49"/>
  <c r="K125" i="49"/>
  <c r="J126" i="49"/>
  <c r="K223" i="49"/>
  <c r="J224" i="49"/>
  <c r="C211" i="4"/>
  <c r="C219" i="4"/>
  <c r="C213" i="4"/>
  <c r="C212" i="4"/>
  <c r="C220" i="4"/>
  <c r="C217" i="4"/>
  <c r="C210" i="4"/>
  <c r="C215" i="4"/>
  <c r="C214" i="4"/>
  <c r="D210" i="4"/>
  <c r="I218" i="4"/>
  <c r="I210" i="4"/>
  <c r="I216" i="4"/>
  <c r="I217" i="4"/>
  <c r="I213" i="4"/>
  <c r="I220" i="4"/>
  <c r="I215" i="4"/>
  <c r="I212" i="4"/>
  <c r="I209" i="4"/>
  <c r="I211" i="4"/>
  <c r="I219" i="4"/>
  <c r="C218" i="4"/>
  <c r="C216" i="4"/>
  <c r="E210" i="4"/>
  <c r="E211" i="4"/>
  <c r="E216" i="4"/>
  <c r="E214" i="4"/>
  <c r="E209" i="4"/>
  <c r="E217" i="4"/>
  <c r="E213" i="4"/>
  <c r="E212" i="4"/>
  <c r="E218" i="4"/>
  <c r="E219" i="4"/>
  <c r="E215" i="4"/>
  <c r="D214" i="4"/>
  <c r="D212" i="4"/>
  <c r="D220" i="4"/>
  <c r="D216" i="4"/>
  <c r="D215" i="4"/>
  <c r="D213" i="4"/>
  <c r="D217" i="4"/>
  <c r="D209" i="4"/>
  <c r="D243" i="4" s="1"/>
  <c r="D218" i="4"/>
  <c r="D219" i="4"/>
  <c r="E220" i="4"/>
  <c r="E33" i="57"/>
  <c r="E40" i="57" s="1"/>
  <c r="D29" i="57"/>
  <c r="D31" i="57" s="1"/>
  <c r="D33" i="57" s="1"/>
  <c r="D40" i="57" s="1"/>
  <c r="D43" i="57" s="1"/>
  <c r="K56" i="49" l="1"/>
  <c r="J72" i="48"/>
  <c r="A119" i="48"/>
  <c r="J92" i="49"/>
  <c r="J58" i="49" s="1"/>
  <c r="M28" i="84"/>
  <c r="M48" i="84" s="1"/>
  <c r="M52" i="84" s="1"/>
  <c r="C31" i="64"/>
  <c r="C100" i="64" s="1"/>
  <c r="C37" i="64"/>
  <c r="C106" i="64" s="1"/>
  <c r="C35" i="64"/>
  <c r="C104" i="64" s="1"/>
  <c r="C34" i="64"/>
  <c r="C103" i="64" s="1"/>
  <c r="C40" i="64"/>
  <c r="C109" i="64" s="1"/>
  <c r="C38" i="64"/>
  <c r="C107" i="64" s="1"/>
  <c r="C36" i="64"/>
  <c r="C105" i="64" s="1"/>
  <c r="C39" i="64"/>
  <c r="C108" i="64" s="1"/>
  <c r="C33" i="64"/>
  <c r="C102" i="64" s="1"/>
  <c r="C121" i="48"/>
  <c r="C32" i="64"/>
  <c r="C101" i="64" s="1"/>
  <c r="C30" i="64"/>
  <c r="C99" i="64" s="1"/>
  <c r="J46" i="21"/>
  <c r="I46" i="4"/>
  <c r="F29" i="71"/>
  <c r="F67" i="71"/>
  <c r="A34" i="71"/>
  <c r="A35" i="71" s="1"/>
  <c r="B203" i="71"/>
  <c r="B206" i="71"/>
  <c r="J159" i="49"/>
  <c r="K159" i="49" s="1"/>
  <c r="K157" i="49"/>
  <c r="J57" i="49"/>
  <c r="G250" i="4"/>
  <c r="A107" i="46"/>
  <c r="A115" i="46" s="1"/>
  <c r="A116" i="46" s="1"/>
  <c r="A117" i="46" s="1"/>
  <c r="A118" i="46" s="1"/>
  <c r="A119" i="46" s="1"/>
  <c r="A120" i="46" s="1"/>
  <c r="A121" i="46" s="1"/>
  <c r="A122" i="46" s="1"/>
  <c r="A123" i="46" s="1"/>
  <c r="A124" i="46" s="1"/>
  <c r="A120" i="64"/>
  <c r="A121" i="64" s="1"/>
  <c r="A122" i="64" s="1"/>
  <c r="A123" i="64" s="1"/>
  <c r="A124" i="64" s="1"/>
  <c r="A125" i="64" s="1"/>
  <c r="A126" i="64" s="1"/>
  <c r="A127" i="64" s="1"/>
  <c r="A128" i="64" s="1"/>
  <c r="J243" i="4"/>
  <c r="K254" i="4"/>
  <c r="G134" i="21"/>
  <c r="M134" i="21"/>
  <c r="J134" i="21"/>
  <c r="D245" i="4"/>
  <c r="H252" i="4"/>
  <c r="B150" i="64"/>
  <c r="K243" i="4"/>
  <c r="H132" i="21"/>
  <c r="H130" i="21"/>
  <c r="I133" i="21"/>
  <c r="J252" i="4"/>
  <c r="G249" i="4"/>
  <c r="J251" i="4"/>
  <c r="H248" i="4"/>
  <c r="I140" i="21"/>
  <c r="M135" i="21"/>
  <c r="H131" i="21"/>
  <c r="G254" i="4"/>
  <c r="G247" i="4"/>
  <c r="A21" i="56"/>
  <c r="A22" i="56" s="1"/>
  <c r="A23" i="56" s="1"/>
  <c r="A24" i="56" s="1"/>
  <c r="A25" i="56" s="1"/>
  <c r="A26" i="56" s="1"/>
  <c r="D28" i="56" s="1"/>
  <c r="H253" i="4"/>
  <c r="G252" i="4"/>
  <c r="H245" i="4"/>
  <c r="H246" i="4"/>
  <c r="G253" i="4"/>
  <c r="J250" i="4"/>
  <c r="H251" i="4"/>
  <c r="L139" i="21"/>
  <c r="H129" i="21"/>
  <c r="K455" i="49"/>
  <c r="J456"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H40" i="12"/>
  <c r="A51" i="11"/>
  <c r="L138" i="21"/>
  <c r="I136" i="21"/>
  <c r="L133" i="21"/>
  <c r="F247" i="4"/>
  <c r="G248" i="4"/>
  <c r="J246" i="4"/>
  <c r="J254" i="4"/>
  <c r="L136" i="21"/>
  <c r="I129" i="21"/>
  <c r="L137" i="21"/>
  <c r="A99" i="21"/>
  <c r="A100" i="21" s="1"/>
  <c r="L246" i="4"/>
  <c r="L245" i="4"/>
  <c r="K248" i="4"/>
  <c r="K246" i="4"/>
  <c r="L130" i="21"/>
  <c r="J247" i="4"/>
  <c r="G251" i="4"/>
  <c r="F253" i="4"/>
  <c r="F246" i="4"/>
  <c r="G135" i="21"/>
  <c r="L251" i="4"/>
  <c r="J248" i="4"/>
  <c r="A28" i="26"/>
  <c r="A29" i="26" s="1"/>
  <c r="K81" i="1"/>
  <c r="A24" i="8"/>
  <c r="K256" i="49"/>
  <c r="J324" i="49"/>
  <c r="K324" i="49" s="1"/>
  <c r="B271" i="4"/>
  <c r="A58" i="4"/>
  <c r="L254" i="4"/>
  <c r="G140" i="21"/>
  <c r="J249" i="4"/>
  <c r="K245" i="4"/>
  <c r="J244" i="4"/>
  <c r="K249" i="4"/>
  <c r="L252" i="4"/>
  <c r="G130" i="21"/>
  <c r="L244" i="4"/>
  <c r="L247" i="4"/>
  <c r="F251" i="4"/>
  <c r="G136" i="21"/>
  <c r="L250" i="4"/>
  <c r="G138" i="21"/>
  <c r="L243" i="4"/>
  <c r="I130" i="21"/>
  <c r="H244" i="4"/>
  <c r="F245" i="4"/>
  <c r="K131" i="21"/>
  <c r="J245" i="4"/>
  <c r="F243" i="4"/>
  <c r="K139" i="21"/>
  <c r="J253" i="4"/>
  <c r="I135" i="21"/>
  <c r="H249" i="4"/>
  <c r="L253" i="4"/>
  <c r="A41" i="65"/>
  <c r="A21" i="1"/>
  <c r="F23" i="17"/>
  <c r="K53" i="1"/>
  <c r="K82" i="1"/>
  <c r="I124" i="46"/>
  <c r="D124" i="46"/>
  <c r="K43" i="46"/>
  <c r="J60" i="46" s="1"/>
  <c r="C105" i="46"/>
  <c r="C106" i="46" s="1"/>
  <c r="C124" i="46" s="1"/>
  <c r="H105" i="46"/>
  <c r="G105" i="46" s="1"/>
  <c r="G106" i="46" s="1"/>
  <c r="H121" i="46"/>
  <c r="M130" i="53"/>
  <c r="C12" i="53"/>
  <c r="C28" i="53" s="1"/>
  <c r="G121" i="46"/>
  <c r="K77" i="48"/>
  <c r="N76" i="48"/>
  <c r="N13" i="48" s="1"/>
  <c r="K13" i="48"/>
  <c r="K389" i="49"/>
  <c r="J390" i="49"/>
  <c r="J357" i="49"/>
  <c r="K356" i="49"/>
  <c r="K49" i="48"/>
  <c r="K290" i="49"/>
  <c r="J291" i="49"/>
  <c r="J423" i="49"/>
  <c r="K422" i="49"/>
  <c r="K257" i="49"/>
  <c r="J258" i="49"/>
  <c r="K126" i="49"/>
  <c r="J127" i="49"/>
  <c r="J225" i="49"/>
  <c r="K224" i="49"/>
  <c r="J192" i="49"/>
  <c r="K191" i="49"/>
  <c r="J93" i="49"/>
  <c r="E129" i="21"/>
  <c r="D129" i="21"/>
  <c r="C243" i="4"/>
  <c r="F132" i="21"/>
  <c r="E246" i="4"/>
  <c r="J132" i="21"/>
  <c r="I246" i="4"/>
  <c r="D132" i="21"/>
  <c r="C246" i="4"/>
  <c r="E135" i="21"/>
  <c r="D249" i="4"/>
  <c r="E243" i="4"/>
  <c r="F129" i="21"/>
  <c r="D136" i="21"/>
  <c r="C250" i="4"/>
  <c r="J133" i="21"/>
  <c r="I247" i="4"/>
  <c r="D134" i="21"/>
  <c r="C248" i="4"/>
  <c r="D131" i="21"/>
  <c r="C245" i="4"/>
  <c r="F140" i="21"/>
  <c r="E254" i="4"/>
  <c r="D133" i="21"/>
  <c r="C247" i="4"/>
  <c r="H14" i="4"/>
  <c r="J140" i="21"/>
  <c r="I254" i="4"/>
  <c r="E136" i="21"/>
  <c r="D250" i="4"/>
  <c r="F134" i="21"/>
  <c r="E248" i="4"/>
  <c r="J137" i="21"/>
  <c r="I251" i="4"/>
  <c r="E130" i="21"/>
  <c r="D244" i="4"/>
  <c r="D135" i="21"/>
  <c r="C249" i="4"/>
  <c r="E137" i="21"/>
  <c r="D251" i="4"/>
  <c r="J135" i="21"/>
  <c r="I249" i="4"/>
  <c r="E133" i="21"/>
  <c r="D247" i="4"/>
  <c r="D138" i="21"/>
  <c r="C252" i="4"/>
  <c r="D139" i="21"/>
  <c r="C253" i="4"/>
  <c r="E140" i="21"/>
  <c r="D254" i="4"/>
  <c r="F135" i="21"/>
  <c r="E249" i="4"/>
  <c r="F136" i="21"/>
  <c r="E250" i="4"/>
  <c r="J139" i="21"/>
  <c r="I253" i="4"/>
  <c r="J136" i="21"/>
  <c r="I250" i="4"/>
  <c r="D130" i="21"/>
  <c r="C244" i="4"/>
  <c r="F137" i="21"/>
  <c r="E251" i="4"/>
  <c r="E139" i="21"/>
  <c r="D253" i="4"/>
  <c r="E132" i="21"/>
  <c r="D246" i="4"/>
  <c r="F139" i="21"/>
  <c r="E253" i="4"/>
  <c r="F131" i="21"/>
  <c r="E245" i="4"/>
  <c r="J131" i="21"/>
  <c r="I245" i="4"/>
  <c r="J130" i="21"/>
  <c r="I244" i="4"/>
  <c r="D137" i="21"/>
  <c r="C251" i="4"/>
  <c r="F133" i="21"/>
  <c r="E247" i="4"/>
  <c r="G14" i="4"/>
  <c r="E138" i="21"/>
  <c r="D252" i="4"/>
  <c r="E134" i="21"/>
  <c r="D248" i="4"/>
  <c r="F138" i="21"/>
  <c r="E252" i="4"/>
  <c r="F130" i="21"/>
  <c r="E244" i="4"/>
  <c r="J129" i="21"/>
  <c r="I243" i="4"/>
  <c r="J138" i="21"/>
  <c r="I252" i="4"/>
  <c r="D140" i="21"/>
  <c r="C254" i="4"/>
  <c r="K92" i="49" l="1"/>
  <c r="M49" i="84"/>
  <c r="D13" i="15" s="1"/>
  <c r="D255" i="4"/>
  <c r="G255" i="4"/>
  <c r="I255" i="4"/>
  <c r="H255" i="4"/>
  <c r="K255" i="4"/>
  <c r="E255" i="4"/>
  <c r="J255" i="4"/>
  <c r="L255" i="4"/>
  <c r="F255" i="4"/>
  <c r="L14" i="4"/>
  <c r="L13" i="64" s="1"/>
  <c r="L81" i="64" s="1"/>
  <c r="M111" i="21" s="1"/>
  <c r="K14" i="4"/>
  <c r="K15" i="4" s="1"/>
  <c r="J14" i="4"/>
  <c r="J13" i="64" s="1"/>
  <c r="J81" i="64" s="1"/>
  <c r="K111" i="21" s="1"/>
  <c r="E121" i="48"/>
  <c r="E136" i="48" s="1"/>
  <c r="E137" i="48"/>
  <c r="A120" i="48"/>
  <c r="A127" i="48" s="1"/>
  <c r="A128" i="48" s="1"/>
  <c r="A129" i="48" s="1"/>
  <c r="A130" i="48" s="1"/>
  <c r="A131" i="48" s="1"/>
  <c r="A132" i="48" s="1"/>
  <c r="A133" i="48" s="1"/>
  <c r="A134" i="48" s="1"/>
  <c r="A135" i="48" s="1"/>
  <c r="A136" i="48" s="1"/>
  <c r="J160" i="49"/>
  <c r="K160" i="49" s="1"/>
  <c r="G38" i="64"/>
  <c r="G107" i="64" s="1"/>
  <c r="G29" i="64"/>
  <c r="G98" i="64" s="1"/>
  <c r="G47" i="4"/>
  <c r="F29" i="64"/>
  <c r="F98" i="64" s="1"/>
  <c r="F110" i="64" s="1"/>
  <c r="F47" i="4"/>
  <c r="I34" i="4"/>
  <c r="I29" i="64" s="1"/>
  <c r="C29" i="64"/>
  <c r="C98" i="64" s="1"/>
  <c r="D38" i="7"/>
  <c r="K21" i="1"/>
  <c r="E29" i="64"/>
  <c r="E98" i="64" s="1"/>
  <c r="E110" i="64" s="1"/>
  <c r="E47" i="4"/>
  <c r="H47" i="4"/>
  <c r="H29" i="64"/>
  <c r="H98" i="64" s="1"/>
  <c r="H110" i="64" s="1"/>
  <c r="D29" i="64"/>
  <c r="D98" i="64" s="1"/>
  <c r="D110" i="64" s="1"/>
  <c r="D47" i="4"/>
  <c r="D26" i="56"/>
  <c r="M243" i="4"/>
  <c r="D65" i="4"/>
  <c r="K9" i="1" s="1"/>
  <c r="M236" i="4"/>
  <c r="D36" i="7"/>
  <c r="I41" i="64"/>
  <c r="A36" i="71"/>
  <c r="A37" i="71" s="1"/>
  <c r="K57" i="49"/>
  <c r="J59" i="49"/>
  <c r="K58" i="49"/>
  <c r="K91" i="1"/>
  <c r="E98" i="8" s="1"/>
  <c r="I126" i="1"/>
  <c r="A125" i="46"/>
  <c r="E7" i="2"/>
  <c r="B125" i="46"/>
  <c r="B155" i="64"/>
  <c r="G143" i="64"/>
  <c r="A129" i="64"/>
  <c r="A130" i="64" s="1"/>
  <c r="A131" i="64" s="1"/>
  <c r="A132" i="64" s="1"/>
  <c r="A133" i="64" s="1"/>
  <c r="A27" i="56"/>
  <c r="A154" i="49"/>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H27" i="11"/>
  <c r="G10" i="71"/>
  <c r="J457" i="49"/>
  <c r="K456" i="49"/>
  <c r="H41" i="12"/>
  <c r="A52" i="11"/>
  <c r="A53" i="11" s="1"/>
  <c r="A54" i="11" s="1"/>
  <c r="A63" i="11" s="1"/>
  <c r="A110" i="21"/>
  <c r="A111" i="21" s="1"/>
  <c r="A112" i="21" s="1"/>
  <c r="A113" i="21" s="1"/>
  <c r="A114" i="21" s="1"/>
  <c r="A115" i="21" s="1"/>
  <c r="A116" i="21" s="1"/>
  <c r="A117" i="21" s="1"/>
  <c r="A118" i="21" s="1"/>
  <c r="A119" i="21" s="1"/>
  <c r="A120" i="21" s="1"/>
  <c r="A121" i="21" s="1"/>
  <c r="A122" i="21" s="1"/>
  <c r="I23" i="1"/>
  <c r="G100" i="21"/>
  <c r="A30" i="26"/>
  <c r="A31" i="26" s="1"/>
  <c r="G29" i="26"/>
  <c r="G91" i="12"/>
  <c r="A25" i="8"/>
  <c r="J325" i="49"/>
  <c r="J326" i="49" s="1"/>
  <c r="A64" i="4"/>
  <c r="M254" i="4"/>
  <c r="L15" i="4"/>
  <c r="L14" i="64" s="1"/>
  <c r="L82" i="64" s="1"/>
  <c r="M112" i="21" s="1"/>
  <c r="F14" i="4"/>
  <c r="F13" i="64" s="1"/>
  <c r="F81" i="64" s="1"/>
  <c r="G111" i="21" s="1"/>
  <c r="M251" i="4"/>
  <c r="B95" i="65"/>
  <c r="A42" i="65"/>
  <c r="F42" i="65"/>
  <c r="G15" i="12"/>
  <c r="G17" i="12" s="1"/>
  <c r="F93" i="12"/>
  <c r="E99" i="8"/>
  <c r="K92" i="1"/>
  <c r="K54" i="1"/>
  <c r="K80" i="1"/>
  <c r="A22" i="1"/>
  <c r="A23" i="1" s="1"/>
  <c r="A24" i="1" s="1"/>
  <c r="G124" i="46"/>
  <c r="K126" i="1" s="1"/>
  <c r="H106" i="46"/>
  <c r="H124" i="46" s="1"/>
  <c r="K78" i="48"/>
  <c r="K14" i="48"/>
  <c r="K390" i="49"/>
  <c r="J391" i="49"/>
  <c r="K357" i="49"/>
  <c r="J358" i="49"/>
  <c r="K50" i="48"/>
  <c r="J292" i="49"/>
  <c r="K291" i="49"/>
  <c r="K423" i="49"/>
  <c r="J424" i="49"/>
  <c r="K258" i="49"/>
  <c r="J259" i="49"/>
  <c r="J94" i="49"/>
  <c r="K93" i="49"/>
  <c r="J226" i="49"/>
  <c r="K225" i="49"/>
  <c r="J193" i="49"/>
  <c r="K192" i="49"/>
  <c r="J128" i="49"/>
  <c r="K127" i="49"/>
  <c r="J161" i="49"/>
  <c r="M244" i="4"/>
  <c r="M252" i="4"/>
  <c r="M249" i="4"/>
  <c r="M250" i="4"/>
  <c r="I14" i="4"/>
  <c r="I13" i="64" s="1"/>
  <c r="I81" i="64" s="1"/>
  <c r="J111" i="21" s="1"/>
  <c r="E14" i="4"/>
  <c r="E13" i="64" s="1"/>
  <c r="E81" i="64" s="1"/>
  <c r="F111" i="21" s="1"/>
  <c r="G13" i="64"/>
  <c r="G81" i="64" s="1"/>
  <c r="H111" i="21" s="1"/>
  <c r="G15" i="4"/>
  <c r="M248" i="4"/>
  <c r="C14" i="4"/>
  <c r="M245" i="4"/>
  <c r="H15" i="4"/>
  <c r="H16" i="4" s="1"/>
  <c r="H13" i="64"/>
  <c r="H81" i="64" s="1"/>
  <c r="I111" i="21" s="1"/>
  <c r="M253" i="4"/>
  <c r="M247" i="4"/>
  <c r="M246" i="4"/>
  <c r="D14" i="4"/>
  <c r="D15" i="4" s="1"/>
  <c r="K13" i="64" l="1"/>
  <c r="K81" i="64" s="1"/>
  <c r="L111" i="21" s="1"/>
  <c r="M255" i="4"/>
  <c r="I35" i="4"/>
  <c r="J15" i="4"/>
  <c r="J14" i="64" s="1"/>
  <c r="J82" i="64" s="1"/>
  <c r="K112" i="21" s="1"/>
  <c r="E139" i="48"/>
  <c r="L49" i="48" s="1"/>
  <c r="L46" i="48"/>
  <c r="F137" i="48"/>
  <c r="A137" i="48"/>
  <c r="A138" i="48" s="1"/>
  <c r="A139" i="48" s="1"/>
  <c r="F136" i="48"/>
  <c r="G110" i="64"/>
  <c r="D40" i="7"/>
  <c r="C110" i="64"/>
  <c r="I98" i="64"/>
  <c r="C39" i="71"/>
  <c r="F68" i="71"/>
  <c r="A38" i="71"/>
  <c r="A39" i="71" s="1"/>
  <c r="B204" i="71"/>
  <c r="B207" i="71"/>
  <c r="K59" i="49"/>
  <c r="J60" i="49"/>
  <c r="E47" i="21"/>
  <c r="J16" i="4"/>
  <c r="J15" i="64" s="1"/>
  <c r="J83" i="64" s="1"/>
  <c r="K113" i="21" s="1"/>
  <c r="I47" i="21"/>
  <c r="A134" i="64"/>
  <c r="A135" i="64" s="1"/>
  <c r="J458" i="49"/>
  <c r="K457" i="49"/>
  <c r="A187" i="49"/>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G11" i="71"/>
  <c r="H28" i="11"/>
  <c r="H54" i="12"/>
  <c r="A64" i="11"/>
  <c r="F68" i="12"/>
  <c r="A129" i="21"/>
  <c r="A130" i="21" s="1"/>
  <c r="A131" i="21" s="1"/>
  <c r="A132" i="21" s="1"/>
  <c r="A133" i="21" s="1"/>
  <c r="A134" i="21" s="1"/>
  <c r="A135" i="21" s="1"/>
  <c r="A136" i="21" s="1"/>
  <c r="A137" i="21" s="1"/>
  <c r="A138" i="21" s="1"/>
  <c r="A139" i="21" s="1"/>
  <c r="A140" i="21" s="1"/>
  <c r="A146" i="21" s="1"/>
  <c r="B195" i="21"/>
  <c r="E105" i="8"/>
  <c r="J42" i="8" s="1"/>
  <c r="K325" i="49"/>
  <c r="A32" i="26"/>
  <c r="G31" i="26"/>
  <c r="I24" i="1"/>
  <c r="A26" i="8"/>
  <c r="A27" i="8" s="1"/>
  <c r="A29" i="8" s="1"/>
  <c r="L16" i="4"/>
  <c r="L17" i="4" s="1"/>
  <c r="H6" i="8"/>
  <c r="A65" i="4"/>
  <c r="F15" i="4"/>
  <c r="F14" i="64" s="1"/>
  <c r="F82" i="64" s="1"/>
  <c r="G112" i="21" s="1"/>
  <c r="E15" i="4"/>
  <c r="E14" i="64" s="1"/>
  <c r="E82" i="64" s="1"/>
  <c r="F112" i="21" s="1"/>
  <c r="A43" i="65"/>
  <c r="A44" i="65" s="1"/>
  <c r="F43" i="65"/>
  <c r="G7" i="2"/>
  <c r="G15" i="2" s="1"/>
  <c r="K95" i="1"/>
  <c r="J49" i="8"/>
  <c r="A26" i="1"/>
  <c r="I34" i="1"/>
  <c r="E83" i="12"/>
  <c r="F83" i="12" s="1"/>
  <c r="G39" i="12"/>
  <c r="G54" i="12"/>
  <c r="E82" i="12"/>
  <c r="F82" i="12" s="1"/>
  <c r="G56" i="12"/>
  <c r="D44" i="71"/>
  <c r="D51" i="7"/>
  <c r="G40" i="12"/>
  <c r="E81" i="12"/>
  <c r="F81" i="12" s="1"/>
  <c r="G41" i="12"/>
  <c r="G55" i="12"/>
  <c r="K90" i="1"/>
  <c r="K83" i="1"/>
  <c r="K79" i="48"/>
  <c r="K15" i="48"/>
  <c r="L79" i="48"/>
  <c r="K391" i="49"/>
  <c r="J392" i="49"/>
  <c r="K358" i="49"/>
  <c r="J359" i="49"/>
  <c r="K51" i="48"/>
  <c r="J293" i="49"/>
  <c r="K292" i="49"/>
  <c r="K259" i="49"/>
  <c r="J260" i="49"/>
  <c r="K424" i="49"/>
  <c r="J425" i="49"/>
  <c r="J327" i="49"/>
  <c r="K326" i="49"/>
  <c r="J129" i="49"/>
  <c r="K128" i="49"/>
  <c r="J95" i="49"/>
  <c r="K94" i="49"/>
  <c r="K193" i="49"/>
  <c r="J194" i="49"/>
  <c r="K161" i="49"/>
  <c r="J162" i="49"/>
  <c r="K226" i="49"/>
  <c r="J227" i="49"/>
  <c r="I15" i="4"/>
  <c r="K14" i="64"/>
  <c r="K82" i="64" s="1"/>
  <c r="L112" i="21" s="1"/>
  <c r="K16" i="4"/>
  <c r="D14" i="64"/>
  <c r="D82" i="64" s="1"/>
  <c r="E112" i="21" s="1"/>
  <c r="D16" i="4"/>
  <c r="D13" i="64"/>
  <c r="D81" i="64" s="1"/>
  <c r="H14" i="64"/>
  <c r="H82" i="64" s="1"/>
  <c r="I112" i="21" s="1"/>
  <c r="G16" i="4"/>
  <c r="G14" i="64"/>
  <c r="G82" i="64" s="1"/>
  <c r="H112" i="21" s="1"/>
  <c r="C13" i="64"/>
  <c r="C81" i="64" s="1"/>
  <c r="C15" i="4"/>
  <c r="I36" i="4" l="1"/>
  <c r="L47" i="48"/>
  <c r="L77" i="48"/>
  <c r="M77" i="48" s="1"/>
  <c r="L51" i="48"/>
  <c r="L48" i="48"/>
  <c r="L16" i="48" s="1"/>
  <c r="L78" i="48"/>
  <c r="L15" i="48" s="1"/>
  <c r="L50" i="48"/>
  <c r="M46" i="48"/>
  <c r="L14" i="48"/>
  <c r="N77" i="48"/>
  <c r="M78" i="48"/>
  <c r="N78" i="48" s="1"/>
  <c r="F139" i="48"/>
  <c r="I30" i="64"/>
  <c r="I135" i="64"/>
  <c r="F37" i="71"/>
  <c r="A40" i="71"/>
  <c r="A41" i="71" s="1"/>
  <c r="A44" i="71" s="1"/>
  <c r="A49" i="71" s="1"/>
  <c r="A50" i="71" s="1"/>
  <c r="A51" i="71" s="1"/>
  <c r="K60" i="49"/>
  <c r="J61" i="49"/>
  <c r="I99" i="64"/>
  <c r="J17" i="4"/>
  <c r="J18" i="4" s="1"/>
  <c r="J17" i="64" s="1"/>
  <c r="J85" i="64" s="1"/>
  <c r="K115" i="21" s="1"/>
  <c r="L16" i="64"/>
  <c r="L84" i="64" s="1"/>
  <c r="M114" i="21" s="1"/>
  <c r="A136" i="64"/>
  <c r="A137" i="64" s="1"/>
  <c r="A220" i="49"/>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H29" i="11"/>
  <c r="G12" i="71"/>
  <c r="K458" i="49"/>
  <c r="J459" i="49"/>
  <c r="A65" i="11"/>
  <c r="H55" i="12"/>
  <c r="F69" i="12"/>
  <c r="A149" i="21"/>
  <c r="A152" i="21" s="1"/>
  <c r="A159" i="21" s="1"/>
  <c r="A160" i="21" s="1"/>
  <c r="A161" i="21" s="1"/>
  <c r="A162" i="21" s="1"/>
  <c r="A163" i="21" s="1"/>
  <c r="A164" i="21" s="1"/>
  <c r="A165" i="21" s="1"/>
  <c r="A166" i="21" s="1"/>
  <c r="A167" i="21" s="1"/>
  <c r="A168" i="21" s="1"/>
  <c r="A169" i="21" s="1"/>
  <c r="A170" i="21" s="1"/>
  <c r="A171" i="21" s="1"/>
  <c r="F16" i="4"/>
  <c r="F17" i="4" s="1"/>
  <c r="L18" i="4"/>
  <c r="L19" i="4" s="1"/>
  <c r="L15" i="64"/>
  <c r="L83" i="64" s="1"/>
  <c r="M113" i="21" s="1"/>
  <c r="G23" i="2"/>
  <c r="H12" i="86"/>
  <c r="H13" i="86" s="1"/>
  <c r="H15" i="86" s="1"/>
  <c r="A33" i="26"/>
  <c r="G33" i="26"/>
  <c r="H30" i="8"/>
  <c r="H41" i="8"/>
  <c r="A33" i="8"/>
  <c r="A34" i="8" s="1"/>
  <c r="G90" i="12"/>
  <c r="E16" i="4"/>
  <c r="E15" i="64" s="1"/>
  <c r="E83" i="64" s="1"/>
  <c r="F113" i="21" s="1"/>
  <c r="A74" i="4"/>
  <c r="I9" i="1"/>
  <c r="F24" i="22"/>
  <c r="F26" i="22" s="1"/>
  <c r="K15" i="1" s="1"/>
  <c r="D29" i="54"/>
  <c r="D30" i="54" s="1"/>
  <c r="D39" i="54" s="1"/>
  <c r="E29" i="54"/>
  <c r="E30" i="54" s="1"/>
  <c r="E39" i="54" s="1"/>
  <c r="K11" i="1" s="1"/>
  <c r="G31" i="79"/>
  <c r="G32" i="79" s="1"/>
  <c r="G18" i="79" s="1"/>
  <c r="I26" i="79"/>
  <c r="I27" i="79" s="1"/>
  <c r="I17" i="79" s="1"/>
  <c r="F54" i="22"/>
  <c r="F55" i="22" s="1"/>
  <c r="K16" i="1" s="1"/>
  <c r="I38" i="79"/>
  <c r="I39" i="79" s="1"/>
  <c r="I19" i="79" s="1"/>
  <c r="H87" i="15"/>
  <c r="H88" i="15" s="1"/>
  <c r="H136" i="64"/>
  <c r="H137" i="64" s="1"/>
  <c r="F144" i="64" s="1"/>
  <c r="F79" i="4"/>
  <c r="F80" i="4" s="1"/>
  <c r="J7" i="8" s="1"/>
  <c r="F50" i="22"/>
  <c r="F51" i="22" s="1"/>
  <c r="J13" i="8" s="1"/>
  <c r="G38" i="79"/>
  <c r="G39" i="79" s="1"/>
  <c r="G19" i="79" s="1"/>
  <c r="H131" i="15"/>
  <c r="H132" i="15" s="1"/>
  <c r="K55" i="1"/>
  <c r="I31" i="79"/>
  <c r="I32" i="79" s="1"/>
  <c r="I18" i="79" s="1"/>
  <c r="F30" i="26"/>
  <c r="F31" i="26" s="1"/>
  <c r="G25" i="2"/>
  <c r="F99" i="21"/>
  <c r="F100" i="21" s="1"/>
  <c r="K23" i="1" s="1"/>
  <c r="G44" i="12"/>
  <c r="K137" i="1" s="1"/>
  <c r="F86" i="12"/>
  <c r="F44" i="65"/>
  <c r="A45" i="65"/>
  <c r="A46" i="65" s="1"/>
  <c r="A47" i="65" s="1"/>
  <c r="A48" i="65" s="1"/>
  <c r="A49" i="65" s="1"/>
  <c r="A50" i="65" s="1"/>
  <c r="A51" i="65" s="1"/>
  <c r="A52" i="65" s="1"/>
  <c r="A53" i="65" s="1"/>
  <c r="A54" i="65" s="1"/>
  <c r="F41" i="65"/>
  <c r="I151" i="1"/>
  <c r="G26" i="79"/>
  <c r="G27" i="79" s="1"/>
  <c r="G17" i="79" s="1"/>
  <c r="F84" i="4"/>
  <c r="F85" i="4" s="1"/>
  <c r="K10" i="1" s="1"/>
  <c r="H69" i="15"/>
  <c r="H70" i="15" s="1"/>
  <c r="F92" i="21"/>
  <c r="F93" i="21" s="1"/>
  <c r="J20" i="8" s="1"/>
  <c r="D59" i="7"/>
  <c r="D55" i="7"/>
  <c r="A28" i="1"/>
  <c r="A30" i="1" s="1"/>
  <c r="A31" i="1" s="1"/>
  <c r="A32" i="1" s="1"/>
  <c r="A34" i="1" s="1"/>
  <c r="D58" i="71"/>
  <c r="E58" i="71"/>
  <c r="D51" i="71"/>
  <c r="E51" i="71"/>
  <c r="E97" i="8"/>
  <c r="E100" i="8" s="1"/>
  <c r="J33" i="8" s="1"/>
  <c r="D21" i="7"/>
  <c r="K93" i="1"/>
  <c r="D35" i="71"/>
  <c r="D37" i="71" s="1"/>
  <c r="E35" i="71"/>
  <c r="E37" i="71" s="1"/>
  <c r="D22" i="7"/>
  <c r="G59" i="12"/>
  <c r="J62" i="8" s="1"/>
  <c r="K80" i="48"/>
  <c r="L80" i="48"/>
  <c r="L17" i="48" s="1"/>
  <c r="K16" i="48"/>
  <c r="J393" i="49"/>
  <c r="K392" i="49"/>
  <c r="K359" i="49"/>
  <c r="J360" i="49"/>
  <c r="K52" i="48"/>
  <c r="L52" i="48"/>
  <c r="K327" i="49"/>
  <c r="J328" i="49"/>
  <c r="J426" i="49"/>
  <c r="K425" i="49"/>
  <c r="K293" i="49"/>
  <c r="J294" i="49"/>
  <c r="J261" i="49"/>
  <c r="K260" i="49"/>
  <c r="K194" i="49"/>
  <c r="J195" i="49"/>
  <c r="K95" i="49"/>
  <c r="J96" i="49"/>
  <c r="J163" i="49"/>
  <c r="K162" i="49"/>
  <c r="K227" i="49"/>
  <c r="J228" i="49"/>
  <c r="K129" i="49"/>
  <c r="J130" i="49"/>
  <c r="G17" i="4"/>
  <c r="G15" i="64"/>
  <c r="G83" i="64" s="1"/>
  <c r="H113" i="21" s="1"/>
  <c r="D17" i="4"/>
  <c r="D15" i="64"/>
  <c r="D83" i="64" s="1"/>
  <c r="E113" i="21" s="1"/>
  <c r="K15" i="64"/>
  <c r="K83" i="64" s="1"/>
  <c r="L113" i="21" s="1"/>
  <c r="K17" i="4"/>
  <c r="C14" i="64"/>
  <c r="C82" i="64" s="1"/>
  <c r="C16" i="4"/>
  <c r="H15" i="64"/>
  <c r="H83" i="64" s="1"/>
  <c r="I113" i="21" s="1"/>
  <c r="H17" i="4"/>
  <c r="I14" i="64"/>
  <c r="I82" i="64" s="1"/>
  <c r="J112" i="21" s="1"/>
  <c r="I16" i="4"/>
  <c r="D111" i="21"/>
  <c r="E111" i="21"/>
  <c r="M79" i="48" l="1"/>
  <c r="N79" i="48" s="1"/>
  <c r="M14" i="48"/>
  <c r="M47" i="48"/>
  <c r="N46" i="48"/>
  <c r="N14" i="48" s="1"/>
  <c r="M80" i="48"/>
  <c r="N80" i="48" s="1"/>
  <c r="J63" i="8"/>
  <c r="I31" i="64"/>
  <c r="E112" i="71"/>
  <c r="E111" i="71"/>
  <c r="E92" i="71"/>
  <c r="E91" i="71"/>
  <c r="F69" i="71"/>
  <c r="A56" i="71"/>
  <c r="A57" i="71" s="1"/>
  <c r="A58" i="71" s="1"/>
  <c r="K61" i="49"/>
  <c r="J62" i="49"/>
  <c r="I100" i="64"/>
  <c r="I137" i="64"/>
  <c r="I37" i="4"/>
  <c r="J16" i="64"/>
  <c r="J84" i="64" s="1"/>
  <c r="K114" i="21" s="1"/>
  <c r="B196" i="21"/>
  <c r="L17" i="64"/>
  <c r="L85" i="64" s="1"/>
  <c r="M115" i="21" s="1"/>
  <c r="G144" i="64"/>
  <c r="A138" i="64"/>
  <c r="A139" i="64" s="1"/>
  <c r="A140" i="64" s="1"/>
  <c r="A141" i="64" s="1"/>
  <c r="A142" i="64" s="1"/>
  <c r="G28" i="2"/>
  <c r="F32" i="26" s="1"/>
  <c r="J19" i="4"/>
  <c r="J20" i="4" s="1"/>
  <c r="K459" i="49"/>
  <c r="J460" i="49"/>
  <c r="A253" i="49"/>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G13" i="71"/>
  <c r="H30" i="11"/>
  <c r="H56" i="12"/>
  <c r="A66" i="11"/>
  <c r="A67" i="11" s="1"/>
  <c r="A68" i="11" s="1"/>
  <c r="A75" i="11" s="1"/>
  <c r="A76" i="11" s="1"/>
  <c r="A77" i="11" s="1"/>
  <c r="A78" i="11" s="1"/>
  <c r="A79" i="11" s="1"/>
  <c r="A80" i="11" s="1"/>
  <c r="A81" i="11" s="1"/>
  <c r="A82" i="11" s="1"/>
  <c r="A83" i="11" s="1"/>
  <c r="A84" i="11" s="1"/>
  <c r="A85" i="11" s="1"/>
  <c r="A86" i="11" s="1"/>
  <c r="A87" i="11" s="1"/>
  <c r="F70" i="12"/>
  <c r="F15" i="64"/>
  <c r="F83" i="64" s="1"/>
  <c r="G113" i="21" s="1"/>
  <c r="F27" i="22"/>
  <c r="J12" i="8" s="1"/>
  <c r="H19" i="86"/>
  <c r="H23" i="86" s="1"/>
  <c r="E17" i="4"/>
  <c r="A34" i="26"/>
  <c r="G34" i="26"/>
  <c r="K56" i="1"/>
  <c r="K138" i="1"/>
  <c r="K24" i="1"/>
  <c r="H34" i="8"/>
  <c r="H56" i="8"/>
  <c r="A38" i="8"/>
  <c r="A75" i="4"/>
  <c r="G78" i="4" s="1"/>
  <c r="D42" i="54"/>
  <c r="J8" i="8" s="1"/>
  <c r="I20" i="79"/>
  <c r="K9" i="79" s="1"/>
  <c r="K31" i="1" s="1"/>
  <c r="K27" i="79"/>
  <c r="K18" i="79"/>
  <c r="K19" i="79"/>
  <c r="K39" i="79"/>
  <c r="K32" i="79"/>
  <c r="D25" i="7"/>
  <c r="D83" i="7" s="1"/>
  <c r="I35" i="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F81" i="71"/>
  <c r="D70" i="71"/>
  <c r="E70" i="71"/>
  <c r="F101" i="71"/>
  <c r="A39" i="1"/>
  <c r="I117" i="1"/>
  <c r="E105" i="71"/>
  <c r="E107" i="71"/>
  <c r="E68" i="71"/>
  <c r="E106" i="71"/>
  <c r="E103" i="71"/>
  <c r="E109" i="71"/>
  <c r="E108" i="71"/>
  <c r="E110" i="71"/>
  <c r="E104" i="71"/>
  <c r="E101" i="71"/>
  <c r="E100" i="71"/>
  <c r="E102" i="71"/>
  <c r="E81" i="71"/>
  <c r="E82" i="71"/>
  <c r="E90" i="71"/>
  <c r="E86" i="71"/>
  <c r="E88" i="71"/>
  <c r="E83" i="71"/>
  <c r="E87" i="71"/>
  <c r="E89" i="71"/>
  <c r="D68" i="71"/>
  <c r="E85" i="71"/>
  <c r="E80" i="71"/>
  <c r="E84" i="71"/>
  <c r="E69" i="71"/>
  <c r="F100" i="71"/>
  <c r="D28" i="71"/>
  <c r="D29" i="71" s="1"/>
  <c r="E28" i="71"/>
  <c r="E29" i="71" s="1"/>
  <c r="F80" i="71"/>
  <c r="D69" i="71"/>
  <c r="K17" i="79"/>
  <c r="G20" i="79"/>
  <c r="K81" i="48"/>
  <c r="L81" i="48"/>
  <c r="L18" i="48" s="1"/>
  <c r="K17" i="48"/>
  <c r="J394" i="49"/>
  <c r="K393" i="49"/>
  <c r="J361" i="49"/>
  <c r="K360" i="49"/>
  <c r="K53" i="48"/>
  <c r="L53" i="48"/>
  <c r="K328" i="49"/>
  <c r="J329" i="49"/>
  <c r="J427" i="49"/>
  <c r="K426" i="49"/>
  <c r="J262" i="49"/>
  <c r="K261" i="49"/>
  <c r="J295" i="49"/>
  <c r="K294" i="49"/>
  <c r="J131" i="49"/>
  <c r="K130" i="49"/>
  <c r="K96" i="49"/>
  <c r="J97" i="49"/>
  <c r="K228" i="49"/>
  <c r="J229" i="49"/>
  <c r="K195" i="49"/>
  <c r="J196" i="49"/>
  <c r="J164" i="49"/>
  <c r="K163" i="49"/>
  <c r="F16" i="64"/>
  <c r="F84" i="64" s="1"/>
  <c r="G114" i="21" s="1"/>
  <c r="F18" i="4"/>
  <c r="I15" i="64"/>
  <c r="I83" i="64" s="1"/>
  <c r="J113" i="21" s="1"/>
  <c r="I17" i="4"/>
  <c r="H18" i="4"/>
  <c r="H16" i="64"/>
  <c r="H84" i="64" s="1"/>
  <c r="I114" i="21" s="1"/>
  <c r="L18" i="64"/>
  <c r="L86" i="64" s="1"/>
  <c r="M116" i="21" s="1"/>
  <c r="L20" i="4"/>
  <c r="C17" i="4"/>
  <c r="C15" i="64"/>
  <c r="C83" i="64" s="1"/>
  <c r="D16" i="64"/>
  <c r="D84" i="64" s="1"/>
  <c r="E114" i="21" s="1"/>
  <c r="D18" i="4"/>
  <c r="N111" i="21"/>
  <c r="D112" i="21"/>
  <c r="N112" i="21" s="1"/>
  <c r="G16" i="64"/>
  <c r="G84" i="64" s="1"/>
  <c r="H114" i="21" s="1"/>
  <c r="G18" i="4"/>
  <c r="K16" i="64"/>
  <c r="K84" i="64" s="1"/>
  <c r="L114" i="21" s="1"/>
  <c r="K18" i="4"/>
  <c r="M15" i="48" l="1"/>
  <c r="N47" i="48"/>
  <c r="N15" i="48" s="1"/>
  <c r="M48" i="48"/>
  <c r="M81" i="48"/>
  <c r="I32" i="64"/>
  <c r="F33" i="26"/>
  <c r="F34" i="26" s="1"/>
  <c r="K127" i="1" s="1"/>
  <c r="D112" i="71"/>
  <c r="D111" i="71"/>
  <c r="D92" i="71"/>
  <c r="G92" i="71" s="1"/>
  <c r="D91" i="71"/>
  <c r="A59" i="71"/>
  <c r="A60" i="71" s="1"/>
  <c r="F70" i="71"/>
  <c r="K62" i="49"/>
  <c r="J63" i="49"/>
  <c r="I101" i="64"/>
  <c r="I38" i="4"/>
  <c r="G87" i="15"/>
  <c r="G88" i="15" s="1"/>
  <c r="D88" i="15" s="1"/>
  <c r="D11" i="15" s="1"/>
  <c r="G131" i="15"/>
  <c r="G132" i="15" s="1"/>
  <c r="D132" i="15" s="1"/>
  <c r="D12" i="15" s="1"/>
  <c r="A143" i="64"/>
  <c r="A144" i="64" s="1"/>
  <c r="A145" i="64" s="1"/>
  <c r="I129" i="1" s="1"/>
  <c r="J18" i="64"/>
  <c r="J86" i="64" s="1"/>
  <c r="K116" i="21" s="1"/>
  <c r="K40" i="1"/>
  <c r="G69" i="15"/>
  <c r="G70" i="15" s="1"/>
  <c r="D70" i="15" s="1"/>
  <c r="D10" i="15" s="1"/>
  <c r="E21" i="2"/>
  <c r="D55" i="56"/>
  <c r="D53" i="56"/>
  <c r="A286" i="49"/>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G14" i="71"/>
  <c r="H31" i="11"/>
  <c r="K460" i="49"/>
  <c r="J461" i="49"/>
  <c r="H49" i="11"/>
  <c r="H50" i="11"/>
  <c r="H51" i="11"/>
  <c r="A88" i="11"/>
  <c r="E16" i="64"/>
  <c r="E84" i="64" s="1"/>
  <c r="F114" i="21" s="1"/>
  <c r="E18" i="4"/>
  <c r="I127" i="1"/>
  <c r="A41" i="26"/>
  <c r="H57" i="8"/>
  <c r="A41" i="8"/>
  <c r="A42" i="8" s="1"/>
  <c r="A43" i="8" s="1"/>
  <c r="A44" i="8" s="1"/>
  <c r="A46" i="8" s="1"/>
  <c r="A49" i="8" s="1"/>
  <c r="E22" i="2"/>
  <c r="G83" i="4"/>
  <c r="A78" i="4"/>
  <c r="E24" i="2"/>
  <c r="K20" i="79"/>
  <c r="K10" i="79" s="1"/>
  <c r="J26" i="8" s="1"/>
  <c r="E121" i="71"/>
  <c r="D47" i="7"/>
  <c r="D48" i="7" s="1"/>
  <c r="D63" i="7" s="1"/>
  <c r="D69" i="7" s="1"/>
  <c r="F114" i="71"/>
  <c r="F94" i="71"/>
  <c r="B115" i="65"/>
  <c r="A78" i="65"/>
  <c r="A79" i="65" s="1"/>
  <c r="A80" i="65" s="1"/>
  <c r="A81" i="65" s="1"/>
  <c r="A82" i="65" s="1"/>
  <c r="A83" i="65" s="1"/>
  <c r="A84" i="65" s="1"/>
  <c r="A85" i="65" s="1"/>
  <c r="A86" i="65" s="1"/>
  <c r="A87" i="65" s="1"/>
  <c r="A88" i="65" s="1"/>
  <c r="A89" i="65" s="1"/>
  <c r="A90" i="65" s="1"/>
  <c r="A91" i="65" s="1"/>
  <c r="B109" i="65" s="1"/>
  <c r="D102" i="71"/>
  <c r="G102" i="71" s="1"/>
  <c r="H102" i="71" s="1"/>
  <c r="D106" i="71"/>
  <c r="E67" i="71"/>
  <c r="E71" i="71" s="1"/>
  <c r="E72" i="71" s="1"/>
  <c r="D107" i="71"/>
  <c r="G107" i="71" s="1"/>
  <c r="H107" i="71" s="1"/>
  <c r="D101" i="71"/>
  <c r="G101" i="71" s="1"/>
  <c r="H101" i="71" s="1"/>
  <c r="D110" i="71"/>
  <c r="G110" i="71" s="1"/>
  <c r="H110" i="71" s="1"/>
  <c r="D103" i="71"/>
  <c r="D105" i="71"/>
  <c r="G105" i="71" s="1"/>
  <c r="H105" i="71" s="1"/>
  <c r="D108" i="71"/>
  <c r="G108" i="71" s="1"/>
  <c r="H108" i="71" s="1"/>
  <c r="D100" i="71"/>
  <c r="D104" i="71"/>
  <c r="G104" i="71" s="1"/>
  <c r="H104" i="71" s="1"/>
  <c r="D109" i="71"/>
  <c r="G109" i="71" s="1"/>
  <c r="H109" i="71" s="1"/>
  <c r="D67" i="71"/>
  <c r="D84" i="71"/>
  <c r="D90" i="71"/>
  <c r="D89" i="71"/>
  <c r="D88" i="71"/>
  <c r="D83" i="71"/>
  <c r="D80" i="71"/>
  <c r="D85" i="71"/>
  <c r="D86" i="71"/>
  <c r="D81" i="71"/>
  <c r="D82" i="71"/>
  <c r="D87" i="71"/>
  <c r="A40" i="1"/>
  <c r="A41" i="1" s="1"/>
  <c r="E114" i="71"/>
  <c r="E94" i="71"/>
  <c r="K82" i="48"/>
  <c r="L82" i="48"/>
  <c r="L19" i="48" s="1"/>
  <c r="K18" i="48"/>
  <c r="N81" i="48"/>
  <c r="K394" i="49"/>
  <c r="J395" i="49"/>
  <c r="J362" i="49"/>
  <c r="K361" i="49"/>
  <c r="K54" i="48"/>
  <c r="L54" i="48"/>
  <c r="K427" i="49"/>
  <c r="J428" i="49"/>
  <c r="K295" i="49"/>
  <c r="J296" i="49"/>
  <c r="K329" i="49"/>
  <c r="J330" i="49"/>
  <c r="J263" i="49"/>
  <c r="K262" i="49"/>
  <c r="K229" i="49"/>
  <c r="J230" i="49"/>
  <c r="J165" i="49"/>
  <c r="K164" i="49"/>
  <c r="K131" i="49"/>
  <c r="J132" i="49"/>
  <c r="K97" i="49"/>
  <c r="J98" i="49"/>
  <c r="K196" i="49"/>
  <c r="J197" i="49"/>
  <c r="G17" i="64"/>
  <c r="G85" i="64" s="1"/>
  <c r="H115" i="21" s="1"/>
  <c r="G19" i="4"/>
  <c r="D19" i="4"/>
  <c r="D17" i="64"/>
  <c r="D85" i="64" s="1"/>
  <c r="H19" i="4"/>
  <c r="H17" i="64"/>
  <c r="H85" i="64" s="1"/>
  <c r="I115" i="21" s="1"/>
  <c r="K17" i="64"/>
  <c r="K85" i="64" s="1"/>
  <c r="L115" i="21" s="1"/>
  <c r="K19" i="4"/>
  <c r="D113" i="21"/>
  <c r="I16" i="64"/>
  <c r="I84" i="64" s="1"/>
  <c r="J114" i="21" s="1"/>
  <c r="I18" i="4"/>
  <c r="C16" i="64"/>
  <c r="C84" i="64" s="1"/>
  <c r="C18" i="4"/>
  <c r="L19" i="64"/>
  <c r="L87" i="64" s="1"/>
  <c r="M117" i="21" s="1"/>
  <c r="L21" i="4"/>
  <c r="F17" i="64"/>
  <c r="F85" i="64" s="1"/>
  <c r="G115" i="21" s="1"/>
  <c r="F19" i="4"/>
  <c r="J21" i="4"/>
  <c r="J19" i="64"/>
  <c r="J87" i="64" s="1"/>
  <c r="K117" i="21" s="1"/>
  <c r="M49" i="48" l="1"/>
  <c r="M16" i="48"/>
  <c r="N48" i="48"/>
  <c r="N16" i="48" s="1"/>
  <c r="D195" i="71"/>
  <c r="G91" i="71"/>
  <c r="H91" i="71" s="1"/>
  <c r="G112" i="71"/>
  <c r="H112" i="71" s="1"/>
  <c r="G111" i="71"/>
  <c r="H111" i="71" s="1"/>
  <c r="M82" i="48"/>
  <c r="N82" i="48" s="1"/>
  <c r="D175" i="71"/>
  <c r="D196" i="71"/>
  <c r="I33" i="64"/>
  <c r="D72" i="7"/>
  <c r="J50" i="8"/>
  <c r="K17" i="1"/>
  <c r="D174" i="71"/>
  <c r="H92" i="71"/>
  <c r="F51" i="71"/>
  <c r="F58" i="71"/>
  <c r="A67" i="71"/>
  <c r="K63" i="49"/>
  <c r="J64" i="49"/>
  <c r="I102" i="64"/>
  <c r="K41" i="1"/>
  <c r="I39" i="4"/>
  <c r="D14" i="15"/>
  <c r="K26" i="1" s="1"/>
  <c r="G145" i="64"/>
  <c r="K461" i="49"/>
  <c r="J462" i="49"/>
  <c r="A319" i="49"/>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H32" i="11"/>
  <c r="G15" i="71"/>
  <c r="A97" i="11"/>
  <c r="A98" i="11" s="1"/>
  <c r="A99" i="11" s="1"/>
  <c r="A100" i="11" s="1"/>
  <c r="A101" i="11" s="1"/>
  <c r="A102" i="11" s="1"/>
  <c r="A103" i="11" s="1"/>
  <c r="A104" i="11" s="1"/>
  <c r="A105" i="11" s="1"/>
  <c r="A106" i="11" s="1"/>
  <c r="A107" i="11" s="1"/>
  <c r="A108" i="11" s="1"/>
  <c r="A109" i="11" s="1"/>
  <c r="A110" i="11" s="1"/>
  <c r="A120" i="11" s="1"/>
  <c r="H63" i="11"/>
  <c r="H64" i="11"/>
  <c r="H65" i="11"/>
  <c r="E17" i="64"/>
  <c r="E85" i="64" s="1"/>
  <c r="F115" i="21" s="1"/>
  <c r="E19" i="4"/>
  <c r="A42" i="26"/>
  <c r="A43" i="26" s="1"/>
  <c r="A44" i="26" s="1"/>
  <c r="A45" i="26" s="1"/>
  <c r="A46" i="26" s="1"/>
  <c r="A47" i="26" s="1"/>
  <c r="G88" i="26"/>
  <c r="A50" i="8"/>
  <c r="A51" i="8" s="1"/>
  <c r="A52" i="8" s="1"/>
  <c r="A53" i="8" s="1"/>
  <c r="A54" i="8" s="1"/>
  <c r="A55" i="8" s="1"/>
  <c r="A56" i="8" s="1"/>
  <c r="A57" i="8" s="1"/>
  <c r="A58" i="8" s="1"/>
  <c r="A59" i="8" s="1"/>
  <c r="A60" i="8" s="1"/>
  <c r="D64" i="7"/>
  <c r="D65" i="7" s="1"/>
  <c r="A79" i="4"/>
  <c r="A80" i="4" s="1"/>
  <c r="B108" i="65"/>
  <c r="B119" i="65"/>
  <c r="D71" i="71"/>
  <c r="D72" i="71" s="1"/>
  <c r="E149" i="71"/>
  <c r="D167" i="71"/>
  <c r="D188" i="71"/>
  <c r="G84" i="71"/>
  <c r="H84" i="71" s="1"/>
  <c r="D189" i="71"/>
  <c r="D168" i="71"/>
  <c r="G85" i="71"/>
  <c r="H85" i="71" s="1"/>
  <c r="D169" i="71"/>
  <c r="D190" i="71"/>
  <c r="G86" i="71"/>
  <c r="H86" i="71" s="1"/>
  <c r="I41" i="1"/>
  <c r="G83" i="71"/>
  <c r="H83" i="71" s="1"/>
  <c r="D187" i="71"/>
  <c r="D166" i="71"/>
  <c r="G100" i="71"/>
  <c r="D114" i="71"/>
  <c r="G106" i="71"/>
  <c r="H106" i="71" s="1"/>
  <c r="D185" i="71"/>
  <c r="G81" i="71"/>
  <c r="H81" i="71" s="1"/>
  <c r="D164" i="71"/>
  <c r="D94" i="71"/>
  <c r="D184" i="71"/>
  <c r="D163" i="71"/>
  <c r="G80" i="71"/>
  <c r="H80" i="71" s="1"/>
  <c r="A43" i="1"/>
  <c r="A44" i="1" s="1"/>
  <c r="G88" i="71"/>
  <c r="H88" i="71" s="1"/>
  <c r="D171" i="71"/>
  <c r="D192" i="71"/>
  <c r="D191" i="71"/>
  <c r="D170" i="71"/>
  <c r="G87" i="71"/>
  <c r="H87" i="71" s="1"/>
  <c r="D193" i="71"/>
  <c r="D172" i="71"/>
  <c r="G89" i="71"/>
  <c r="H89" i="71" s="1"/>
  <c r="D165" i="71"/>
  <c r="D186" i="71"/>
  <c r="G82" i="71"/>
  <c r="H82" i="71" s="1"/>
  <c r="D194" i="71"/>
  <c r="D173" i="71"/>
  <c r="G90" i="71"/>
  <c r="H90" i="71" s="1"/>
  <c r="G103" i="71"/>
  <c r="H103" i="71" s="1"/>
  <c r="K83" i="48"/>
  <c r="L83" i="48"/>
  <c r="L20" i="48" s="1"/>
  <c r="K19" i="48"/>
  <c r="K395" i="49"/>
  <c r="J396" i="49"/>
  <c r="J363" i="49"/>
  <c r="K362" i="49"/>
  <c r="K55" i="48"/>
  <c r="L55" i="48"/>
  <c r="J331" i="49"/>
  <c r="K330" i="49"/>
  <c r="K263" i="49"/>
  <c r="J264" i="49"/>
  <c r="K296" i="49"/>
  <c r="J297" i="49"/>
  <c r="J429" i="49"/>
  <c r="K428" i="49"/>
  <c r="J133" i="49"/>
  <c r="K132" i="49"/>
  <c r="J166" i="49"/>
  <c r="K165" i="49"/>
  <c r="J198" i="49"/>
  <c r="K197" i="49"/>
  <c r="J99" i="49"/>
  <c r="K98" i="49"/>
  <c r="K230" i="49"/>
  <c r="J231" i="49"/>
  <c r="N113" i="21"/>
  <c r="K18" i="64"/>
  <c r="K86" i="64" s="1"/>
  <c r="L116" i="21" s="1"/>
  <c r="K20" i="4"/>
  <c r="C19" i="4"/>
  <c r="C17" i="64"/>
  <c r="C85" i="64" s="1"/>
  <c r="E115" i="21"/>
  <c r="D114" i="21"/>
  <c r="N114" i="21" s="1"/>
  <c r="D18" i="64"/>
  <c r="D86" i="64" s="1"/>
  <c r="E116" i="21" s="1"/>
  <c r="D20" i="4"/>
  <c r="G18" i="64"/>
  <c r="G86" i="64" s="1"/>
  <c r="H116" i="21" s="1"/>
  <c r="G20" i="4"/>
  <c r="H20" i="4"/>
  <c r="H18" i="64"/>
  <c r="H86" i="64" s="1"/>
  <c r="I116" i="21" s="1"/>
  <c r="F18" i="64"/>
  <c r="F86" i="64" s="1"/>
  <c r="G116" i="21" s="1"/>
  <c r="F20" i="4"/>
  <c r="I17" i="64"/>
  <c r="I85" i="64" s="1"/>
  <c r="J115" i="21" s="1"/>
  <c r="I19" i="4"/>
  <c r="L20" i="64"/>
  <c r="L88" i="64" s="1"/>
  <c r="M118" i="21" s="1"/>
  <c r="L22" i="4"/>
  <c r="J20" i="64"/>
  <c r="J88" i="64" s="1"/>
  <c r="K118" i="21" s="1"/>
  <c r="J22" i="4"/>
  <c r="M17" i="48" l="1"/>
  <c r="N49" i="48"/>
  <c r="N17" i="48" s="1"/>
  <c r="M50" i="48"/>
  <c r="M83" i="48"/>
  <c r="I34" i="64"/>
  <c r="J14" i="8"/>
  <c r="K18" i="1"/>
  <c r="J65" i="49"/>
  <c r="A68" i="71"/>
  <c r="A69" i="71" s="1"/>
  <c r="K64" i="49"/>
  <c r="I103" i="64"/>
  <c r="I40" i="4"/>
  <c r="D24" i="15"/>
  <c r="J23" i="8" s="1"/>
  <c r="A352" i="49"/>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G16" i="71"/>
  <c r="H33" i="11"/>
  <c r="K462" i="49"/>
  <c r="J463" i="49"/>
  <c r="A121" i="11"/>
  <c r="A122" i="11" s="1"/>
  <c r="A123" i="11" s="1"/>
  <c r="A124" i="11" s="1"/>
  <c r="A125" i="11" s="1"/>
  <c r="A126" i="11" s="1"/>
  <c r="A127" i="11" s="1"/>
  <c r="A128" i="11" s="1"/>
  <c r="A129" i="11" s="1"/>
  <c r="A130" i="11" s="1"/>
  <c r="A131" i="11" s="1"/>
  <c r="A132" i="11" s="1"/>
  <c r="A140" i="11" s="1"/>
  <c r="E20" i="4"/>
  <c r="E18" i="64"/>
  <c r="E86" i="64" s="1"/>
  <c r="F116" i="21" s="1"/>
  <c r="A48" i="26"/>
  <c r="C89" i="26"/>
  <c r="H60" i="8"/>
  <c r="H65" i="8"/>
  <c r="A62" i="8"/>
  <c r="A65" i="8" s="1"/>
  <c r="H7" i="8"/>
  <c r="A83" i="4"/>
  <c r="G80" i="4"/>
  <c r="D198" i="71"/>
  <c r="H94" i="71"/>
  <c r="G114" i="71"/>
  <c r="H100" i="71"/>
  <c r="H114" i="71" s="1"/>
  <c r="A45" i="1"/>
  <c r="G94" i="71"/>
  <c r="D177" i="71"/>
  <c r="K84" i="48"/>
  <c r="L84" i="48"/>
  <c r="L21" i="48" s="1"/>
  <c r="K20" i="48"/>
  <c r="J397" i="49"/>
  <c r="K396" i="49"/>
  <c r="J364" i="49"/>
  <c r="K363" i="49"/>
  <c r="K56" i="48"/>
  <c r="L56" i="48"/>
  <c r="K264" i="49"/>
  <c r="J265" i="49"/>
  <c r="J298" i="49"/>
  <c r="K297" i="49"/>
  <c r="J430" i="49"/>
  <c r="K429" i="49"/>
  <c r="J332" i="49"/>
  <c r="K331" i="49"/>
  <c r="K231" i="49"/>
  <c r="J232" i="49"/>
  <c r="J134" i="49"/>
  <c r="K133" i="49"/>
  <c r="K99" i="49"/>
  <c r="J100" i="49"/>
  <c r="J167" i="49"/>
  <c r="K166" i="49"/>
  <c r="K198" i="49"/>
  <c r="J199" i="49"/>
  <c r="I20" i="4"/>
  <c r="I18" i="64"/>
  <c r="I86" i="64" s="1"/>
  <c r="J116" i="21" s="1"/>
  <c r="F21" i="4"/>
  <c r="F19" i="64"/>
  <c r="F87" i="64" s="1"/>
  <c r="G117" i="21" s="1"/>
  <c r="K19" i="64"/>
  <c r="K87" i="64" s="1"/>
  <c r="L117" i="21" s="1"/>
  <c r="K21" i="4"/>
  <c r="D19" i="64"/>
  <c r="D87" i="64" s="1"/>
  <c r="E117" i="21" s="1"/>
  <c r="D21" i="4"/>
  <c r="D22" i="4" s="1"/>
  <c r="L21" i="64"/>
  <c r="L89" i="64" s="1"/>
  <c r="M119" i="21" s="1"/>
  <c r="L23" i="4"/>
  <c r="D115" i="21"/>
  <c r="N115" i="21" s="1"/>
  <c r="H21" i="4"/>
  <c r="H19" i="64"/>
  <c r="H87" i="64" s="1"/>
  <c r="I117" i="21" s="1"/>
  <c r="C18" i="64"/>
  <c r="C86" i="64" s="1"/>
  <c r="C20" i="4"/>
  <c r="G19" i="64"/>
  <c r="G87" i="64" s="1"/>
  <c r="H117" i="21" s="1"/>
  <c r="G21" i="4"/>
  <c r="J23" i="4"/>
  <c r="J21" i="64"/>
  <c r="J89" i="64" s="1"/>
  <c r="K119" i="21" s="1"/>
  <c r="N50" i="48" l="1"/>
  <c r="N18" i="48" s="1"/>
  <c r="M51" i="48"/>
  <c r="M18" i="48"/>
  <c r="M84" i="48"/>
  <c r="N84" i="48" s="1"/>
  <c r="J15" i="8"/>
  <c r="K34" i="1"/>
  <c r="K131" i="1"/>
  <c r="A70" i="71"/>
  <c r="B205" i="71" s="1"/>
  <c r="J66" i="49"/>
  <c r="K65" i="49"/>
  <c r="I104" i="64"/>
  <c r="I35" i="64"/>
  <c r="I41" i="4"/>
  <c r="K463" i="49"/>
  <c r="J464" i="49"/>
  <c r="A385" i="49"/>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H34" i="11"/>
  <c r="G17" i="71"/>
  <c r="F72" i="11"/>
  <c r="A141" i="11"/>
  <c r="A142" i="11" s="1"/>
  <c r="A143" i="11" s="1"/>
  <c r="A144" i="11" s="1"/>
  <c r="A145" i="11" s="1"/>
  <c r="A146" i="11" s="1"/>
  <c r="A147" i="11" s="1"/>
  <c r="A148" i="11" s="1"/>
  <c r="A149" i="11" s="1"/>
  <c r="A150" i="11" s="1"/>
  <c r="A151" i="11" s="1"/>
  <c r="A152" i="11" s="1"/>
  <c r="A160" i="11" s="1"/>
  <c r="E19" i="64"/>
  <c r="E87" i="64" s="1"/>
  <c r="F117" i="21" s="1"/>
  <c r="E21" i="4"/>
  <c r="C80" i="26"/>
  <c r="A49" i="26"/>
  <c r="A50" i="26" s="1"/>
  <c r="A51" i="26" s="1"/>
  <c r="A52" i="26" s="1"/>
  <c r="A53" i="26" s="1"/>
  <c r="A54" i="26" s="1"/>
  <c r="G69" i="8"/>
  <c r="A69" i="8"/>
  <c r="A84" i="4"/>
  <c r="A85" i="4" s="1"/>
  <c r="N83" i="48"/>
  <c r="A46" i="1"/>
  <c r="A47" i="1" s="1"/>
  <c r="A48" i="1" s="1"/>
  <c r="K85" i="48"/>
  <c r="L85" i="48"/>
  <c r="L22" i="48" s="1"/>
  <c r="K21" i="48"/>
  <c r="K397" i="49"/>
  <c r="J398" i="49"/>
  <c r="J365" i="49"/>
  <c r="K364" i="49"/>
  <c r="K57" i="48"/>
  <c r="L57" i="48"/>
  <c r="J266" i="49"/>
  <c r="K265" i="49"/>
  <c r="J333" i="49"/>
  <c r="K332" i="49"/>
  <c r="J299" i="49"/>
  <c r="K298" i="49"/>
  <c r="K430" i="49"/>
  <c r="J431" i="49"/>
  <c r="K167" i="49"/>
  <c r="J168" i="49"/>
  <c r="K100" i="49"/>
  <c r="J101" i="49"/>
  <c r="K134" i="49"/>
  <c r="J135" i="49"/>
  <c r="K199" i="49"/>
  <c r="J200" i="49"/>
  <c r="J233" i="49"/>
  <c r="K232" i="49"/>
  <c r="D20" i="64"/>
  <c r="D88" i="64" s="1"/>
  <c r="E118" i="21" s="1"/>
  <c r="G22" i="4"/>
  <c r="G20" i="64"/>
  <c r="G88" i="64" s="1"/>
  <c r="H118" i="21" s="1"/>
  <c r="C19" i="64"/>
  <c r="C87" i="64" s="1"/>
  <c r="C21" i="4"/>
  <c r="D116" i="21"/>
  <c r="N116" i="21" s="1"/>
  <c r="K22" i="4"/>
  <c r="K20" i="64"/>
  <c r="K88" i="64" s="1"/>
  <c r="L118" i="21" s="1"/>
  <c r="H22" i="4"/>
  <c r="H20" i="64"/>
  <c r="H88" i="64" s="1"/>
  <c r="I118" i="21" s="1"/>
  <c r="L24" i="4"/>
  <c r="L22" i="64"/>
  <c r="L90" i="64" s="1"/>
  <c r="M120" i="21" s="1"/>
  <c r="F20" i="64"/>
  <c r="F88" i="64" s="1"/>
  <c r="G118" i="21" s="1"/>
  <c r="F22" i="4"/>
  <c r="I21" i="4"/>
  <c r="I19" i="64"/>
  <c r="I87" i="64" s="1"/>
  <c r="J117" i="21" s="1"/>
  <c r="J24" i="4"/>
  <c r="J22" i="64"/>
  <c r="J90" i="64" s="1"/>
  <c r="K120" i="21" s="1"/>
  <c r="M52" i="48" l="1"/>
  <c r="N51" i="48"/>
  <c r="N19" i="48" s="1"/>
  <c r="M19" i="48"/>
  <c r="M85" i="48"/>
  <c r="K112" i="1"/>
  <c r="K97" i="1"/>
  <c r="J54" i="8"/>
  <c r="I105" i="64"/>
  <c r="I36" i="64"/>
  <c r="B208" i="71"/>
  <c r="A71" i="71"/>
  <c r="F149" i="71"/>
  <c r="B201" i="71"/>
  <c r="B202" i="71"/>
  <c r="J67" i="49"/>
  <c r="K66" i="49"/>
  <c r="I42" i="4"/>
  <c r="G85" i="4"/>
  <c r="A418" i="49"/>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G18" i="71"/>
  <c r="H35" i="11"/>
  <c r="J465" i="49"/>
  <c r="K464" i="49"/>
  <c r="A161" i="11"/>
  <c r="A162" i="11" s="1"/>
  <c r="A163" i="11" s="1"/>
  <c r="A164" i="11" s="1"/>
  <c r="A165" i="11" s="1"/>
  <c r="A166" i="11" s="1"/>
  <c r="A167" i="11" s="1"/>
  <c r="A168" i="11" s="1"/>
  <c r="A169" i="11" s="1"/>
  <c r="A170" i="11" s="1"/>
  <c r="A171" i="11" s="1"/>
  <c r="A172" i="11" s="1"/>
  <c r="A179" i="11" s="1"/>
  <c r="A180" i="11" s="1"/>
  <c r="A181" i="11" s="1"/>
  <c r="A182" i="11" s="1"/>
  <c r="A183" i="11" s="1"/>
  <c r="A184" i="11" s="1"/>
  <c r="A185" i="11" s="1"/>
  <c r="A186" i="11" s="1"/>
  <c r="A187" i="11" s="1"/>
  <c r="A188" i="11" s="1"/>
  <c r="A189" i="11" s="1"/>
  <c r="A190" i="11" s="1"/>
  <c r="A191" i="11" s="1"/>
  <c r="A198" i="11" s="1"/>
  <c r="A199" i="11" s="1"/>
  <c r="A200" i="11" s="1"/>
  <c r="A201" i="11" s="1"/>
  <c r="A202" i="11" s="1"/>
  <c r="A203" i="11" s="1"/>
  <c r="A204" i="11" s="1"/>
  <c r="A205" i="11" s="1"/>
  <c r="A206" i="11" s="1"/>
  <c r="A207" i="11" s="1"/>
  <c r="A208" i="11" s="1"/>
  <c r="A209" i="11" s="1"/>
  <c r="A210" i="11" s="1"/>
  <c r="A217" i="11" s="1"/>
  <c r="A218" i="11" s="1"/>
  <c r="A219" i="11" s="1"/>
  <c r="A220" i="11" s="1"/>
  <c r="A221" i="11" s="1"/>
  <c r="A222" i="11" s="1"/>
  <c r="A223" i="11" s="1"/>
  <c r="A224" i="11" s="1"/>
  <c r="A225" i="11" s="1"/>
  <c r="A226" i="11" s="1"/>
  <c r="A227" i="11" s="1"/>
  <c r="A228" i="11" s="1"/>
  <c r="A229" i="11" s="1"/>
  <c r="A236" i="11" s="1"/>
  <c r="A237" i="11" s="1"/>
  <c r="A238" i="11" s="1"/>
  <c r="A239" i="11" s="1"/>
  <c r="A240" i="11" s="1"/>
  <c r="A241" i="11" s="1"/>
  <c r="A242" i="11" s="1"/>
  <c r="A243" i="11" s="1"/>
  <c r="A244" i="11" s="1"/>
  <c r="A245" i="11" s="1"/>
  <c r="A246" i="11" s="1"/>
  <c r="A247" i="11" s="1"/>
  <c r="A248" i="11" s="1"/>
  <c r="A255" i="11" s="1"/>
  <c r="A256" i="11" s="1"/>
  <c r="A257" i="11" s="1"/>
  <c r="A258" i="11" s="1"/>
  <c r="A259" i="11" s="1"/>
  <c r="A260" i="11" s="1"/>
  <c r="A261" i="11" s="1"/>
  <c r="A262" i="11" s="1"/>
  <c r="A263" i="11" s="1"/>
  <c r="A264" i="11" s="1"/>
  <c r="A265" i="11" s="1"/>
  <c r="A266" i="11" s="1"/>
  <c r="A267" i="11" s="1"/>
  <c r="A274" i="11" s="1"/>
  <c r="A275" i="11" s="1"/>
  <c r="A276" i="11" s="1"/>
  <c r="A277" i="11" s="1"/>
  <c r="A278" i="11" s="1"/>
  <c r="A279" i="11" s="1"/>
  <c r="A280" i="11" s="1"/>
  <c r="A281" i="11" s="1"/>
  <c r="A282" i="11" s="1"/>
  <c r="A283" i="11" s="1"/>
  <c r="A284" i="11" s="1"/>
  <c r="A285" i="11" s="1"/>
  <c r="A286" i="11" s="1"/>
  <c r="A293" i="11" s="1"/>
  <c r="A294" i="11" s="1"/>
  <c r="A295" i="11" s="1"/>
  <c r="A296" i="11" s="1"/>
  <c r="A297" i="11" s="1"/>
  <c r="A298" i="11" s="1"/>
  <c r="A299" i="11" s="1"/>
  <c r="A300" i="11" s="1"/>
  <c r="A301" i="11" s="1"/>
  <c r="A302" i="11" s="1"/>
  <c r="A303" i="11" s="1"/>
  <c r="A304" i="11" s="1"/>
  <c r="A305" i="11" s="1"/>
  <c r="A312" i="11" s="1"/>
  <c r="A313" i="11" s="1"/>
  <c r="A314" i="11" s="1"/>
  <c r="A315" i="11" s="1"/>
  <c r="A316" i="11" s="1"/>
  <c r="A317" i="11" s="1"/>
  <c r="A318" i="11" s="1"/>
  <c r="A319" i="11" s="1"/>
  <c r="A320" i="11" s="1"/>
  <c r="A321" i="11" s="1"/>
  <c r="A322" i="11" s="1"/>
  <c r="A323" i="11" s="1"/>
  <c r="A324" i="11" s="1"/>
  <c r="A332" i="11" s="1"/>
  <c r="A333" i="11" s="1"/>
  <c r="A334" i="11" s="1"/>
  <c r="A335" i="11" s="1"/>
  <c r="A336" i="11" s="1"/>
  <c r="A337" i="11" s="1"/>
  <c r="A338" i="11" s="1"/>
  <c r="A339" i="11" s="1"/>
  <c r="A340" i="11" s="1"/>
  <c r="A341" i="11" s="1"/>
  <c r="A342" i="11" s="1"/>
  <c r="A343" i="11" s="1"/>
  <c r="A344" i="11" s="1"/>
  <c r="H72" i="11"/>
  <c r="E22" i="4"/>
  <c r="E20" i="64"/>
  <c r="E88" i="64" s="1"/>
  <c r="F118" i="21" s="1"/>
  <c r="I44" i="1"/>
  <c r="A70" i="8"/>
  <c r="A71" i="8" s="1"/>
  <c r="A72" i="8" s="1"/>
  <c r="A73" i="8" s="1"/>
  <c r="A75" i="8" s="1"/>
  <c r="H14" i="65" s="1"/>
  <c r="A94" i="4"/>
  <c r="A95" i="4" s="1"/>
  <c r="A96" i="4" s="1"/>
  <c r="A97" i="4" s="1"/>
  <c r="A98" i="4" s="1"/>
  <c r="A99" i="4" s="1"/>
  <c r="A100" i="4" s="1"/>
  <c r="A101" i="4" s="1"/>
  <c r="A102" i="4" s="1"/>
  <c r="A103" i="4" s="1"/>
  <c r="I10" i="1"/>
  <c r="A49" i="1"/>
  <c r="A50" i="1" s="1"/>
  <c r="A51" i="1" s="1"/>
  <c r="A52" i="1" s="1"/>
  <c r="K86" i="48"/>
  <c r="L86" i="48"/>
  <c r="L23" i="48" s="1"/>
  <c r="K22" i="48"/>
  <c r="N85" i="48"/>
  <c r="K398" i="49"/>
  <c r="J399" i="49"/>
  <c r="K365" i="49"/>
  <c r="J366" i="49"/>
  <c r="K58" i="48"/>
  <c r="L58" i="48"/>
  <c r="J300" i="49"/>
  <c r="K299" i="49"/>
  <c r="K333" i="49"/>
  <c r="J334" i="49"/>
  <c r="K431" i="49"/>
  <c r="J432" i="49"/>
  <c r="K266" i="49"/>
  <c r="J267" i="49"/>
  <c r="J102" i="49"/>
  <c r="K101" i="49"/>
  <c r="J234" i="49"/>
  <c r="K233" i="49"/>
  <c r="K200" i="49"/>
  <c r="J201" i="49"/>
  <c r="J169" i="49"/>
  <c r="K168" i="49"/>
  <c r="K135" i="49"/>
  <c r="J136" i="49"/>
  <c r="F21" i="64"/>
  <c r="F89" i="64" s="1"/>
  <c r="G119" i="21" s="1"/>
  <c r="F23" i="4"/>
  <c r="K23" i="4"/>
  <c r="K21" i="64"/>
  <c r="K89" i="64" s="1"/>
  <c r="L119" i="21" s="1"/>
  <c r="G23" i="4"/>
  <c r="G21" i="64"/>
  <c r="G89" i="64" s="1"/>
  <c r="H119" i="21" s="1"/>
  <c r="L26" i="4"/>
  <c r="L23" i="64"/>
  <c r="L91" i="64" s="1"/>
  <c r="I20" i="64"/>
  <c r="I88" i="64" s="1"/>
  <c r="I22" i="4"/>
  <c r="C20" i="64"/>
  <c r="C88" i="64" s="1"/>
  <c r="C22" i="4"/>
  <c r="D21" i="64"/>
  <c r="D89" i="64" s="1"/>
  <c r="E119" i="21" s="1"/>
  <c r="D23" i="4"/>
  <c r="H21" i="64"/>
  <c r="H89" i="64" s="1"/>
  <c r="I119" i="21" s="1"/>
  <c r="H23" i="4"/>
  <c r="D117" i="21"/>
  <c r="N117" i="21" s="1"/>
  <c r="J26" i="4"/>
  <c r="J23" i="64"/>
  <c r="J91" i="64" s="1"/>
  <c r="K121" i="21" s="1"/>
  <c r="K122" i="21" s="1"/>
  <c r="K149" i="21" s="1"/>
  <c r="K152" i="21" s="1"/>
  <c r="M53" i="48" l="1"/>
  <c r="M20" i="48"/>
  <c r="N52" i="48"/>
  <c r="N20" i="48" s="1"/>
  <c r="M86" i="48"/>
  <c r="G71" i="8"/>
  <c r="I37" i="64"/>
  <c r="K133" i="1"/>
  <c r="K134" i="1"/>
  <c r="A72" i="71"/>
  <c r="A80" i="71" s="1"/>
  <c r="F72" i="71"/>
  <c r="K67" i="49"/>
  <c r="J68" i="49"/>
  <c r="I106" i="64"/>
  <c r="I43" i="4"/>
  <c r="A104" i="4"/>
  <c r="A105" i="4" s="1"/>
  <c r="A106" i="4" s="1"/>
  <c r="A132" i="4" s="1"/>
  <c r="A133" i="4" s="1"/>
  <c r="A134" i="4" s="1"/>
  <c r="A135" i="4" s="1"/>
  <c r="A136" i="4" s="1"/>
  <c r="A137" i="4" s="1"/>
  <c r="A138" i="4" s="1"/>
  <c r="A139" i="4" s="1"/>
  <c r="A140" i="4" s="1"/>
  <c r="A141" i="4" s="1"/>
  <c r="A142" i="4" s="1"/>
  <c r="A143" i="4" s="1"/>
  <c r="A144" i="4" s="1"/>
  <c r="A152" i="4" s="1"/>
  <c r="A153" i="4" s="1"/>
  <c r="A154" i="4" s="1"/>
  <c r="A155" i="4" s="1"/>
  <c r="A156" i="4" s="1"/>
  <c r="A157" i="4" s="1"/>
  <c r="A158" i="4" s="1"/>
  <c r="A159" i="4" s="1"/>
  <c r="A160" i="4" s="1"/>
  <c r="A161" i="4" s="1"/>
  <c r="A162" i="4" s="1"/>
  <c r="A163" i="4" s="1"/>
  <c r="A164" i="4" s="1"/>
  <c r="A172" i="4" s="1"/>
  <c r="A173" i="4" s="1"/>
  <c r="A174" i="4" s="1"/>
  <c r="A175" i="4" s="1"/>
  <c r="A176" i="4" s="1"/>
  <c r="A177" i="4" s="1"/>
  <c r="A178" i="4" s="1"/>
  <c r="A179" i="4" s="1"/>
  <c r="A180" i="4" s="1"/>
  <c r="A181" i="4" s="1"/>
  <c r="A182" i="4" s="1"/>
  <c r="A183" i="4" s="1"/>
  <c r="A184" i="4" s="1"/>
  <c r="B285" i="4" s="1"/>
  <c r="J466" i="49"/>
  <c r="K465" i="49"/>
  <c r="A451" i="49"/>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H36" i="11"/>
  <c r="G19" i="71"/>
  <c r="A407" i="11"/>
  <c r="A351" i="11"/>
  <c r="A352" i="11" s="1"/>
  <c r="A353" i="11" s="1"/>
  <c r="A354" i="11" s="1"/>
  <c r="A355" i="11" s="1"/>
  <c r="A356" i="11" s="1"/>
  <c r="A357" i="11" s="1"/>
  <c r="A358" i="11" s="1"/>
  <c r="A359" i="11" s="1"/>
  <c r="A360" i="11" s="1"/>
  <c r="A361" i="11" s="1"/>
  <c r="A362" i="11" s="1"/>
  <c r="G72" i="11"/>
  <c r="E23" i="4"/>
  <c r="E21" i="64"/>
  <c r="E89" i="64" s="1"/>
  <c r="F119" i="21" s="1"/>
  <c r="G75" i="8"/>
  <c r="G73" i="8"/>
  <c r="N86" i="48"/>
  <c r="I52" i="1"/>
  <c r="A53" i="1"/>
  <c r="A54" i="1" s="1"/>
  <c r="C20" i="17"/>
  <c r="K87" i="48"/>
  <c r="L87" i="48"/>
  <c r="L24" i="48" s="1"/>
  <c r="K23" i="48"/>
  <c r="K399" i="49"/>
  <c r="J400" i="49"/>
  <c r="J367" i="49"/>
  <c r="K366" i="49"/>
  <c r="K59" i="48"/>
  <c r="L59" i="48"/>
  <c r="K432" i="49"/>
  <c r="J433" i="49"/>
  <c r="J268" i="49"/>
  <c r="K267" i="49"/>
  <c r="J335" i="49"/>
  <c r="K334" i="49"/>
  <c r="K300" i="49"/>
  <c r="J301" i="49"/>
  <c r="K201" i="49"/>
  <c r="J202" i="49"/>
  <c r="J235" i="49"/>
  <c r="K234" i="49"/>
  <c r="J170" i="49"/>
  <c r="K169" i="49"/>
  <c r="J137" i="49"/>
  <c r="K136" i="49"/>
  <c r="J103" i="49"/>
  <c r="K102" i="49"/>
  <c r="C23" i="4"/>
  <c r="C21" i="64"/>
  <c r="C89" i="64" s="1"/>
  <c r="H22" i="64"/>
  <c r="H90" i="64" s="1"/>
  <c r="H24" i="4"/>
  <c r="H23" i="64" s="1"/>
  <c r="H91" i="64" s="1"/>
  <c r="I121" i="21" s="1"/>
  <c r="D118" i="21"/>
  <c r="G22" i="64"/>
  <c r="G90" i="64" s="1"/>
  <c r="H120" i="21" s="1"/>
  <c r="G24" i="4"/>
  <c r="G23" i="64" s="1"/>
  <c r="G91" i="64" s="1"/>
  <c r="H121" i="21" s="1"/>
  <c r="D22" i="64"/>
  <c r="D90" i="64" s="1"/>
  <c r="E120" i="21" s="1"/>
  <c r="D24" i="4"/>
  <c r="I21" i="64"/>
  <c r="I89" i="64" s="1"/>
  <c r="J119" i="21" s="1"/>
  <c r="I23" i="4"/>
  <c r="K24" i="4"/>
  <c r="K22" i="64"/>
  <c r="K90" i="64" s="1"/>
  <c r="L120" i="21" s="1"/>
  <c r="J118" i="21"/>
  <c r="F22" i="64"/>
  <c r="F90" i="64" s="1"/>
  <c r="G120" i="21" s="1"/>
  <c r="F24" i="4"/>
  <c r="L92" i="64"/>
  <c r="M121" i="21"/>
  <c r="M122" i="21" s="1"/>
  <c r="M149" i="21" s="1"/>
  <c r="M152" i="21" s="1"/>
  <c r="J92" i="64"/>
  <c r="K170" i="21"/>
  <c r="K159" i="21"/>
  <c r="K161" i="21"/>
  <c r="K166" i="21"/>
  <c r="K163" i="21"/>
  <c r="K168" i="21"/>
  <c r="K160" i="21"/>
  <c r="K162" i="21"/>
  <c r="K169" i="21"/>
  <c r="K167" i="21"/>
  <c r="K165" i="21"/>
  <c r="K164" i="21"/>
  <c r="M54" i="48" l="1"/>
  <c r="M21" i="48"/>
  <c r="N53" i="48"/>
  <c r="N21" i="48" s="1"/>
  <c r="M87" i="48"/>
  <c r="I38" i="64"/>
  <c r="A81" i="71"/>
  <c r="A82" i="71" s="1"/>
  <c r="A83" i="71" s="1"/>
  <c r="A84" i="71" s="1"/>
  <c r="A85" i="71" s="1"/>
  <c r="A86" i="71" s="1"/>
  <c r="A87" i="71" s="1"/>
  <c r="A88" i="71" s="1"/>
  <c r="A89" i="71" s="1"/>
  <c r="A90" i="71" s="1"/>
  <c r="A93" i="71" s="1"/>
  <c r="A94" i="71" s="1"/>
  <c r="A100" i="71" s="1"/>
  <c r="J69" i="49"/>
  <c r="K68" i="49"/>
  <c r="I107" i="64"/>
  <c r="I44" i="4"/>
  <c r="D47" i="21"/>
  <c r="A191" i="4"/>
  <c r="A192" i="4" s="1"/>
  <c r="A193" i="4" s="1"/>
  <c r="A194" i="4" s="1"/>
  <c r="A195" i="4" s="1"/>
  <c r="A196" i="4" s="1"/>
  <c r="A197" i="4" s="1"/>
  <c r="A198" i="4" s="1"/>
  <c r="A199" i="4" s="1"/>
  <c r="A200" i="4" s="1"/>
  <c r="A201" i="4" s="1"/>
  <c r="A202" i="4" s="1"/>
  <c r="A203" i="4" s="1"/>
  <c r="A209" i="4" s="1"/>
  <c r="A210" i="4" s="1"/>
  <c r="A211" i="4" s="1"/>
  <c r="A212" i="4" s="1"/>
  <c r="A213" i="4" s="1"/>
  <c r="A214" i="4" s="1"/>
  <c r="A215" i="4" s="1"/>
  <c r="A216" i="4" s="1"/>
  <c r="A217" i="4" s="1"/>
  <c r="A218" i="4" s="1"/>
  <c r="A219" i="4" s="1"/>
  <c r="A220" i="4" s="1"/>
  <c r="A226" i="4" s="1"/>
  <c r="A363" i="11"/>
  <c r="A371" i="11"/>
  <c r="A372" i="11" s="1"/>
  <c r="A373" i="11" s="1"/>
  <c r="A374" i="11" s="1"/>
  <c r="A375" i="11" s="1"/>
  <c r="A376" i="11" s="1"/>
  <c r="A377" i="11" s="1"/>
  <c r="A378" i="11" s="1"/>
  <c r="A379" i="11" s="1"/>
  <c r="A380" i="11" s="1"/>
  <c r="A476" i="49"/>
  <c r="A484" i="49" s="1"/>
  <c r="A485" i="49" s="1"/>
  <c r="A486" i="49" s="1"/>
  <c r="A487" i="49" s="1"/>
  <c r="A488" i="49" s="1"/>
  <c r="A489" i="49" s="1"/>
  <c r="A490" i="49" s="1"/>
  <c r="A491" i="49" s="1"/>
  <c r="A492" i="49" s="1"/>
  <c r="A493" i="49" s="1"/>
  <c r="A494" i="49" s="1"/>
  <c r="A495" i="49" s="1"/>
  <c r="A496" i="49" s="1"/>
  <c r="A497" i="49" s="1"/>
  <c r="A498" i="49" s="1"/>
  <c r="A499" i="49" s="1"/>
  <c r="A500" i="49" s="1"/>
  <c r="A501" i="49" s="1"/>
  <c r="A502" i="49" s="1"/>
  <c r="A503" i="49" s="1"/>
  <c r="A504" i="49" s="1"/>
  <c r="A505" i="49" s="1"/>
  <c r="A506" i="49" s="1"/>
  <c r="A507" i="49" s="1"/>
  <c r="A508" i="49" s="1"/>
  <c r="K466" i="49"/>
  <c r="J467" i="49"/>
  <c r="G25" i="12"/>
  <c r="A408" i="11"/>
  <c r="A411" i="11" s="1"/>
  <c r="A412" i="11" s="1"/>
  <c r="G26" i="4"/>
  <c r="E24" i="4"/>
  <c r="E22" i="64"/>
  <c r="E90" i="64" s="1"/>
  <c r="F120" i="21" s="1"/>
  <c r="I54" i="1"/>
  <c r="N118" i="21"/>
  <c r="H122" i="21"/>
  <c r="H149" i="21" s="1"/>
  <c r="H152" i="21" s="1"/>
  <c r="H160" i="21" s="1"/>
  <c r="H26" i="4"/>
  <c r="G92" i="64"/>
  <c r="A55" i="1"/>
  <c r="A56" i="1" s="1"/>
  <c r="K88" i="48"/>
  <c r="L88" i="48"/>
  <c r="L25" i="48" s="1"/>
  <c r="K24" i="48"/>
  <c r="J401" i="49"/>
  <c r="K400" i="49"/>
  <c r="K367" i="49"/>
  <c r="J368" i="49"/>
  <c r="K60" i="48"/>
  <c r="L60" i="48"/>
  <c r="K268" i="49"/>
  <c r="J269" i="49"/>
  <c r="K301" i="49"/>
  <c r="J302" i="49"/>
  <c r="K433" i="49"/>
  <c r="J434" i="49"/>
  <c r="J336" i="49"/>
  <c r="K335" i="49"/>
  <c r="K103" i="49"/>
  <c r="J104" i="49"/>
  <c r="K202" i="49"/>
  <c r="J203" i="49"/>
  <c r="K235" i="49"/>
  <c r="J236" i="49"/>
  <c r="K137" i="49"/>
  <c r="J138" i="49"/>
  <c r="J171" i="49"/>
  <c r="K170" i="49"/>
  <c r="M161" i="21"/>
  <c r="M160" i="21"/>
  <c r="M162" i="21"/>
  <c r="M170" i="21"/>
  <c r="M168" i="21"/>
  <c r="M165" i="21"/>
  <c r="M159" i="21"/>
  <c r="M166" i="21"/>
  <c r="M163" i="21"/>
  <c r="M169" i="21"/>
  <c r="M164" i="21"/>
  <c r="M167" i="21"/>
  <c r="K23" i="64"/>
  <c r="K91" i="64" s="1"/>
  <c r="L121" i="21" s="1"/>
  <c r="L122" i="21" s="1"/>
  <c r="L149" i="21" s="1"/>
  <c r="L152" i="21" s="1"/>
  <c r="L161" i="21" s="1"/>
  <c r="K26" i="4"/>
  <c r="D23" i="64"/>
  <c r="D91" i="64" s="1"/>
  <c r="D26" i="4"/>
  <c r="I120" i="21"/>
  <c r="I122" i="21" s="1"/>
  <c r="I149" i="21" s="1"/>
  <c r="I152" i="21" s="1"/>
  <c r="H92" i="64"/>
  <c r="F26" i="4"/>
  <c r="F23" i="64"/>
  <c r="F91" i="64" s="1"/>
  <c r="G121" i="21" s="1"/>
  <c r="G122" i="21" s="1"/>
  <c r="G149" i="21" s="1"/>
  <c r="G152" i="21" s="1"/>
  <c r="G162" i="21" s="1"/>
  <c r="D119" i="21"/>
  <c r="N119" i="21" s="1"/>
  <c r="I22" i="64"/>
  <c r="I90" i="64" s="1"/>
  <c r="J120" i="21" s="1"/>
  <c r="I24" i="4"/>
  <c r="I23" i="64" s="1"/>
  <c r="I91" i="64" s="1"/>
  <c r="J121" i="21" s="1"/>
  <c r="C22" i="64"/>
  <c r="C90" i="64" s="1"/>
  <c r="C24" i="4"/>
  <c r="K13" i="21"/>
  <c r="K171" i="21"/>
  <c r="M55" i="48" l="1"/>
  <c r="M22" i="48"/>
  <c r="N54" i="48"/>
  <c r="N22" i="48" s="1"/>
  <c r="M88" i="48"/>
  <c r="N88" i="48" s="1"/>
  <c r="I39" i="64"/>
  <c r="J70" i="49"/>
  <c r="B210" i="71"/>
  <c r="A101" i="71"/>
  <c r="A102" i="71" s="1"/>
  <c r="A103" i="71" s="1"/>
  <c r="A104" i="71" s="1"/>
  <c r="A105" i="71" s="1"/>
  <c r="A106" i="71" s="1"/>
  <c r="A107" i="71" s="1"/>
  <c r="A108" i="71" s="1"/>
  <c r="A109" i="71" s="1"/>
  <c r="A110" i="71" s="1"/>
  <c r="A113" i="71" s="1"/>
  <c r="A114" i="71" s="1"/>
  <c r="A120" i="71" s="1"/>
  <c r="I94" i="71"/>
  <c r="K69" i="49"/>
  <c r="I108" i="64"/>
  <c r="I45" i="4"/>
  <c r="B288" i="4"/>
  <c r="A381" i="11"/>
  <c r="A382" i="11" s="1"/>
  <c r="A390" i="11"/>
  <c r="A391" i="11" s="1"/>
  <c r="A392" i="11" s="1"/>
  <c r="A393" i="11" s="1"/>
  <c r="A394" i="11" s="1"/>
  <c r="A395" i="11" s="1"/>
  <c r="A396" i="11" s="1"/>
  <c r="A397" i="11" s="1"/>
  <c r="A398" i="11" s="1"/>
  <c r="A399" i="11" s="1"/>
  <c r="A400" i="11" s="1"/>
  <c r="A401" i="11" s="1"/>
  <c r="A509" i="49"/>
  <c r="K467" i="49"/>
  <c r="J468" i="49"/>
  <c r="H37" i="11"/>
  <c r="G20" i="71"/>
  <c r="G26" i="12"/>
  <c r="A413" i="11"/>
  <c r="A416" i="11" s="1"/>
  <c r="A417" i="11" s="1"/>
  <c r="H169" i="21"/>
  <c r="H168" i="21"/>
  <c r="H163" i="21"/>
  <c r="H162" i="21"/>
  <c r="H165" i="21"/>
  <c r="H170" i="21"/>
  <c r="H159" i="21"/>
  <c r="H13" i="21" s="1"/>
  <c r="H161" i="21"/>
  <c r="H164" i="21"/>
  <c r="H167" i="21"/>
  <c r="E23" i="64"/>
  <c r="E91" i="64" s="1"/>
  <c r="E26" i="4"/>
  <c r="H166" i="21"/>
  <c r="A231" i="4"/>
  <c r="A236" i="4" s="1"/>
  <c r="I92" i="64"/>
  <c r="J122" i="21"/>
  <c r="J149" i="21" s="1"/>
  <c r="J152" i="21" s="1"/>
  <c r="J168" i="21" s="1"/>
  <c r="L163" i="21"/>
  <c r="G161" i="21"/>
  <c r="G160" i="21"/>
  <c r="I56" i="1"/>
  <c r="A58" i="1"/>
  <c r="I58" i="1"/>
  <c r="K89" i="48"/>
  <c r="L89" i="48"/>
  <c r="L26" i="48" s="1"/>
  <c r="K25" i="48"/>
  <c r="N87" i="48"/>
  <c r="K401" i="49"/>
  <c r="J402" i="49"/>
  <c r="K368" i="49"/>
  <c r="J369" i="49"/>
  <c r="K61" i="48"/>
  <c r="L61" i="48"/>
  <c r="J303" i="49"/>
  <c r="K302" i="49"/>
  <c r="J435" i="49"/>
  <c r="K434" i="49"/>
  <c r="K336" i="49"/>
  <c r="J337" i="49"/>
  <c r="J270" i="49"/>
  <c r="K269" i="49"/>
  <c r="J204" i="49"/>
  <c r="K203" i="49"/>
  <c r="J172" i="49"/>
  <c r="K171" i="49"/>
  <c r="J139" i="49"/>
  <c r="K138" i="49"/>
  <c r="K104" i="49"/>
  <c r="J105" i="49"/>
  <c r="J237" i="49"/>
  <c r="K236" i="49"/>
  <c r="L159" i="21"/>
  <c r="L13" i="21" s="1"/>
  <c r="G164" i="21"/>
  <c r="G159" i="21"/>
  <c r="G13" i="21" s="1"/>
  <c r="L167" i="21"/>
  <c r="L169" i="21"/>
  <c r="G165" i="21"/>
  <c r="L165" i="21"/>
  <c r="L170" i="21"/>
  <c r="K92" i="64"/>
  <c r="G163" i="21"/>
  <c r="G170" i="21"/>
  <c r="G167" i="21"/>
  <c r="L168" i="21"/>
  <c r="F92" i="64"/>
  <c r="G169" i="21"/>
  <c r="L162" i="21"/>
  <c r="G168" i="21"/>
  <c r="L160" i="21"/>
  <c r="G166" i="21"/>
  <c r="L166" i="21"/>
  <c r="M171" i="21"/>
  <c r="M13" i="21"/>
  <c r="M14" i="21" s="1"/>
  <c r="M15" i="21" s="1"/>
  <c r="M16" i="21" s="1"/>
  <c r="M17" i="21" s="1"/>
  <c r="M18" i="21" s="1"/>
  <c r="M19" i="21" s="1"/>
  <c r="M20" i="21" s="1"/>
  <c r="M21" i="21" s="1"/>
  <c r="M22" i="21" s="1"/>
  <c r="M23" i="21" s="1"/>
  <c r="E121" i="21"/>
  <c r="E122" i="21" s="1"/>
  <c r="E149" i="21" s="1"/>
  <c r="E152" i="21" s="1"/>
  <c r="D92" i="64"/>
  <c r="C23" i="64"/>
  <c r="C91" i="64" s="1"/>
  <c r="C26" i="4"/>
  <c r="I166" i="21"/>
  <c r="I169" i="21"/>
  <c r="I168" i="21"/>
  <c r="I170" i="21"/>
  <c r="I165" i="21"/>
  <c r="I161" i="21"/>
  <c r="I167" i="21"/>
  <c r="I164" i="21"/>
  <c r="I160" i="21"/>
  <c r="I159" i="21"/>
  <c r="I162" i="21"/>
  <c r="I163" i="21"/>
  <c r="D120" i="21"/>
  <c r="N120" i="21" s="1"/>
  <c r="I26" i="4"/>
  <c r="L164" i="21"/>
  <c r="K14" i="21"/>
  <c r="K15" i="21" s="1"/>
  <c r="K16" i="21" s="1"/>
  <c r="K17" i="21" s="1"/>
  <c r="K18" i="21" s="1"/>
  <c r="K19" i="21" s="1"/>
  <c r="K20" i="21" s="1"/>
  <c r="K21" i="21" s="1"/>
  <c r="K22" i="21" s="1"/>
  <c r="K23" i="21" s="1"/>
  <c r="A517" i="49" l="1"/>
  <c r="A518" i="49" s="1"/>
  <c r="A519" i="49" s="1"/>
  <c r="A520" i="49" s="1"/>
  <c r="A521" i="49" s="1"/>
  <c r="A522" i="49" s="1"/>
  <c r="A523" i="49" s="1"/>
  <c r="A524" i="49" s="1"/>
  <c r="A525" i="49" s="1"/>
  <c r="A526" i="49" s="1"/>
  <c r="A527" i="49" s="1"/>
  <c r="A528" i="49" s="1"/>
  <c r="A529" i="49" s="1"/>
  <c r="A530" i="49" s="1"/>
  <c r="A531" i="49" s="1"/>
  <c r="A532" i="49" s="1"/>
  <c r="A533" i="49" s="1"/>
  <c r="A534" i="49" s="1"/>
  <c r="A535" i="49" s="1"/>
  <c r="A536" i="49" s="1"/>
  <c r="A537" i="49" s="1"/>
  <c r="A538" i="49" s="1"/>
  <c r="A539" i="49" s="1"/>
  <c r="A540" i="49" s="1"/>
  <c r="A541" i="49" s="1"/>
  <c r="A542" i="49" s="1"/>
  <c r="H38" i="11"/>
  <c r="G21" i="71"/>
  <c r="N55" i="48"/>
  <c r="N23" i="48" s="1"/>
  <c r="M23" i="48"/>
  <c r="M56" i="48"/>
  <c r="M89" i="48"/>
  <c r="N89" i="48" s="1"/>
  <c r="I47" i="4"/>
  <c r="D64" i="4" s="1"/>
  <c r="J6" i="8" s="1"/>
  <c r="I114" i="71"/>
  <c r="A121" i="71"/>
  <c r="A122" i="71" s="1"/>
  <c r="J71" i="49"/>
  <c r="K70" i="49"/>
  <c r="I109" i="64"/>
  <c r="I111" i="64" s="1"/>
  <c r="F142" i="64" s="1"/>
  <c r="I40" i="64"/>
  <c r="B286" i="4"/>
  <c r="K468" i="49"/>
  <c r="J469" i="49"/>
  <c r="G27" i="12"/>
  <c r="A418" i="11"/>
  <c r="A419" i="11" s="1"/>
  <c r="A422" i="11" s="1"/>
  <c r="A423" i="11" s="1"/>
  <c r="A424" i="11" s="1"/>
  <c r="A425" i="11" s="1"/>
  <c r="A426" i="11" s="1"/>
  <c r="A429" i="11" s="1"/>
  <c r="A430" i="11" s="1"/>
  <c r="A431" i="11" s="1"/>
  <c r="A434" i="11" s="1"/>
  <c r="A435" i="11" s="1"/>
  <c r="A436" i="11" s="1"/>
  <c r="A439" i="11" s="1"/>
  <c r="A440" i="11" s="1"/>
  <c r="A441" i="11" s="1"/>
  <c r="A444" i="11" s="1"/>
  <c r="A445" i="11" s="1"/>
  <c r="A446" i="11" s="1"/>
  <c r="A449" i="11" s="1"/>
  <c r="A450" i="11" s="1"/>
  <c r="A451" i="11" s="1"/>
  <c r="A454" i="11" s="1"/>
  <c r="A455" i="11" s="1"/>
  <c r="A456" i="11" s="1"/>
  <c r="A459" i="11" s="1"/>
  <c r="A460" i="11" s="1"/>
  <c r="A461" i="11" s="1"/>
  <c r="A464" i="11" s="1"/>
  <c r="A465" i="11" s="1"/>
  <c r="A466" i="11" s="1"/>
  <c r="A469" i="11" s="1"/>
  <c r="A470" i="11" s="1"/>
  <c r="A471" i="11" s="1"/>
  <c r="A474" i="11" s="1"/>
  <c r="A475" i="11" s="1"/>
  <c r="A476" i="11" s="1"/>
  <c r="A479" i="11" s="1"/>
  <c r="A480" i="11" s="1"/>
  <c r="A481" i="11" s="1"/>
  <c r="A484" i="11" s="1"/>
  <c r="A485" i="11" s="1"/>
  <c r="A486" i="11" s="1"/>
  <c r="H171" i="21"/>
  <c r="F121" i="21"/>
  <c r="F122" i="21" s="1"/>
  <c r="F149" i="21" s="1"/>
  <c r="F152" i="21" s="1"/>
  <c r="E92" i="64"/>
  <c r="J163" i="21"/>
  <c r="J167" i="21"/>
  <c r="B287" i="4"/>
  <c r="A243" i="4"/>
  <c r="J165" i="21"/>
  <c r="J164" i="21"/>
  <c r="J161" i="21"/>
  <c r="J170" i="21"/>
  <c r="J169" i="21"/>
  <c r="J166" i="21"/>
  <c r="J159" i="21"/>
  <c r="J13" i="21" s="1"/>
  <c r="J160" i="21"/>
  <c r="J162" i="21"/>
  <c r="G14" i="21"/>
  <c r="G15" i="21" s="1"/>
  <c r="G16" i="21" s="1"/>
  <c r="G17" i="21" s="1"/>
  <c r="G18" i="21" s="1"/>
  <c r="L171" i="21"/>
  <c r="G171" i="21"/>
  <c r="A63" i="1"/>
  <c r="I131" i="1"/>
  <c r="K90" i="48"/>
  <c r="L90" i="48"/>
  <c r="L27" i="48" s="1"/>
  <c r="K26" i="48"/>
  <c r="K402" i="49"/>
  <c r="J403" i="49"/>
  <c r="J370" i="49"/>
  <c r="K369" i="49"/>
  <c r="K62" i="48"/>
  <c r="L62" i="48"/>
  <c r="K337" i="49"/>
  <c r="J338" i="49"/>
  <c r="K435" i="49"/>
  <c r="J436" i="49"/>
  <c r="J271" i="49"/>
  <c r="K270" i="49"/>
  <c r="K303" i="49"/>
  <c r="J304" i="49"/>
  <c r="K139" i="49"/>
  <c r="J140" i="49"/>
  <c r="J238" i="49"/>
  <c r="K237" i="49"/>
  <c r="K172" i="49"/>
  <c r="J173" i="49"/>
  <c r="K105" i="49"/>
  <c r="J106" i="49"/>
  <c r="J205" i="49"/>
  <c r="K204" i="49"/>
  <c r="M25" i="21"/>
  <c r="C92" i="64"/>
  <c r="D121" i="21"/>
  <c r="E170" i="21"/>
  <c r="E167" i="21"/>
  <c r="E165" i="21"/>
  <c r="E169" i="21"/>
  <c r="E168" i="21"/>
  <c r="E159" i="21"/>
  <c r="E160" i="21"/>
  <c r="E163" i="21"/>
  <c r="E164" i="21"/>
  <c r="E162" i="21"/>
  <c r="E161" i="21"/>
  <c r="E166" i="21"/>
  <c r="I13" i="21"/>
  <c r="I171" i="21"/>
  <c r="K25" i="21"/>
  <c r="H14" i="21"/>
  <c r="H15" i="21" s="1"/>
  <c r="H16" i="21" s="1"/>
  <c r="H17" i="21" s="1"/>
  <c r="H18" i="21" s="1"/>
  <c r="H19" i="21" s="1"/>
  <c r="H20" i="21" s="1"/>
  <c r="H21" i="21" s="1"/>
  <c r="H22" i="21" s="1"/>
  <c r="H23" i="21" s="1"/>
  <c r="L14" i="21"/>
  <c r="L15" i="21" s="1"/>
  <c r="L16" i="21" s="1"/>
  <c r="L17" i="21" s="1"/>
  <c r="L18" i="21" s="1"/>
  <c r="L19" i="21" s="1"/>
  <c r="L20" i="21" s="1"/>
  <c r="L21" i="21" s="1"/>
  <c r="L22" i="21" s="1"/>
  <c r="L23" i="21" s="1"/>
  <c r="H39" i="11" l="1"/>
  <c r="G22" i="71"/>
  <c r="N56" i="48"/>
  <c r="N24" i="48" s="1"/>
  <c r="M24" i="48"/>
  <c r="M57" i="48"/>
  <c r="M90" i="48"/>
  <c r="N90" i="48" s="1"/>
  <c r="F122" i="71"/>
  <c r="A123" i="71"/>
  <c r="A124" i="71" s="1"/>
  <c r="A129" i="71" s="1"/>
  <c r="F123" i="71"/>
  <c r="F150" i="71"/>
  <c r="J72" i="49"/>
  <c r="K71" i="49"/>
  <c r="G19" i="21"/>
  <c r="G20" i="21" s="1"/>
  <c r="K469" i="49"/>
  <c r="J470" i="49"/>
  <c r="F163" i="21"/>
  <c r="F169" i="21"/>
  <c r="F167" i="21"/>
  <c r="F166" i="21"/>
  <c r="F164" i="21"/>
  <c r="F165" i="21"/>
  <c r="F162" i="21"/>
  <c r="F159" i="21"/>
  <c r="F170" i="21"/>
  <c r="F160" i="21"/>
  <c r="F161" i="21"/>
  <c r="F168" i="21"/>
  <c r="A244" i="4"/>
  <c r="A245" i="4" s="1"/>
  <c r="A246" i="4" s="1"/>
  <c r="A247" i="4" s="1"/>
  <c r="A248" i="4" s="1"/>
  <c r="A249" i="4" s="1"/>
  <c r="A250" i="4" s="1"/>
  <c r="A251" i="4" s="1"/>
  <c r="J171" i="21"/>
  <c r="A64" i="1"/>
  <c r="A65" i="1" s="1"/>
  <c r="K91" i="48"/>
  <c r="L91" i="48"/>
  <c r="L28" i="48" s="1"/>
  <c r="K27" i="48"/>
  <c r="K403" i="49"/>
  <c r="J404" i="49"/>
  <c r="K370" i="49"/>
  <c r="J371" i="49"/>
  <c r="K63" i="48"/>
  <c r="L63" i="48"/>
  <c r="J437" i="49"/>
  <c r="K436" i="49"/>
  <c r="K304" i="49"/>
  <c r="J305" i="49"/>
  <c r="J272" i="49"/>
  <c r="K271" i="49"/>
  <c r="K338" i="49"/>
  <c r="J339" i="49"/>
  <c r="K173" i="49"/>
  <c r="J174" i="49"/>
  <c r="J239" i="49"/>
  <c r="K238" i="49"/>
  <c r="J206" i="49"/>
  <c r="K205" i="49"/>
  <c r="J141" i="49"/>
  <c r="K140" i="49"/>
  <c r="J107" i="49"/>
  <c r="K106" i="49"/>
  <c r="I14" i="21"/>
  <c r="I15" i="21" s="1"/>
  <c r="I16" i="21" s="1"/>
  <c r="I17" i="21" s="1"/>
  <c r="I18" i="21" s="1"/>
  <c r="I19" i="21" s="1"/>
  <c r="I20" i="21" s="1"/>
  <c r="I21" i="21" s="1"/>
  <c r="I22" i="21" s="1"/>
  <c r="I23" i="21" s="1"/>
  <c r="J14" i="21"/>
  <c r="J15" i="21" s="1"/>
  <c r="J16" i="21" s="1"/>
  <c r="J17" i="21" s="1"/>
  <c r="J18" i="21" s="1"/>
  <c r="J19" i="21" s="1"/>
  <c r="J20" i="21" s="1"/>
  <c r="J21" i="21" s="1"/>
  <c r="J22" i="21" s="1"/>
  <c r="J23" i="21" s="1"/>
  <c r="E13" i="21"/>
  <c r="E171" i="21"/>
  <c r="N121" i="21"/>
  <c r="D122" i="21"/>
  <c r="L25" i="21"/>
  <c r="H25" i="21"/>
  <c r="N57" i="48" l="1"/>
  <c r="N25" i="48" s="1"/>
  <c r="M25" i="48"/>
  <c r="M58" i="48"/>
  <c r="M91" i="48"/>
  <c r="N91" i="48" s="1"/>
  <c r="F124" i="71"/>
  <c r="A130" i="71"/>
  <c r="A131" i="71" s="1"/>
  <c r="A132" i="71" s="1"/>
  <c r="A133" i="71" s="1"/>
  <c r="A134" i="71" s="1"/>
  <c r="A135" i="71" s="1"/>
  <c r="A136" i="71" s="1"/>
  <c r="A137" i="71" s="1"/>
  <c r="A138" i="71" s="1"/>
  <c r="A139" i="71" s="1"/>
  <c r="A142" i="71" s="1"/>
  <c r="A143" i="71" s="1"/>
  <c r="A149" i="71" s="1"/>
  <c r="K72" i="49"/>
  <c r="J73" i="49"/>
  <c r="F145" i="64"/>
  <c r="K129" i="1" s="1"/>
  <c r="G21" i="21"/>
  <c r="G22" i="21" s="1"/>
  <c r="G23" i="21" s="1"/>
  <c r="A252" i="4"/>
  <c r="A253" i="4" s="1"/>
  <c r="A254" i="4" s="1"/>
  <c r="A255" i="4" s="1"/>
  <c r="K470" i="49"/>
  <c r="J471" i="49"/>
  <c r="F13" i="21"/>
  <c r="F14" i="21" s="1"/>
  <c r="F171" i="21"/>
  <c r="A68" i="1"/>
  <c r="I85" i="1"/>
  <c r="K92" i="48"/>
  <c r="L92" i="48"/>
  <c r="L29" i="48" s="1"/>
  <c r="K28" i="48"/>
  <c r="J405" i="49"/>
  <c r="K404" i="49"/>
  <c r="K371" i="49"/>
  <c r="J372" i="49"/>
  <c r="K64" i="48"/>
  <c r="L64" i="48"/>
  <c r="K339" i="49"/>
  <c r="J340" i="49"/>
  <c r="K305" i="49"/>
  <c r="J306" i="49"/>
  <c r="J438" i="49"/>
  <c r="K437" i="49"/>
  <c r="J273" i="49"/>
  <c r="K272" i="49"/>
  <c r="J240" i="49"/>
  <c r="K239" i="49"/>
  <c r="J142" i="49"/>
  <c r="K141" i="49"/>
  <c r="K206" i="49"/>
  <c r="J207" i="49"/>
  <c r="J108" i="49"/>
  <c r="K107" i="49"/>
  <c r="J175" i="49"/>
  <c r="K174" i="49"/>
  <c r="J25" i="21"/>
  <c r="D149" i="21"/>
  <c r="N122" i="21"/>
  <c r="E14" i="21"/>
  <c r="I25" i="21"/>
  <c r="N58" i="48" l="1"/>
  <c r="N26" i="48" s="1"/>
  <c r="M59" i="48"/>
  <c r="M26" i="48"/>
  <c r="M92" i="48"/>
  <c r="N92" i="48" s="1"/>
  <c r="E15" i="21"/>
  <c r="E16" i="21" s="1"/>
  <c r="E17" i="21" s="1"/>
  <c r="E18" i="21" s="1"/>
  <c r="E19" i="21" s="1"/>
  <c r="E20" i="21" s="1"/>
  <c r="E21" i="21" s="1"/>
  <c r="E22" i="21" s="1"/>
  <c r="E23" i="21" s="1"/>
  <c r="A150" i="71"/>
  <c r="A151" i="71" s="1"/>
  <c r="B211" i="71"/>
  <c r="F143" i="71"/>
  <c r="K73" i="49"/>
  <c r="J74" i="49"/>
  <c r="J52" i="8"/>
  <c r="G25" i="21"/>
  <c r="B289" i="4"/>
  <c r="K471" i="49"/>
  <c r="J472" i="49"/>
  <c r="F15" i="21"/>
  <c r="F16" i="21" s="1"/>
  <c r="F17" i="21" s="1"/>
  <c r="F18" i="21" s="1"/>
  <c r="F19" i="21" s="1"/>
  <c r="F20" i="21" s="1"/>
  <c r="F21" i="21" s="1"/>
  <c r="F22" i="21" s="1"/>
  <c r="F23" i="21" s="1"/>
  <c r="A69" i="1"/>
  <c r="A70" i="1" s="1"/>
  <c r="K93" i="48"/>
  <c r="L93" i="48"/>
  <c r="L30" i="48" s="1"/>
  <c r="K29" i="48"/>
  <c r="K405" i="49"/>
  <c r="J406" i="49"/>
  <c r="J373" i="49"/>
  <c r="K372" i="49"/>
  <c r="K65" i="48"/>
  <c r="L65" i="48"/>
  <c r="K306" i="49"/>
  <c r="J307" i="49"/>
  <c r="K273" i="49"/>
  <c r="J274" i="49"/>
  <c r="J439" i="49"/>
  <c r="K438" i="49"/>
  <c r="K340" i="49"/>
  <c r="J341" i="49"/>
  <c r="J176" i="49"/>
  <c r="K175" i="49"/>
  <c r="K142" i="49"/>
  <c r="J143" i="49"/>
  <c r="J109" i="49"/>
  <c r="K108" i="49"/>
  <c r="K207" i="49"/>
  <c r="J208" i="49"/>
  <c r="K240" i="49"/>
  <c r="J241" i="49"/>
  <c r="N149" i="21"/>
  <c r="D152" i="21"/>
  <c r="N59" i="48" l="1"/>
  <c r="N27" i="48" s="1"/>
  <c r="M27" i="48"/>
  <c r="M60" i="48"/>
  <c r="M93" i="48"/>
  <c r="E25" i="21"/>
  <c r="A152" i="71"/>
  <c r="A153" i="71" s="1"/>
  <c r="A154" i="71" s="1"/>
  <c r="A155" i="71" s="1"/>
  <c r="A156" i="71" s="1"/>
  <c r="A157" i="71" s="1"/>
  <c r="F151" i="71"/>
  <c r="K74" i="49"/>
  <c r="J75" i="49"/>
  <c r="J473" i="49"/>
  <c r="K472" i="49"/>
  <c r="F25" i="21"/>
  <c r="N93" i="48"/>
  <c r="A73" i="1"/>
  <c r="I86" i="1"/>
  <c r="K94" i="48"/>
  <c r="L94" i="48"/>
  <c r="L31" i="48" s="1"/>
  <c r="K30" i="48"/>
  <c r="K406" i="49"/>
  <c r="J407" i="49"/>
  <c r="J374" i="49"/>
  <c r="K373" i="49"/>
  <c r="K66" i="48"/>
  <c r="L66" i="48"/>
  <c r="K341" i="49"/>
  <c r="J342" i="49"/>
  <c r="J440" i="49"/>
  <c r="K439" i="49"/>
  <c r="J275" i="49"/>
  <c r="K274" i="49"/>
  <c r="J308" i="49"/>
  <c r="K307" i="49"/>
  <c r="J110" i="49"/>
  <c r="K109" i="49"/>
  <c r="K143" i="49"/>
  <c r="J144" i="49"/>
  <c r="J242" i="49"/>
  <c r="K241" i="49"/>
  <c r="K208" i="49"/>
  <c r="J209" i="49"/>
  <c r="K176" i="49"/>
  <c r="J177" i="49"/>
  <c r="D163" i="21"/>
  <c r="N163" i="21" s="1"/>
  <c r="D165" i="21"/>
  <c r="N165" i="21" s="1"/>
  <c r="D159" i="21"/>
  <c r="D169" i="21"/>
  <c r="N169" i="21" s="1"/>
  <c r="D166" i="21"/>
  <c r="N166" i="21" s="1"/>
  <c r="D168" i="21"/>
  <c r="N168" i="21" s="1"/>
  <c r="D160" i="21"/>
  <c r="N160" i="21" s="1"/>
  <c r="D161" i="21"/>
  <c r="N161" i="21" s="1"/>
  <c r="D164" i="21"/>
  <c r="N164" i="21" s="1"/>
  <c r="D170" i="21"/>
  <c r="N170" i="21" s="1"/>
  <c r="D167" i="21"/>
  <c r="N167" i="21" s="1"/>
  <c r="D162" i="21"/>
  <c r="N162" i="21" s="1"/>
  <c r="N152" i="21"/>
  <c r="M28" i="48" l="1"/>
  <c r="M61" i="48"/>
  <c r="N60" i="48"/>
  <c r="N28" i="48" s="1"/>
  <c r="M94" i="48"/>
  <c r="N94" i="48" s="1"/>
  <c r="F154" i="71"/>
  <c r="F157" i="71"/>
  <c r="F155" i="71"/>
  <c r="B37" i="31"/>
  <c r="A163" i="71"/>
  <c r="A164" i="71" s="1"/>
  <c r="A165" i="71" s="1"/>
  <c r="A166" i="71" s="1"/>
  <c r="A167" i="71" s="1"/>
  <c r="A168" i="71" s="1"/>
  <c r="A169" i="71" s="1"/>
  <c r="A170" i="71" s="1"/>
  <c r="A171" i="71" s="1"/>
  <c r="A172" i="71" s="1"/>
  <c r="A173" i="71" s="1"/>
  <c r="A176" i="71" s="1"/>
  <c r="A177" i="71" s="1"/>
  <c r="A184" i="71" s="1"/>
  <c r="A185" i="71" s="1"/>
  <c r="A186" i="71" s="1"/>
  <c r="A187" i="71" s="1"/>
  <c r="A188" i="71" s="1"/>
  <c r="A189" i="71" s="1"/>
  <c r="A190" i="71" s="1"/>
  <c r="A191" i="71" s="1"/>
  <c r="A192" i="71" s="1"/>
  <c r="A193" i="71" s="1"/>
  <c r="A194" i="71" s="1"/>
  <c r="A197" i="71" s="1"/>
  <c r="A198" i="71" s="1"/>
  <c r="F156" i="71"/>
  <c r="K75" i="49"/>
  <c r="J76" i="49"/>
  <c r="J474" i="49"/>
  <c r="K473" i="49"/>
  <c r="A75" i="1"/>
  <c r="I82" i="1" s="1"/>
  <c r="I75" i="1"/>
  <c r="K95" i="48"/>
  <c r="L95" i="48"/>
  <c r="L32" i="48" s="1"/>
  <c r="K31" i="48"/>
  <c r="J408" i="49"/>
  <c r="K407" i="49"/>
  <c r="K374" i="49"/>
  <c r="J375" i="49"/>
  <c r="K67" i="48"/>
  <c r="L67" i="48"/>
  <c r="K308" i="49"/>
  <c r="J309" i="49"/>
  <c r="K275" i="49"/>
  <c r="J276" i="49"/>
  <c r="J441" i="49"/>
  <c r="K440" i="49"/>
  <c r="J343" i="49"/>
  <c r="K343" i="49" s="1"/>
  <c r="K342" i="49"/>
  <c r="K144" i="49"/>
  <c r="J145" i="49"/>
  <c r="K145" i="49" s="1"/>
  <c r="J178" i="49"/>
  <c r="K178" i="49" s="1"/>
  <c r="K177" i="49"/>
  <c r="K110" i="49"/>
  <c r="J111" i="49"/>
  <c r="K209" i="49"/>
  <c r="J210" i="49"/>
  <c r="K242" i="49"/>
  <c r="J243" i="49"/>
  <c r="D13" i="21"/>
  <c r="J35" i="21" s="1"/>
  <c r="N159" i="21"/>
  <c r="N171" i="21" s="1"/>
  <c r="D171" i="21"/>
  <c r="N61" i="48" l="1"/>
  <c r="N29" i="48" s="1"/>
  <c r="M62" i="48"/>
  <c r="M29" i="48"/>
  <c r="M95" i="48"/>
  <c r="K179" i="49"/>
  <c r="F11" i="71" s="1"/>
  <c r="K76" i="49"/>
  <c r="J77" i="49"/>
  <c r="K344" i="49"/>
  <c r="F16" i="71" s="1"/>
  <c r="K146" i="49"/>
  <c r="G27" i="11" s="1"/>
  <c r="K474" i="49"/>
  <c r="J475" i="49"/>
  <c r="K475" i="49" s="1"/>
  <c r="N95" i="48"/>
  <c r="A80" i="1"/>
  <c r="I81" i="1"/>
  <c r="K96" i="48"/>
  <c r="L96" i="48"/>
  <c r="L33" i="48" s="1"/>
  <c r="K32" i="48"/>
  <c r="K408" i="49"/>
  <c r="J409" i="49"/>
  <c r="K409" i="49" s="1"/>
  <c r="K375" i="49"/>
  <c r="J376" i="49"/>
  <c r="K376" i="49" s="1"/>
  <c r="K68" i="48"/>
  <c r="L68" i="48"/>
  <c r="K309" i="49"/>
  <c r="J310" i="49"/>
  <c r="K310" i="49" s="1"/>
  <c r="K276" i="49"/>
  <c r="J277" i="49"/>
  <c r="K277" i="49" s="1"/>
  <c r="J442" i="49"/>
  <c r="K442" i="49" s="1"/>
  <c r="K441" i="49"/>
  <c r="J112" i="49"/>
  <c r="K111" i="49"/>
  <c r="K210" i="49"/>
  <c r="J211" i="49"/>
  <c r="K211" i="49" s="1"/>
  <c r="K243" i="49"/>
  <c r="J244" i="49"/>
  <c r="K244" i="49" s="1"/>
  <c r="K245" i="49" s="1"/>
  <c r="D14" i="21"/>
  <c r="J36" i="21" s="1"/>
  <c r="N62" i="48" l="1"/>
  <c r="N30" i="48" s="1"/>
  <c r="M30" i="48"/>
  <c r="M63" i="48"/>
  <c r="M96" i="48"/>
  <c r="N96" i="48" s="1"/>
  <c r="K410" i="49"/>
  <c r="F10" i="71"/>
  <c r="K311" i="49"/>
  <c r="G32" i="11" s="1"/>
  <c r="G33" i="11"/>
  <c r="G28" i="11"/>
  <c r="J78" i="49"/>
  <c r="K77" i="49"/>
  <c r="K476" i="49"/>
  <c r="G37" i="11" s="1"/>
  <c r="K443" i="49"/>
  <c r="G36" i="11" s="1"/>
  <c r="K377" i="49"/>
  <c r="F17" i="71" s="1"/>
  <c r="K212" i="49"/>
  <c r="G29" i="11" s="1"/>
  <c r="A81" i="1"/>
  <c r="I90" i="1"/>
  <c r="K97" i="48"/>
  <c r="L97" i="48"/>
  <c r="L34" i="48" s="1"/>
  <c r="K33" i="48"/>
  <c r="G35" i="11"/>
  <c r="F18" i="71"/>
  <c r="K278" i="49"/>
  <c r="G31" i="11" s="1"/>
  <c r="F15" i="71"/>
  <c r="F13" i="71"/>
  <c r="G30" i="11"/>
  <c r="K112" i="49"/>
  <c r="K78" i="49" s="1"/>
  <c r="D15" i="21"/>
  <c r="J37" i="21" s="1"/>
  <c r="M31" i="48" l="1"/>
  <c r="N63" i="48"/>
  <c r="N31" i="48" s="1"/>
  <c r="M64" i="48"/>
  <c r="M97" i="48"/>
  <c r="F20" i="71"/>
  <c r="K79" i="49"/>
  <c r="F19" i="71"/>
  <c r="G34" i="11"/>
  <c r="F12" i="71"/>
  <c r="F14" i="71"/>
  <c r="A82" i="1"/>
  <c r="I80" i="1" s="1"/>
  <c r="I91" i="1"/>
  <c r="K98" i="48"/>
  <c r="L98" i="48"/>
  <c r="L35" i="48" s="1"/>
  <c r="K34" i="48"/>
  <c r="K113" i="49"/>
  <c r="D16" i="21"/>
  <c r="J38" i="21" s="1"/>
  <c r="N64" i="48" l="1"/>
  <c r="N32" i="48" s="1"/>
  <c r="M32" i="48"/>
  <c r="M65" i="48"/>
  <c r="M98" i="48"/>
  <c r="N98" i="48"/>
  <c r="N97" i="48"/>
  <c r="G93" i="12"/>
  <c r="I15" i="12"/>
  <c r="F99" i="8"/>
  <c r="A85" i="1"/>
  <c r="A86" i="1" s="1"/>
  <c r="A87" i="1" s="1"/>
  <c r="I83" i="1"/>
  <c r="K99" i="48"/>
  <c r="K36" i="48" s="1"/>
  <c r="L99" i="48"/>
  <c r="L36" i="48" s="1"/>
  <c r="K35" i="48"/>
  <c r="F9" i="71"/>
  <c r="G26" i="11"/>
  <c r="G40" i="11" s="1"/>
  <c r="D82" i="7"/>
  <c r="D84" i="7" s="1"/>
  <c r="C42" i="57"/>
  <c r="D17" i="21"/>
  <c r="J39" i="21" s="1"/>
  <c r="M66" i="48" l="1"/>
  <c r="N65" i="48"/>
  <c r="N33" i="48" s="1"/>
  <c r="M33" i="48"/>
  <c r="M99" i="48"/>
  <c r="N99" i="48" s="1"/>
  <c r="F23" i="71"/>
  <c r="E120" i="71" s="1"/>
  <c r="E122" i="71" s="1"/>
  <c r="K37" i="48"/>
  <c r="C41" i="57" s="1"/>
  <c r="E41" i="57" s="1"/>
  <c r="A90" i="1"/>
  <c r="G100" i="12"/>
  <c r="I92" i="1"/>
  <c r="E42" i="57"/>
  <c r="D18" i="21"/>
  <c r="J40" i="21" s="1"/>
  <c r="M67" i="48" l="1"/>
  <c r="M34" i="48"/>
  <c r="N66" i="48"/>
  <c r="N34" i="48" s="1"/>
  <c r="D141" i="71"/>
  <c r="D140" i="71"/>
  <c r="D135" i="71"/>
  <c r="E190" i="71" s="1"/>
  <c r="D136" i="71"/>
  <c r="E191" i="71" s="1"/>
  <c r="D129" i="71"/>
  <c r="E163" i="71" s="1"/>
  <c r="E123" i="71"/>
  <c r="E124" i="71" s="1"/>
  <c r="E135" i="71" s="1"/>
  <c r="D133" i="71"/>
  <c r="E188" i="71" s="1"/>
  <c r="D139" i="71"/>
  <c r="E194" i="71" s="1"/>
  <c r="D132" i="71"/>
  <c r="E166" i="71" s="1"/>
  <c r="D138" i="71"/>
  <c r="E172" i="71" s="1"/>
  <c r="D137" i="71"/>
  <c r="E192" i="71" s="1"/>
  <c r="D134" i="71"/>
  <c r="E189" i="71" s="1"/>
  <c r="D130" i="71"/>
  <c r="E164" i="71" s="1"/>
  <c r="D131" i="71"/>
  <c r="E165" i="71" s="1"/>
  <c r="E150" i="71"/>
  <c r="E151" i="71" s="1"/>
  <c r="E154" i="71" s="1"/>
  <c r="E157" i="71" s="1"/>
  <c r="C43" i="57"/>
  <c r="E43" i="57"/>
  <c r="E21" i="7"/>
  <c r="F97" i="8"/>
  <c r="A91" i="1"/>
  <c r="D19" i="21"/>
  <c r="J41" i="21" s="1"/>
  <c r="M35" i="48" l="1"/>
  <c r="N67" i="48"/>
  <c r="N35" i="48" s="1"/>
  <c r="M68" i="48"/>
  <c r="E167" i="71"/>
  <c r="F167" i="71" s="1"/>
  <c r="G167" i="71" s="1"/>
  <c r="E173" i="71"/>
  <c r="F173" i="71" s="1"/>
  <c r="G173" i="71" s="1"/>
  <c r="E174" i="71"/>
  <c r="E195" i="71"/>
  <c r="E175" i="71"/>
  <c r="E196" i="71"/>
  <c r="E170" i="71"/>
  <c r="F170" i="71" s="1"/>
  <c r="G170" i="71" s="1"/>
  <c r="E130" i="71"/>
  <c r="E134" i="71"/>
  <c r="E155" i="71"/>
  <c r="E156" i="71" s="1"/>
  <c r="E169" i="71"/>
  <c r="F169" i="71" s="1"/>
  <c r="G169" i="71" s="1"/>
  <c r="E139" i="71"/>
  <c r="E133" i="71"/>
  <c r="E140" i="71"/>
  <c r="E141" i="71"/>
  <c r="E131" i="71"/>
  <c r="E193" i="71"/>
  <c r="F193" i="71" s="1"/>
  <c r="G193" i="71" s="1"/>
  <c r="E138" i="71"/>
  <c r="E184" i="71"/>
  <c r="F184" i="71" s="1"/>
  <c r="G184" i="71" s="1"/>
  <c r="E136" i="71"/>
  <c r="E137" i="71"/>
  <c r="E129" i="71"/>
  <c r="E187" i="71"/>
  <c r="F187" i="71" s="1"/>
  <c r="G187" i="71" s="1"/>
  <c r="E185" i="71"/>
  <c r="F185" i="71" s="1"/>
  <c r="G185" i="71" s="1"/>
  <c r="E186" i="71"/>
  <c r="F186" i="71" s="1"/>
  <c r="G186" i="71" s="1"/>
  <c r="E132" i="71"/>
  <c r="D143" i="71"/>
  <c r="E168" i="71"/>
  <c r="F168" i="71" s="1"/>
  <c r="G168" i="71" s="1"/>
  <c r="E171" i="71"/>
  <c r="F171" i="71" s="1"/>
  <c r="G171" i="71" s="1"/>
  <c r="C45" i="57"/>
  <c r="B9" i="31" s="1"/>
  <c r="D45" i="57"/>
  <c r="B10" i="31" s="1"/>
  <c r="F98" i="8"/>
  <c r="A92" i="1"/>
  <c r="A93" i="1" s="1"/>
  <c r="F172" i="71"/>
  <c r="G172" i="71" s="1"/>
  <c r="F190" i="71"/>
  <c r="G190" i="71" s="1"/>
  <c r="F192" i="71"/>
  <c r="G192" i="71" s="1"/>
  <c r="F164" i="71"/>
  <c r="G164" i="71" s="1"/>
  <c r="F189" i="71"/>
  <c r="G189" i="71" s="1"/>
  <c r="F188" i="71"/>
  <c r="G188" i="71" s="1"/>
  <c r="F163" i="71"/>
  <c r="F191" i="71"/>
  <c r="G191" i="71" s="1"/>
  <c r="E19" i="31"/>
  <c r="D19" i="31"/>
  <c r="F165" i="71"/>
  <c r="G165" i="71" s="1"/>
  <c r="F166" i="71"/>
  <c r="G166" i="71" s="1"/>
  <c r="F194" i="71"/>
  <c r="G194" i="71" s="1"/>
  <c r="D20" i="21"/>
  <c r="J42" i="21" s="1"/>
  <c r="N68" i="48" l="1"/>
  <c r="N36" i="48" s="1"/>
  <c r="N37" i="48" s="1"/>
  <c r="D78" i="7" s="1"/>
  <c r="M36" i="48"/>
  <c r="F196" i="71"/>
  <c r="G196" i="71" s="1"/>
  <c r="F175" i="71"/>
  <c r="G175" i="71" s="1"/>
  <c r="F195" i="71"/>
  <c r="F198" i="71" s="1"/>
  <c r="F174" i="71"/>
  <c r="I93" i="1"/>
  <c r="E198" i="71"/>
  <c r="E143" i="71"/>
  <c r="E177" i="71"/>
  <c r="I95" i="1"/>
  <c r="A95" i="1"/>
  <c r="F28" i="71"/>
  <c r="I97" i="1"/>
  <c r="G163" i="71"/>
  <c r="D21" i="21"/>
  <c r="J43" i="21" s="1"/>
  <c r="F177" i="71" l="1"/>
  <c r="G174" i="71"/>
  <c r="G177" i="71" s="1"/>
  <c r="G195" i="71"/>
  <c r="G198" i="71" s="1"/>
  <c r="F35" i="71"/>
  <c r="A97" i="1"/>
  <c r="E22" i="7"/>
  <c r="I118" i="1"/>
  <c r="D22" i="21"/>
  <c r="J44" i="21" s="1"/>
  <c r="A102" i="1" l="1"/>
  <c r="I133" i="1"/>
  <c r="D23" i="21"/>
  <c r="J45" i="21" s="1"/>
  <c r="A103" i="1" l="1"/>
  <c r="A104" i="1" s="1"/>
  <c r="J47" i="21"/>
  <c r="D25" i="21"/>
  <c r="J18" i="8" l="1"/>
  <c r="I104" i="1"/>
  <c r="H43" i="8"/>
  <c r="A107" i="1"/>
  <c r="F36" i="71"/>
  <c r="I16" i="12"/>
  <c r="E23" i="7"/>
  <c r="I119" i="1"/>
  <c r="J21" i="8" l="1"/>
  <c r="J29" i="8" s="1"/>
  <c r="A108" i="1"/>
  <c r="A109" i="1" s="1"/>
  <c r="A110" i="1" s="1"/>
  <c r="I120" i="1" l="1"/>
  <c r="A112" i="1"/>
  <c r="A114" i="1" l="1"/>
  <c r="I134" i="1"/>
  <c r="H46" i="8" l="1"/>
  <c r="I112" i="1"/>
  <c r="A126" i="1"/>
  <c r="A127" i="1" l="1"/>
  <c r="I17" i="1" s="1"/>
  <c r="H49" i="8"/>
  <c r="I139" i="1"/>
  <c r="E72" i="7" l="1"/>
  <c r="H50" i="8"/>
  <c r="A128" i="1"/>
  <c r="H51" i="8" l="1"/>
  <c r="A129" i="1"/>
  <c r="A130" i="1" l="1"/>
  <c r="H52" i="8"/>
  <c r="A131" i="1" l="1"/>
  <c r="H53" i="8"/>
  <c r="A132" i="1" l="1"/>
  <c r="H54" i="8"/>
  <c r="H55" i="8" l="1"/>
  <c r="A133" i="1"/>
  <c r="A134" i="1" s="1"/>
  <c r="A135" i="1" s="1"/>
  <c r="A136" i="1" l="1"/>
  <c r="H58" i="8"/>
  <c r="A137" i="1" l="1"/>
  <c r="A139" i="1" s="1"/>
  <c r="H59" i="8"/>
  <c r="I141" i="1" l="1"/>
  <c r="E70" i="7"/>
  <c r="I142" i="1"/>
  <c r="A141" i="1"/>
  <c r="A142" i="1" s="1"/>
  <c r="I144" i="1" l="1"/>
  <c r="A144" i="1"/>
  <c r="I149" i="1" l="1"/>
  <c r="A149" i="1"/>
  <c r="A150" i="1" l="1"/>
  <c r="A151" i="1" s="1"/>
  <c r="A153" i="1" s="1"/>
  <c r="A155" i="1" s="1"/>
  <c r="I155" i="1" l="1"/>
  <c r="A158" i="1"/>
  <c r="I158" i="1"/>
  <c r="A159" i="1" l="1"/>
  <c r="A160" i="1" s="1"/>
  <c r="G4" i="31" s="1"/>
  <c r="I160" i="1" l="1"/>
  <c r="G108" i="61" l="1"/>
  <c r="I108" i="61" s="1"/>
  <c r="N120" i="61"/>
  <c r="G132" i="61"/>
  <c r="I132" i="61" s="1"/>
  <c r="G144" i="61"/>
  <c r="I144" i="61" s="1"/>
  <c r="N156" i="61"/>
  <c r="G138" i="61"/>
  <c r="I138" i="61" s="1"/>
  <c r="G131" i="61"/>
  <c r="I131" i="61" s="1"/>
  <c r="G97" i="61"/>
  <c r="I97" i="61" s="1"/>
  <c r="J109" i="61"/>
  <c r="G121" i="61"/>
  <c r="I121" i="61" s="1"/>
  <c r="G133" i="61"/>
  <c r="I133" i="61" s="1"/>
  <c r="G145" i="61"/>
  <c r="I145" i="61" s="1"/>
  <c r="G157" i="61"/>
  <c r="G95" i="61"/>
  <c r="I95" i="61" s="1"/>
  <c r="G143" i="61"/>
  <c r="I143" i="61" s="1"/>
  <c r="G98" i="61"/>
  <c r="I98" i="61" s="1"/>
  <c r="J110" i="61"/>
  <c r="M110" i="61" s="1"/>
  <c r="N122" i="61"/>
  <c r="G134" i="61"/>
  <c r="I134" i="61" s="1"/>
  <c r="H146" i="61"/>
  <c r="G158" i="61"/>
  <c r="N150" i="61"/>
  <c r="J119" i="61"/>
  <c r="M119" i="61" s="1"/>
  <c r="G99" i="61"/>
  <c r="I99" i="61" s="1"/>
  <c r="J111" i="61"/>
  <c r="M111" i="61" s="1"/>
  <c r="N123" i="61"/>
  <c r="G135" i="61"/>
  <c r="I135" i="61" s="1"/>
  <c r="G147" i="61"/>
  <c r="I147" i="61" s="1"/>
  <c r="G159" i="61"/>
  <c r="I159" i="61" s="1"/>
  <c r="H102" i="61"/>
  <c r="G100" i="61"/>
  <c r="I100" i="61" s="1"/>
  <c r="J112" i="61"/>
  <c r="M112" i="61" s="1"/>
  <c r="N124" i="61"/>
  <c r="G136" i="61"/>
  <c r="I136" i="61" s="1"/>
  <c r="G148" i="61"/>
  <c r="H148" i="61" s="1"/>
  <c r="I148" i="61" s="1"/>
  <c r="G160" i="61"/>
  <c r="N126" i="61"/>
  <c r="J113" i="61"/>
  <c r="M113" i="61" s="1"/>
  <c r="N125" i="61"/>
  <c r="G137" i="61"/>
  <c r="I137" i="61" s="1"/>
  <c r="J149" i="61"/>
  <c r="M149" i="61" s="1"/>
  <c r="G94" i="61"/>
  <c r="I94" i="61" s="1"/>
  <c r="J114" i="61"/>
  <c r="M114" i="61" s="1"/>
  <c r="G107" i="61"/>
  <c r="I107" i="61" s="1"/>
  <c r="G103" i="61"/>
  <c r="I103" i="61" s="1"/>
  <c r="J115" i="61"/>
  <c r="M115" i="61" s="1"/>
  <c r="N127" i="61"/>
  <c r="G139" i="61"/>
  <c r="I139" i="61" s="1"/>
  <c r="N151" i="61"/>
  <c r="G96" i="61"/>
  <c r="I96" i="61" s="1"/>
  <c r="G104" i="61"/>
  <c r="I104" i="61" s="1"/>
  <c r="J116" i="61"/>
  <c r="M116" i="61" s="1"/>
  <c r="J128" i="61"/>
  <c r="M128" i="61" s="1"/>
  <c r="G140" i="61"/>
  <c r="I140" i="61" s="1"/>
  <c r="G152" i="61"/>
  <c r="I152" i="61" s="1"/>
  <c r="N155" i="61"/>
  <c r="G105" i="61"/>
  <c r="I105" i="61" s="1"/>
  <c r="J117" i="61"/>
  <c r="M117" i="61" s="1"/>
  <c r="J129" i="61"/>
  <c r="M129" i="61" s="1"/>
  <c r="N141" i="61"/>
  <c r="G153" i="61"/>
  <c r="I153" i="61" s="1"/>
  <c r="G106" i="61"/>
  <c r="I106" i="61" s="1"/>
  <c r="J118" i="61"/>
  <c r="M118" i="61" s="1"/>
  <c r="G130" i="61"/>
  <c r="I130" i="61" s="1"/>
  <c r="N142" i="61"/>
  <c r="N154" i="61"/>
  <c r="H157" i="61" l="1"/>
  <c r="I157" i="61" s="1"/>
  <c r="H160" i="61"/>
  <c r="I160" i="61" s="1"/>
  <c r="H158" i="61"/>
  <c r="I158" i="61" s="1"/>
  <c r="E274" i="61"/>
  <c r="E275" i="61" s="1"/>
  <c r="G93" i="61"/>
  <c r="M109" i="61"/>
  <c r="E276" i="61" s="1"/>
  <c r="J168" i="61"/>
  <c r="J268" i="61" s="1"/>
  <c r="N146" i="61"/>
  <c r="G146" i="61"/>
  <c r="N102" i="61"/>
  <c r="G102" i="61"/>
  <c r="G101" i="61"/>
  <c r="H101" i="61"/>
  <c r="I93" i="61" l="1"/>
  <c r="G168" i="61"/>
  <c r="H168" i="61"/>
  <c r="H268" i="61" s="1"/>
  <c r="G268" i="61"/>
  <c r="N168" i="61"/>
  <c r="N268" i="61" s="1"/>
  <c r="M168" i="61"/>
  <c r="M268" i="61" s="1"/>
  <c r="E277" i="61"/>
  <c r="E278" i="61" s="1"/>
  <c r="E280" i="61" s="1"/>
  <c r="E281" i="61" s="1"/>
  <c r="I101" i="61"/>
  <c r="I168" i="61" s="1"/>
  <c r="I268" i="61" s="1"/>
  <c r="E284" i="61" l="1"/>
  <c r="K132" i="1" s="1"/>
  <c r="J55" i="8" s="1"/>
  <c r="K139" i="1" l="1"/>
  <c r="K141" i="1" s="1"/>
  <c r="K142" i="1" l="1"/>
  <c r="H20" i="86" s="1"/>
  <c r="D70" i="7"/>
  <c r="D71" i="7" s="1"/>
  <c r="D73" i="7" s="1"/>
  <c r="D79" i="7" s="1"/>
  <c r="D80" i="7" s="1"/>
  <c r="D86" i="7" s="1"/>
  <c r="D89" i="7" s="1"/>
  <c r="H21" i="86" s="1"/>
  <c r="K144" i="1" l="1"/>
  <c r="C6" i="9" s="1"/>
  <c r="D88" i="7"/>
  <c r="D91" i="7" s="1"/>
  <c r="K150" i="1" s="1"/>
  <c r="H22" i="86"/>
  <c r="H24" i="86" s="1"/>
  <c r="K159" i="1" s="1"/>
  <c r="K149" i="1" l="1"/>
  <c r="C7" i="9"/>
  <c r="J41" i="8" l="1"/>
  <c r="F90" i="12"/>
  <c r="F92" i="12" s="1"/>
  <c r="F94" i="12" s="1"/>
  <c r="F98" i="12" s="1"/>
  <c r="F101" i="12" s="1"/>
  <c r="J34" i="8"/>
  <c r="J38" i="8"/>
  <c r="J56" i="8" l="1"/>
  <c r="J57" i="8"/>
  <c r="J60" i="8" l="1"/>
  <c r="J65" i="8" l="1"/>
  <c r="E69" i="8" l="1"/>
  <c r="E71" i="8" l="1"/>
  <c r="E73" i="8"/>
  <c r="E75" i="8" l="1"/>
  <c r="E14" i="65" l="1"/>
  <c r="E29" i="65" l="1"/>
  <c r="H29" i="65" s="1"/>
  <c r="E32" i="65"/>
  <c r="H32" i="65" s="1"/>
  <c r="E28" i="65"/>
  <c r="H28" i="65" s="1"/>
  <c r="E26" i="65"/>
  <c r="H26" i="65" s="1"/>
  <c r="E25" i="65"/>
  <c r="H25" i="65" s="1"/>
  <c r="J25" i="65" s="1"/>
  <c r="K25" i="65" s="1"/>
  <c r="L25" i="65" s="1"/>
  <c r="E36" i="65"/>
  <c r="H36" i="65" s="1"/>
  <c r="E30" i="65"/>
  <c r="H30" i="65" s="1"/>
  <c r="E35" i="65"/>
  <c r="H35" i="65" s="1"/>
  <c r="E33" i="65"/>
  <c r="H33" i="65" s="1"/>
  <c r="E27" i="65"/>
  <c r="H27" i="65" s="1"/>
  <c r="E34" i="65"/>
  <c r="H34" i="65" s="1"/>
  <c r="E31" i="65"/>
  <c r="H31"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s="1"/>
  <c r="K36" i="65" s="1"/>
  <c r="L36" i="65" s="1"/>
  <c r="E40" i="65" s="1"/>
  <c r="E42" i="65" s="1"/>
  <c r="E43" i="65" s="1"/>
  <c r="E44" i="65" s="1"/>
  <c r="K151" i="1" s="1"/>
  <c r="K155" i="1" l="1"/>
  <c r="C8" i="9"/>
  <c r="C11" i="9" s="1"/>
  <c r="D4" i="53" l="1"/>
  <c r="D26" i="53" s="1"/>
  <c r="K158" i="1"/>
  <c r="D12" i="53" l="1"/>
  <c r="D46" i="53" s="1"/>
  <c r="D21" i="53"/>
  <c r="L21" i="53" s="1"/>
  <c r="D19" i="53"/>
  <c r="H37" i="53" s="1"/>
  <c r="J37" i="53" s="1"/>
  <c r="D17" i="53"/>
  <c r="L17" i="53" s="1"/>
  <c r="D16" i="53"/>
  <c r="L16" i="53" s="1"/>
  <c r="D24" i="53"/>
  <c r="L24" i="53" s="1"/>
  <c r="D23" i="53"/>
  <c r="L23" i="53" s="1"/>
  <c r="D22" i="53"/>
  <c r="L22" i="53" s="1"/>
  <c r="D20" i="53"/>
  <c r="L20" i="53" s="1"/>
  <c r="D15" i="53"/>
  <c r="D48" i="53" s="1"/>
  <c r="D25" i="53"/>
  <c r="L25" i="53" s="1"/>
  <c r="D13" i="53"/>
  <c r="K13" i="53" s="1"/>
  <c r="M14" i="53" s="1"/>
  <c r="N14" i="53" s="1"/>
  <c r="L14" i="53" s="1"/>
  <c r="D18" i="53"/>
  <c r="H36" i="53" s="1"/>
  <c r="J36" i="53" s="1"/>
  <c r="K160" i="1"/>
  <c r="D59" i="53"/>
  <c r="K26" i="53"/>
  <c r="L19" i="53" l="1"/>
  <c r="C36" i="53"/>
  <c r="E36" i="53" s="1"/>
  <c r="I54" i="53" s="1"/>
  <c r="I47" i="53" s="1"/>
  <c r="E47" i="53" s="1"/>
  <c r="K12" i="53"/>
  <c r="K15" i="53"/>
  <c r="D28" i="53"/>
  <c r="C37" i="53"/>
  <c r="E37" i="53" s="1"/>
  <c r="I55" i="53" s="1"/>
  <c r="E55" i="53" s="1"/>
  <c r="C38" i="53"/>
  <c r="E38" i="53" s="1"/>
  <c r="I56" i="53" s="1"/>
  <c r="E56" i="53" s="1"/>
  <c r="L18" i="53"/>
  <c r="H38" i="53"/>
  <c r="J38" i="53" s="1"/>
  <c r="D56" i="53" s="1"/>
  <c r="B4" i="31"/>
  <c r="D18" i="31" s="1"/>
  <c r="E18" i="31" s="1"/>
  <c r="E20" i="31" s="1"/>
  <c r="H54" i="53"/>
  <c r="D54" i="53"/>
  <c r="D51" i="53"/>
  <c r="D52" i="53"/>
  <c r="D55" i="53"/>
  <c r="H55" i="53"/>
  <c r="C48" i="53"/>
  <c r="G48" i="53"/>
  <c r="G46" i="53"/>
  <c r="C46" i="53"/>
  <c r="C59" i="53"/>
  <c r="G59" i="53"/>
  <c r="I57" i="53" l="1"/>
  <c r="E57" i="53" s="1"/>
  <c r="D57" i="53" s="1"/>
  <c r="I49" i="53"/>
  <c r="E49" i="53" s="1"/>
  <c r="D49" i="53" s="1"/>
  <c r="C49" i="53" s="1"/>
  <c r="E54" i="53"/>
  <c r="C54" i="53" s="1"/>
  <c r="I50" i="53"/>
  <c r="E50" i="53" s="1"/>
  <c r="D50" i="53" s="1"/>
  <c r="H50" i="53" s="1"/>
  <c r="I58" i="53"/>
  <c r="E58" i="53" s="1"/>
  <c r="D58" i="53" s="1"/>
  <c r="C58" i="53" s="1"/>
  <c r="C56" i="53"/>
  <c r="H56" i="53"/>
  <c r="C55" i="53"/>
  <c r="F18" i="31"/>
  <c r="F20" i="31" s="1"/>
  <c r="D20" i="31"/>
  <c r="D53" i="53"/>
  <c r="M53" i="53" s="1"/>
  <c r="D47" i="53"/>
  <c r="H47" i="53"/>
  <c r="C52" i="53"/>
  <c r="M52" i="53"/>
  <c r="H52" i="53"/>
  <c r="M51" i="53"/>
  <c r="C51" i="53"/>
  <c r="H51" i="53"/>
  <c r="K57" i="53" l="1"/>
  <c r="H49" i="53"/>
  <c r="C50" i="53"/>
  <c r="M49" i="53"/>
  <c r="M50" i="53" s="1"/>
  <c r="H58" i="53"/>
  <c r="H53" i="53"/>
  <c r="C53" i="53"/>
  <c r="E61" i="53"/>
  <c r="B8" i="31" s="1"/>
  <c r="D24" i="31" s="1"/>
  <c r="D27" i="31" s="1"/>
  <c r="H57" i="53"/>
  <c r="J57" i="53" s="1"/>
  <c r="C57" i="53"/>
  <c r="M47" i="53"/>
  <c r="C47" i="53"/>
  <c r="G47" i="53"/>
  <c r="D61" i="53"/>
  <c r="E24" i="31" l="1"/>
  <c r="E27" i="31" s="1"/>
  <c r="E20" i="32" s="1"/>
  <c r="E22" i="32" s="1"/>
  <c r="F24" i="31"/>
  <c r="F27" i="31" s="1"/>
  <c r="E12" i="32" s="1"/>
  <c r="E14" i="32" s="1"/>
  <c r="C61" i="53"/>
  <c r="E26" i="32" l="1"/>
  <c r="E28" i="32" s="1"/>
</calcChain>
</file>

<file path=xl/sharedStrings.xml><?xml version="1.0" encoding="utf-8"?>
<sst xmlns="http://schemas.openxmlformats.org/spreadsheetml/2006/main" count="7598" uniqueCount="3203">
  <si>
    <t xml:space="preserve"> Attachment 2 to Appendix IX</t>
  </si>
  <si>
    <t>Formula Rate Spreadsheet</t>
  </si>
  <si>
    <t>Table of Contents</t>
  </si>
  <si>
    <t>Worksheet Name</t>
  </si>
  <si>
    <t>Schedule</t>
  </si>
  <si>
    <t>Purpose</t>
  </si>
  <si>
    <t>Overview</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</si>
  <si>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</si>
  <si>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</si>
  <si>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</si>
  <si>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</si>
  <si>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</si>
  <si>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</si>
  <si>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</si>
  <si>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</si>
  <si>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</si>
  <si>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</si>
  <si>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</si>
  <si>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</si>
  <si>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</si>
  <si>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</si>
  <si>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</si>
  <si>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</si>
  <si>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</si>
  <si>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</si>
  <si>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</si>
  <si>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</si>
  <si>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</si>
  <si>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</si>
  <si>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</si>
  <si>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</si>
  <si>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</si>
  <si>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</si>
  <si>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</si>
  <si>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</si>
  <si>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</si>
  <si>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</si>
  <si>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</si>
  <si>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</si>
  <si>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</si>
  <si>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</si>
  <si>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</si>
  <si>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</si>
  <si>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</si>
  <si>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</si>
  <si>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</si>
  <si>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</si>
  <si>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</si>
  <si>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</si>
  <si>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</si>
  <si>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</si>
  <si>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</si>
  <si>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</si>
  <si>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</si>
  <si>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</si>
  <si>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</si>
  <si>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</si>
  <si>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</si>
  <si>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</si>
  <si>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</si>
  <si>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</si>
  <si>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</si>
  <si>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</si>
  <si>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</si>
  <si>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</si>
  <si>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</si>
  <si>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</si>
  <si>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</si>
  <si>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</si>
  <si>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</si>
  <si>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</si>
  <si>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</si>
  <si>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</si>
  <si>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</si>
  <si>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</si>
  <si>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</si>
  <si>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OtherFormulaRevenue</t>
  </si>
  <si>
    <t>Presentation of Other Formula Revenue by Native Account</t>
  </si>
  <si>
    <t>Overview of SCE Retail Base TRR</t>
  </si>
  <si>
    <t>SCE's retail Base Transmission Revenue Requirement is the sum of the following components:</t>
  </si>
  <si>
    <t>TRR Component</t>
  </si>
  <si>
    <t>Amount</t>
  </si>
  <si>
    <t>Prior Year TRR</t>
  </si>
  <si>
    <t>Incremental Forecast Period TRR</t>
  </si>
  <si>
    <t>True-Up Adjustment</t>
  </si>
  <si>
    <t>O&amp;M Services Formula Revenue</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</si>
  <si>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</si>
  <si>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</si>
  <si>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</si>
  <si>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</si>
  <si>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</si>
  <si>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</si>
  <si>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</si>
  <si>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</si>
  <si>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</si>
  <si>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4) The O&amp;M Services Formula Revenue is a component of the Base TRR representing revenue collected pursuant to</t>
  </si>
  <si>
    <t>an O&amp;M Services Formula presented on Schedule 35.  It is a credit to the Base TRR.  See Schedule 1.</t>
  </si>
  <si>
    <r>
      <rPr>
        <u/>
        <sz val="10"/>
        <rFont val="Arial"/>
        <family val="2"/>
      </rPr>
      <t>5</t>
    </r>
    <r>
      <rPr>
        <sz val="10"/>
        <rFont val="Arial"/>
        <family val="2"/>
      </rPr>
      <t xml:space="preserve">) The Cost Adjustment component may be included as provided in the Tariff protocols. </t>
    </r>
  </si>
  <si>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</si>
  <si>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</si>
  <si>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</si>
  <si>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</si>
  <si>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</si>
  <si>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</si>
  <si>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</si>
  <si>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</si>
  <si>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</si>
  <si>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</si>
  <si>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</si>
  <si>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</si>
  <si>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</si>
  <si>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</si>
  <si>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</si>
  <si>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</si>
  <si>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</si>
  <si>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</si>
  <si>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</si>
  <si>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</si>
  <si>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</si>
  <si>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</si>
  <si>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</si>
  <si>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</si>
  <si>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 Net ADIT (Liab)/Asset and Net (Excess)/Deficient ADIT Amounts</t>
  </si>
  <si>
    <t>CWIP Plant</t>
  </si>
  <si>
    <t>Other Regulatory Assets/Liabilities</t>
  </si>
  <si>
    <t>Network Upgrade Credits</t>
  </si>
  <si>
    <t>Rate Base</t>
  </si>
  <si>
    <t>OTHER TAXES</t>
  </si>
  <si>
    <t>Sub-Total Local Taxes</t>
  </si>
  <si>
    <t>Note 6</t>
  </si>
  <si>
    <t>Transmission Plant Allocation Factor</t>
  </si>
  <si>
    <t>Property Taxes</t>
  </si>
  <si>
    <t xml:space="preserve"> </t>
  </si>
  <si>
    <t>Payroll Taxes Expense</t>
  </si>
  <si>
    <t>FICA</t>
  </si>
  <si>
    <t>Fed Ins Cont Amt -- Current</t>
  </si>
  <si>
    <t>FICA/OASDI Emp Incntv.</t>
  </si>
  <si>
    <t>FICA/HIT Emp Incntv.</t>
  </si>
  <si>
    <t>CA SUI Current</t>
  </si>
  <si>
    <t>Fed Unemp Tax Act- Current</t>
  </si>
  <si>
    <t>CADI Vol Plan Assess</t>
  </si>
  <si>
    <t>SF Pyrl Exp Tx - SCE</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</si>
  <si>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</si>
  <si>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</si>
  <si>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</si>
  <si>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</si>
  <si>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</si>
  <si>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</si>
  <si>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</si>
  <si>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</si>
  <si>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</si>
  <si>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</si>
  <si>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</si>
  <si>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</si>
  <si>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</si>
  <si>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</si>
  <si>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Preferred Stock Cost Percentage</t>
  </si>
  <si>
    <t>Equity</t>
  </si>
  <si>
    <t>Common Stock Equity Amount</t>
  </si>
  <si>
    <t>Total Capital</t>
  </si>
  <si>
    <t>44a</t>
  </si>
  <si>
    <t xml:space="preserve">Minimum Common Stock Capital Percentage (Docket No. ER19-1553) </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</si>
  <si>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</si>
  <si>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</si>
  <si>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</si>
  <si>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</si>
  <si>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</si>
  <si>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</si>
  <si>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</si>
  <si>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</si>
  <si>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</si>
  <si>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</si>
  <si>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</si>
  <si>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</si>
  <si>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</si>
  <si>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</si>
  <si>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</si>
  <si>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</si>
  <si>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</si>
  <si>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</si>
  <si>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</si>
  <si>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</si>
  <si>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</si>
  <si>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</si>
  <si>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Net (Excess)/Deficient Deferred Tax Liability Asset</t>
  </si>
  <si>
    <t>Negative of 9-ADIT-2, Line 500, Column 7</t>
  </si>
  <si>
    <t>Other Income Tax Adjustments</t>
  </si>
  <si>
    <t>Note 3             Workpaper:</t>
  </si>
  <si>
    <t>WP Schedule 1</t>
  </si>
  <si>
    <t>Not Used</t>
  </si>
  <si>
    <t>Credits and Other</t>
  </si>
  <si>
    <t>Line 60 + Line 61</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</si>
  <si>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</si>
  <si>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</si>
  <si>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</si>
  <si>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</si>
  <si>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</si>
  <si>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</si>
  <si>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</si>
  <si>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</si>
  <si>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Workpaper:</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</si>
  <si>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</si>
  <si>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</si>
  <si>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</si>
  <si>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</si>
  <si>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</si>
  <si>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</si>
  <si>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</si>
  <si>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</si>
  <si>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</si>
  <si>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</si>
  <si>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</si>
  <si>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</si>
  <si>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</si>
  <si>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</si>
  <si>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77a</t>
  </si>
  <si>
    <t>Prior Year Incentive Adder Reversal</t>
  </si>
  <si>
    <t>Note 5</t>
  </si>
  <si>
    <t>Negative of Line 77</t>
  </si>
  <si>
    <t>Total without FF&amp;U</t>
  </si>
  <si>
    <t>Franchise Fees Expense</t>
  </si>
  <si>
    <t>Uncollectibles Expense</t>
  </si>
  <si>
    <t>TOTAL BASE TRANSMISSION REVENUE REQUIREMENT</t>
  </si>
  <si>
    <t>Calculation of Base Transmission Revenue Requirement</t>
  </si>
  <si>
    <t>True Up Adjustment</t>
  </si>
  <si>
    <t>84a</t>
  </si>
  <si>
    <t>Note 4</t>
  </si>
  <si>
    <t>Base Transmission Revenue Requirement (Retail)</t>
  </si>
  <si>
    <t>For Retail Purposes</t>
  </si>
  <si>
    <t>Wholesale Base Transmission Revenue Requirement</t>
  </si>
  <si>
    <t xml:space="preserve">Base TRR (Retail) </t>
  </si>
  <si>
    <t>Wholesale Difference to the Base TRR</t>
  </si>
  <si>
    <t>25-WholesaleDifference, Line 14</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</si>
  <si>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</si>
  <si>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</si>
  <si>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</si>
  <si>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</si>
  <si>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  See Schedule 15 at Lines 31-39.</t>
  </si>
  <si>
    <t>In the event that the Return on Common Equity is revised from the initial value, enter cite to Commission Order approving the revised ROE on following line.</t>
  </si>
  <si>
    <t>Order approving revised ROE:</t>
  </si>
  <si>
    <t>Docket No. ER19-1553</t>
  </si>
  <si>
    <t>3) Other Income Tax Adjustments may be included as a component of "Credits and Other" in the Prior Year Income Tax calculation if filed with the Commission.</t>
  </si>
  <si>
    <t>4) Cost Adjustment may be included as provided in the Tariff protocols.</t>
  </si>
  <si>
    <t>5) Prior Year Incentive Adder Reversal backs out the revenue requirement associated with any project-specific Incentive Adders</t>
  </si>
  <si>
    <t>(Line 77).  Applicable pursuant to settlement under ER19-1553.</t>
  </si>
  <si>
    <t>6) "Sub Total Local Taxes" on Line 19 and Payroll Taxes on Lines 24-30 include O&amp;M Services Formula Revenues as follows, pursuant to Schedule 35, Note 2.</t>
  </si>
  <si>
    <t>O&amp;M</t>
  </si>
  <si>
    <t>FERC</t>
  </si>
  <si>
    <t>Services</t>
  </si>
  <si>
    <t>Form 1</t>
  </si>
  <si>
    <t>FERC Form 1 References</t>
  </si>
  <si>
    <t>Revenue</t>
  </si>
  <si>
    <t>Total</t>
  </si>
  <si>
    <t>Item</t>
  </si>
  <si>
    <t>Reference</t>
  </si>
  <si>
    <t>Line 19:</t>
  </si>
  <si>
    <t>Schedule 35, Line 55, C 4</t>
  </si>
  <si>
    <t>Line 24:</t>
  </si>
  <si>
    <t>FF1 263, Line 5, Column o</t>
  </si>
  <si>
    <t>Schedule 35, Line 56, C 4</t>
  </si>
  <si>
    <t>Line 25:</t>
  </si>
  <si>
    <t>FF1 263, Line 6, Column o</t>
  </si>
  <si>
    <t>Schedule 35, Line 57, C 4</t>
  </si>
  <si>
    <t>Line 26:</t>
  </si>
  <si>
    <t>FF1 263, Line 7, Column o</t>
  </si>
  <si>
    <t>Schedule 35, Line 58, C 4</t>
  </si>
  <si>
    <t>Line 27:</t>
  </si>
  <si>
    <t>FF1 263, Line 8, Column o</t>
  </si>
  <si>
    <t>Schedule 35, Line 59, C 4</t>
  </si>
  <si>
    <t>Line 28:</t>
  </si>
  <si>
    <t>Schedule 35, Line 60, C 4</t>
  </si>
  <si>
    <t>Line 29:</t>
  </si>
  <si>
    <t>FF1 263, Line 13, Column o</t>
  </si>
  <si>
    <t>Schedule 35, Line 61, C 4</t>
  </si>
  <si>
    <t>Line 30:</t>
  </si>
  <si>
    <t>FF1 263, Line 12, Column o</t>
  </si>
  <si>
    <t>Schedule 35, Line 62, C 4</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</si>
  <si>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</si>
  <si>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</si>
  <si>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</si>
  <si>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</si>
  <si>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</si>
  <si>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</si>
  <si>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</si>
  <si>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</si>
  <si>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</si>
  <si>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</si>
  <si>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</si>
  <si>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</si>
  <si>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</si>
  <si>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</si>
  <si>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</si>
  <si>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</si>
  <si>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</si>
  <si>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</si>
  <si>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</si>
  <si>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</si>
  <si>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</si>
  <si>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</si>
  <si>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</si>
  <si>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</si>
  <si>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</si>
  <si>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</si>
  <si>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</si>
  <si>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</si>
  <si>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</si>
  <si>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</si>
  <si>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</si>
  <si>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</si>
  <si>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</si>
  <si>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</si>
  <si>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</si>
  <si>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</si>
  <si>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</si>
  <si>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</si>
  <si>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</si>
  <si>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</si>
  <si>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</si>
  <si>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</si>
  <si>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</si>
  <si>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</si>
  <si>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</si>
  <si>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</si>
  <si>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</si>
  <si>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</si>
  <si>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</si>
  <si>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</si>
  <si>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</si>
  <si>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</si>
  <si>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</si>
  <si>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</si>
  <si>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</si>
  <si>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</si>
  <si>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</si>
  <si>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</si>
  <si>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</si>
  <si>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</si>
  <si>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</si>
  <si>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</si>
  <si>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</si>
  <si>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</si>
  <si>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</si>
  <si>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</si>
  <si>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</si>
  <si>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</si>
  <si>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</si>
  <si>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</si>
  <si>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</si>
  <si>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</si>
  <si>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</si>
  <si>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</si>
  <si>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</si>
  <si>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</si>
  <si>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</si>
  <si>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</si>
  <si>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</si>
  <si>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</si>
  <si>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</si>
  <si>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</si>
  <si>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</si>
  <si>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</si>
  <si>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</si>
  <si>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</si>
  <si>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</si>
  <si>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</si>
  <si>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</si>
  <si>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</si>
  <si>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</si>
  <si>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</si>
  <si>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</si>
  <si>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</si>
  <si>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</si>
  <si>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</si>
  <si>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</si>
  <si>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</si>
  <si>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</si>
  <si>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</si>
  <si>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</si>
  <si>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</si>
  <si>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</si>
  <si>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</si>
  <si>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</si>
  <si>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</si>
  <si>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</si>
  <si>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</si>
  <si>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</si>
  <si>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</si>
  <si>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</si>
  <si>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</si>
  <si>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</si>
  <si>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</si>
  <si>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</si>
  <si>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</si>
  <si>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</si>
  <si>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</si>
  <si>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</si>
  <si>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</si>
  <si>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</si>
  <si>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</si>
  <si>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</si>
  <si>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</si>
  <si>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3) True Up Adjustment</t>
  </si>
  <si>
    <t>Shortfall or Excess Revenue in Prior Year:</t>
  </si>
  <si>
    <t>Previous Annual Update TU Adjustment:</t>
  </si>
  <si>
    <t>Previous Annual Update:</t>
  </si>
  <si>
    <t>TU Adjustment without Projected Interest</t>
  </si>
  <si>
    <t>Projected Interest to Rate Year Mid-Point:</t>
  </si>
  <si>
    <t>True Up Adjustment:</t>
  </si>
  <si>
    <t>Negative amount is to be returned to customers by SCE (included in Base TRR as a negative amount).</t>
  </si>
  <si>
    <t>4)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</si>
  <si>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</si>
  <si>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</si>
  <si>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</si>
  <si>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</si>
  <si>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</si>
  <si>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</si>
  <si>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</si>
  <si>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</si>
  <si>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</si>
  <si>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</si>
  <si>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</si>
  <si>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</si>
  <si>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</si>
  <si>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</si>
  <si>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Other</t>
  </si>
  <si>
    <t>Public</t>
  </si>
  <si>
    <t>Retail</t>
  </si>
  <si>
    <t>Distribution</t>
  </si>
  <si>
    <t>Generation</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</si>
  <si>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</si>
  <si>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</si>
  <si>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</si>
  <si>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</si>
  <si>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</si>
  <si>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</si>
  <si>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</si>
  <si>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</si>
  <si>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</si>
  <si>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</si>
  <si>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</si>
  <si>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</si>
  <si>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</si>
  <si>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</si>
  <si>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</si>
  <si>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</si>
  <si>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</si>
  <si>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</si>
  <si>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</si>
  <si>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</si>
  <si>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</si>
  <si>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</si>
  <si>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Workpaper for Line 12:</t>
  </si>
  <si>
    <t>Workpaper for Line 23:</t>
  </si>
  <si>
    <t>N/A</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</si>
  <si>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</si>
  <si>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</si>
  <si>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</si>
  <si>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</si>
  <si>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</si>
  <si>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</si>
  <si>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</si>
  <si>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</si>
  <si>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</si>
  <si>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</si>
  <si>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</si>
  <si>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</si>
  <si>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</si>
  <si>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</si>
  <si>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</si>
  <si>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</si>
  <si>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</si>
  <si>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</si>
  <si>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</si>
  <si>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</si>
  <si>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</si>
  <si>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</si>
  <si>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</si>
  <si>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</si>
  <si>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</si>
  <si>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</si>
  <si>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</si>
  <si>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</si>
  <si>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</si>
  <si>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</si>
  <si>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</si>
  <si>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</si>
  <si>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</si>
  <si>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</si>
  <si>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</si>
  <si>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</si>
  <si>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Accumulated Deferred Income Taxes</t>
  </si>
  <si>
    <t>B) Return on Capital</t>
  </si>
  <si>
    <t>See Instruction 1</t>
  </si>
  <si>
    <t>C) Income Taxes</t>
  </si>
  <si>
    <t>ER = Equity ROR inc. Com. and Pref. Stock</t>
  </si>
  <si>
    <t>Instruction 1</t>
  </si>
  <si>
    <t>1-Base TRR L 63 + Line 25a</t>
  </si>
  <si>
    <t>25a</t>
  </si>
  <si>
    <t>Adjustments to CO term for the True Up TRR</t>
  </si>
  <si>
    <t>Note 2   Wkpaper:</t>
  </si>
  <si>
    <t>D) True Up TRR Calculation</t>
  </si>
  <si>
    <t>Gains and Losses on Transmission Plant Held for Future Use -- Land</t>
  </si>
  <si>
    <t>Total without True Up Incentive Adder</t>
  </si>
  <si>
    <t>True Up Incentive Adder</t>
  </si>
  <si>
    <t>39a</t>
  </si>
  <si>
    <t>True Up Incentive Adder Reversal</t>
  </si>
  <si>
    <t>Negative of Line 39, Note 1</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</si>
  <si>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</si>
  <si>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</si>
  <si>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</si>
  <si>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</si>
  <si>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</si>
  <si>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</si>
  <si>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</si>
  <si>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45a</t>
  </si>
  <si>
    <t>O&amp;M Services Formula Revenues</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</si>
  <si>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</si>
  <si>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</si>
  <si>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</si>
  <si>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</si>
  <si>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</si>
  <si>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</si>
  <si>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</si>
  <si>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</si>
  <si>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</si>
  <si>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</si>
  <si>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</si>
  <si>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</si>
  <si>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</si>
  <si>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</si>
  <si>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</si>
  <si>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</si>
  <si>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</si>
  <si>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</si>
  <si>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</si>
  <si>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</si>
  <si>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</si>
  <si>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</si>
  <si>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</si>
  <si>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</si>
  <si>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</si>
  <si>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f</t>
  </si>
  <si>
    <t>Beginning of Prior Year</t>
  </si>
  <si>
    <t>g</t>
  </si>
  <si>
    <t>Wtd. Cost of Long Term Debt</t>
  </si>
  <si>
    <t>h</t>
  </si>
  <si>
    <t>Wtd.Cost of Preferred Stock</t>
  </si>
  <si>
    <t>i</t>
  </si>
  <si>
    <t>Wtd.Cost of Common Stock</t>
  </si>
  <si>
    <t>j</t>
  </si>
  <si>
    <t>Calculation of Equity Rate of Return Including Common and Preferred Stock:</t>
  </si>
  <si>
    <t>k</t>
  </si>
  <si>
    <t>1) True Up TRR Incentive Adder Reversal backs out the revenue requirement associated with any project-specific Incentive Adders</t>
  </si>
  <si>
    <t>(Line 39) for True Up Years during the term of the settlement of ER19-1553.</t>
  </si>
  <si>
    <t>2) Include any amount appropriate for the True Up TRR calculation for the Prior Year not already included in Line 63 of Schedule 1.  Such amounts will</t>
  </si>
  <si>
    <t xml:space="preserve">specifically include an amount of the South Georgia Adjustment applicable to the 2023 Prior Year of $2,606,000 in SCE’s Annual Update setting </t>
  </si>
  <si>
    <t xml:space="preserve">transmission rates for 2025 and, for the 2024 Prior Year, an amount of $1,303,000 in SCE’s Annual Update setting transmission rates for  </t>
  </si>
  <si>
    <t>2026. No further amounts relating to the current SGA amount shall be included in SCE’s Formula Rate, as the SGA will be fully amortized after 2024.</t>
  </si>
  <si>
    <t>Calculation of Components of Cost of Capital Rate</t>
  </si>
  <si>
    <t>Calculation of Long Term Debt Amount</t>
  </si>
  <si>
    <t>Bonds -- Account 221</t>
  </si>
  <si>
    <t>13-month avg.</t>
  </si>
  <si>
    <t>Less Reacquired Bonds -- Account 222</t>
  </si>
  <si>
    <t>2a</t>
  </si>
  <si>
    <t>Long Term Debt Advances from Associated Companies -- Account 223</t>
  </si>
  <si>
    <t>Other Long Term Debt -- Account 224</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</si>
  <si>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</si>
  <si>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</si>
  <si>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</si>
  <si>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</si>
  <si>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</si>
  <si>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</si>
  <si>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</si>
  <si>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</si>
  <si>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</si>
  <si>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</si>
  <si>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</si>
  <si>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</si>
  <si>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</si>
  <si>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</si>
  <si>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</si>
  <si>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Preferred Stock Amount</t>
  </si>
  <si>
    <t>Preferred Stock Amount -- Account 204</t>
  </si>
  <si>
    <t>Unamortized Issuance Costs</t>
  </si>
  <si>
    <t>Net Gain (Loss) From Purchase and Tender Offers</t>
  </si>
  <si>
    <t>Calculation of Cost of Preferred Stock</t>
  </si>
  <si>
    <t>Cost of Preferred Stock -- Account 437</t>
  </si>
  <si>
    <t xml:space="preserve">Enter positive </t>
  </si>
  <si>
    <t>FF1 118.29c</t>
  </si>
  <si>
    <t>Amortization of Net Gain (Loss)  From Purchases and Tender Offers</t>
  </si>
  <si>
    <t>See Note 1</t>
  </si>
  <si>
    <t>Amortization Issuance Costs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</si>
  <si>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</si>
  <si>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</si>
  <si>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</si>
  <si>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</si>
  <si>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</si>
  <si>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</si>
  <si>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1) Total annual amortization associated with events listed in Note 6 on 5-ROR-2.</t>
  </si>
  <si>
    <t>2) Total annual amortization associated with preferred equity issues listed in Note 5 on 5-ROR-2.</t>
  </si>
  <si>
    <t>Calculation of 13-Month Average Capitalization Balances</t>
  </si>
  <si>
    <t xml:space="preserve">Year </t>
  </si>
  <si>
    <t>WP Schedule 5 ROR-2</t>
  </si>
  <si>
    <t>Col 10</t>
  </si>
  <si>
    <t>Col 11</t>
  </si>
  <si>
    <t>Col 12</t>
  </si>
  <si>
    <t>Col 13</t>
  </si>
  <si>
    <t>Col 14</t>
  </si>
  <si>
    <t>June</t>
  </si>
  <si>
    <t>= Sum (Cols. 2-14)/13</t>
  </si>
  <si>
    <t>Bonds -- Account 221 (Note 1):</t>
  </si>
  <si>
    <t>Reacquired Bonds -- Account 222 (Note 2): enter - of FF1</t>
  </si>
  <si>
    <t xml:space="preserve"> Long Term Debt Advances from Associated Companies (Note 2a):</t>
  </si>
  <si>
    <t>Other Long Term Debt -- Account 224 (Note 3):</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</si>
  <si>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</si>
  <si>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</si>
  <si>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</si>
  <si>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</si>
  <si>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</si>
  <si>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</si>
  <si>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1) Enter 13 months of balances for capital structure for Prior Year and December previous to Prior Year in Columns 2-14.  </t>
  </si>
  <si>
    <t>Beginning and End of year amounts in Columns 2 and 14 are from FERC Form 1, as referenced in below notes.</t>
  </si>
  <si>
    <t>2) Update Notes 5 and 6 as necessary.</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</si>
  <si>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</si>
  <si>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</si>
  <si>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</si>
  <si>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</si>
  <si>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Amount in Column 2 from FF1 112.3d, amount in Column 14 from FF1 112.3c, amounts in columns 3-13 from SCE internal records. </t>
  </si>
  <si>
    <t>5) Amounts in columns 2-14 are from SCE internal records.</t>
  </si>
  <si>
    <t>List associated securities, Face Amount, Issuance Date, Issuance Costs, Amortization Period, and Annual Amortization:</t>
  </si>
  <si>
    <t>Amortization</t>
  </si>
  <si>
    <t>Face</t>
  </si>
  <si>
    <t>Issuance</t>
  </si>
  <si>
    <t>Period</t>
  </si>
  <si>
    <t>Annual</t>
  </si>
  <si>
    <t>Issue</t>
  </si>
  <si>
    <t>Date</t>
  </si>
  <si>
    <t>Costs</t>
  </si>
  <si>
    <t>(Years)</t>
  </si>
  <si>
    <t>…</t>
  </si>
  <si>
    <t>Total Annual Amortization (sum of "Issues" listed above)</t>
  </si>
  <si>
    <t>6)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</si>
  <si>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</si>
  <si>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</si>
  <si>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</si>
  <si>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</si>
  <si>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</si>
  <si>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</si>
  <si>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</si>
  <si>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Plant In Service</t>
  </si>
  <si>
    <t>Inputs are shaded yellow</t>
  </si>
  <si>
    <t>Workpapers for additional information:</t>
  </si>
  <si>
    <t>WP Schedule 6&amp;8</t>
  </si>
  <si>
    <t>WP Schedule 6 Prior Year Corp OH Exp</t>
  </si>
  <si>
    <t>1) Transmission Plant - ISO</t>
  </si>
  <si>
    <t>Prior Year:</t>
  </si>
  <si>
    <t>Sum C2 - C11</t>
  </si>
  <si>
    <t>Mo/YR</t>
  </si>
  <si>
    <t>13-Mo. Avg:</t>
  </si>
  <si>
    <t>Transmission Plant - ISO</t>
  </si>
  <si>
    <t>351.2  5-YR</t>
  </si>
  <si>
    <t>351.2  7-YR</t>
  </si>
  <si>
    <t>351.2  10-YR</t>
  </si>
  <si>
    <t>351.2  15-YR</t>
  </si>
  <si>
    <t>14a</t>
  </si>
  <si>
    <t>14b</t>
  </si>
  <si>
    <t>14c</t>
  </si>
  <si>
    <t>14d</t>
  </si>
  <si>
    <t>14e</t>
  </si>
  <si>
    <t>14f</t>
  </si>
  <si>
    <t>14g</t>
  </si>
  <si>
    <t>14h</t>
  </si>
  <si>
    <t>14i</t>
  </si>
  <si>
    <t>14j</t>
  </si>
  <si>
    <t>14k</t>
  </si>
  <si>
    <t>14l</t>
  </si>
  <si>
    <t>14m</t>
  </si>
  <si>
    <t>14n</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</si>
  <si>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</si>
  <si>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</si>
  <si>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</si>
  <si>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</si>
  <si>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</si>
  <si>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</si>
  <si>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</si>
  <si>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</si>
  <si>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</si>
  <si>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r>
      <t>4) General Plant + Electric Miscellaneous Intangible Plant ("G&amp;I Plant")</t>
    </r>
    <r>
      <rPr>
        <b/>
        <sz val="10"/>
        <color rgb="FFFF0000"/>
        <rFont val="Arial"/>
        <family val="2"/>
      </rPr>
      <t xml:space="preserve"> </t>
    </r>
  </si>
  <si>
    <t>General and Intangible Plant is an allocated portion of Total G&amp;I Plant based on the Trans. W&amp;S Allocation Factor</t>
  </si>
  <si>
    <t>General</t>
  </si>
  <si>
    <t>Intangible</t>
  </si>
  <si>
    <t>Data</t>
  </si>
  <si>
    <t>Plant</t>
  </si>
  <si>
    <t>G&amp;I Plant</t>
  </si>
  <si>
    <t>Balances</t>
  </si>
  <si>
    <t>FF1 206.99.b and 204.5b</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</si>
  <si>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</si>
  <si>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</si>
  <si>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</si>
  <si>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</si>
  <si>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</si>
  <si>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</si>
  <si>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</si>
  <si>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</si>
  <si>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</si>
  <si>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Sum C2 - C7</t>
  </si>
  <si>
    <t>28a</t>
  </si>
  <si>
    <t>Previous Annual Update, Line 40a</t>
  </si>
  <si>
    <t>29a</t>
  </si>
  <si>
    <t>30a</t>
  </si>
  <si>
    <t>31a</t>
  </si>
  <si>
    <t>32a</t>
  </si>
  <si>
    <t>33a</t>
  </si>
  <si>
    <t>34a</t>
  </si>
  <si>
    <t>35a</t>
  </si>
  <si>
    <t>36a</t>
  </si>
  <si>
    <t>37a</t>
  </si>
  <si>
    <t>38a</t>
  </si>
  <si>
    <t>40a</t>
  </si>
  <si>
    <t>See Note 3c regarding Columns 3 to 6</t>
  </si>
  <si>
    <t>3) ISO Incentive Plant Balances (See Note 5)</t>
  </si>
  <si>
    <t>4) ISO Incentive Plant Activity (See Note 6)</t>
  </si>
  <si>
    <t>A) Change in ISO Plant Balance December to December (See Note 9)</t>
  </si>
  <si>
    <t>B) Change in Incentive ISO Plant (See Note 10)</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</si>
  <si>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</si>
  <si>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</si>
  <si>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</si>
  <si>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</si>
  <si>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</si>
  <si>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</si>
  <si>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</si>
  <si>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to the FF1 amounts on line 20 (columns 1 and 2) to remove from December 2024 balances the amounts subsequently transferred out of General and Intangible Plant as of January 1, 2025.</t>
  </si>
  <si>
    <t>3a) For the December values on Row 14a for the TO2027 Annual Update (relating to December of 2024)</t>
  </si>
  <si>
    <t>5) Includes balances for SCE Incentive Projects.</t>
  </si>
  <si>
    <t xml:space="preserve">6) Monthly differences from previous matrix.  </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</si>
  <si>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</si>
  <si>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</si>
  <si>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</si>
  <si>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</si>
  <si>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WP Schedule 7</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</si>
  <si>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</si>
  <si>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</si>
  <si>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</si>
  <si>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</si>
  <si>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</si>
  <si>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</si>
  <si>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</si>
  <si>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</si>
  <si>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</si>
  <si>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</si>
  <si>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</si>
  <si>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</si>
  <si>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</si>
  <si>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</si>
  <si>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</si>
  <si>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</si>
  <si>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</si>
  <si>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</si>
  <si>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</si>
  <si>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</si>
  <si>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</si>
  <si>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</si>
  <si>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21b</t>
  </si>
  <si>
    <t>FF1 207.48.2g</t>
  </si>
  <si>
    <t>21c</t>
  </si>
  <si>
    <t>FF1 207.48.3g</t>
  </si>
  <si>
    <t>21d</t>
  </si>
  <si>
    <t>FF1 207.48.4g</t>
  </si>
  <si>
    <t>21e</t>
  </si>
  <si>
    <t>21f</t>
  </si>
  <si>
    <t>21g</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</si>
  <si>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</si>
  <si>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</si>
  <si>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</si>
  <si>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</si>
  <si>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</si>
  <si>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</si>
  <si>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</si>
  <si>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</si>
  <si>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</si>
  <si>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</si>
  <si>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</si>
  <si>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</si>
  <si>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</si>
  <si>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</si>
  <si>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</si>
  <si>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</si>
  <si>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</si>
  <si>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</si>
  <si>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Account:</t>
  </si>
  <si>
    <t>Transmission Reserve - ISO</t>
  </si>
  <si>
    <t>Previous Annual Update, 8-AccDep Line 14m</t>
  </si>
  <si>
    <t>Transmission Function Depreciation Reserve for Computer Hardware, Software, and Communication Equipment (351.1, 351.2, and 351.3)</t>
  </si>
  <si>
    <t>14o</t>
  </si>
  <si>
    <t>Previous Annual Update, Line 14aa</t>
  </si>
  <si>
    <t>14p</t>
  </si>
  <si>
    <t>See Note 2 for Lines 14p to 14aa</t>
  </si>
  <si>
    <t>14q</t>
  </si>
  <si>
    <t>Columns 3 to 6 sum to total amount for 351.2</t>
  </si>
  <si>
    <t>14r</t>
  </si>
  <si>
    <t>14s</t>
  </si>
  <si>
    <t>14t</t>
  </si>
  <si>
    <t>14u</t>
  </si>
  <si>
    <t>14v</t>
  </si>
  <si>
    <t>14w</t>
  </si>
  <si>
    <t>14x</t>
  </si>
  <si>
    <t>14y</t>
  </si>
  <si>
    <t>14z</t>
  </si>
  <si>
    <t>14aa</t>
  </si>
  <si>
    <t>2) Distribution Depreciation Reserve - ISO (See Note 2a)</t>
  </si>
  <si>
    <t>=Sum C2 to C4</t>
  </si>
  <si>
    <t>Beginning of Year ("BOY") amount</t>
  </si>
  <si>
    <t>End of Year ("EOY") amount</t>
  </si>
  <si>
    <t>BOY/EOY Average:</t>
  </si>
  <si>
    <t xml:space="preserve">3) General and Intangible Depreciation Reserve </t>
  </si>
  <si>
    <t>=C4+C5</t>
  </si>
  <si>
    <t>Gen. and Int.</t>
  </si>
  <si>
    <t xml:space="preserve">Depreciation </t>
  </si>
  <si>
    <t>Reserve</t>
  </si>
  <si>
    <t>BOY:</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</si>
  <si>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</si>
  <si>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</si>
  <si>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</si>
  <si>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</si>
  <si>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</si>
  <si>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</si>
  <si>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</si>
  <si>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</si>
  <si>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</si>
  <si>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</si>
  <si>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</si>
  <si>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</si>
  <si>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</si>
  <si>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</si>
  <si>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</si>
  <si>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</si>
  <si>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</si>
  <si>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</si>
  <si>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</si>
  <si>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</si>
  <si>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</si>
  <si>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</si>
  <si>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</si>
  <si>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 xml:space="preserve">The amounts for each month on the remaining lines 14b to 14m are calculated by multiplying monthly Transmission Function Depreciation Reserve on Lines 14p to 14aa by </t>
  </si>
  <si>
    <t xml:space="preserve">2) Monthly amounts for Accounts 351.1, 351.2, and 351.3 are from SCE records.                                          </t>
  </si>
  <si>
    <t>2b)  In order to align with accounting changes pursuant to FERC Order 898 which went into effect on January 1, 2025, in calculating 2025 costs SCE will make an adjustment to the FF1</t>
  </si>
  <si>
    <t>4) From 6-PlantInService, Lines 93 to 104.</t>
  </si>
  <si>
    <t>8) Multiply the montly "Total Transmission Allocation Factors" ratios found in Lines 40-51 by the</t>
  </si>
  <si>
    <t>"Other Activity" on Line 54.</t>
  </si>
  <si>
    <t>Accumulated Deferred Income Taxes and Net (Excess)/Deficient Deferred Taxes</t>
  </si>
  <si>
    <t>1) Summary of Accumulated Deferred Income Taxes and Net (Excess)/Deficient Deferred Taxes</t>
  </si>
  <si>
    <t>a) End of Year Accumulated Deferred Income Taxes and Net (Excess)/Deficient Deferred Taxes</t>
  </si>
  <si>
    <t>Balance</t>
  </si>
  <si>
    <t>Account 190</t>
  </si>
  <si>
    <t>Account 282</t>
  </si>
  <si>
    <t>Account 283</t>
  </si>
  <si>
    <t>Net (Excess)/Deficient Deferred Tax Liability/Asset</t>
  </si>
  <si>
    <t xml:space="preserve">9-ADIT-2, Line 500, Column 11 </t>
  </si>
  <si>
    <t>Total Accumulated Deferred Income Taxes</t>
  </si>
  <si>
    <t>and Net (Excess)/Deficient Deferred Taxes</t>
  </si>
  <si>
    <t>b) Beginning of Year Accumulated Deferred Income Taxes and Net (Excess)/Deficient Deferred Taxes</t>
  </si>
  <si>
    <t>BOY</t>
  </si>
  <si>
    <t>c) Average of Beginning and End of Year Accumulated Deferred Income Taxes and Net (Excess)/Deficient Deferred Taxes</t>
  </si>
  <si>
    <t>Average</t>
  </si>
  <si>
    <t>BOY/EOY Average Balance:</t>
  </si>
  <si>
    <t>Average of Line 5 and Line 10</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</si>
  <si>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</si>
  <si>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</si>
  <si>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</si>
  <si>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</si>
  <si>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</si>
  <si>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</si>
  <si>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</si>
  <si>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</si>
  <si>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</si>
  <si>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</si>
  <si>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</si>
  <si>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</si>
  <si>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</si>
  <si>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</si>
  <si>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</si>
  <si>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Executive Incentive Comp</t>
  </si>
  <si>
    <t>Accrued Vacation</t>
  </si>
  <si>
    <t>Amortization of Debt Expense</t>
  </si>
  <si>
    <t>Pension &amp; PBOP</t>
  </si>
  <si>
    <t>Continuation of Account 190 Detail</t>
  </si>
  <si>
    <t>Labor Related</t>
  </si>
  <si>
    <t>Total Electric 190</t>
  </si>
  <si>
    <t>Account 190 Gas and Other Income:</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</si>
  <si>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</si>
  <si>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</si>
  <si>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</si>
  <si>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</si>
  <si>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</si>
  <si>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</si>
  <si>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</si>
  <si>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</si>
  <si>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</si>
  <si>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Total Account 282</t>
  </si>
  <si>
    <t>Total Account 282 ADIT</t>
  </si>
  <si>
    <t>FERC Form 1 Account 282</t>
  </si>
  <si>
    <t>FF1 275.5k</t>
  </si>
  <si>
    <t>4) Account 283 Detail</t>
  </si>
  <si>
    <t>ACCT 283</t>
  </si>
  <si>
    <t>Bond Discount Amort</t>
  </si>
  <si>
    <t>Health Care - IBNR</t>
  </si>
  <si>
    <t>Refunding &amp; Retirement of Debt</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</si>
  <si>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</si>
  <si>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</si>
  <si>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</si>
  <si>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</si>
  <si>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</si>
  <si>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</si>
  <si>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</si>
  <si>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</si>
  <si>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</si>
  <si>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</si>
  <si>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</si>
  <si>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</si>
  <si>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</si>
  <si>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</si>
  <si>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</si>
  <si>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</si>
  <si>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</si>
  <si>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</si>
  <si>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</si>
  <si>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</si>
  <si>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</si>
  <si>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</si>
  <si>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</si>
  <si>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</si>
  <si>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</si>
  <si>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</si>
  <si>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</si>
  <si>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</si>
  <si>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</si>
  <si>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</si>
  <si>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</si>
  <si>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</si>
  <si>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</si>
  <si>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</si>
  <si>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</si>
  <si>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</si>
  <si>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</si>
  <si>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(Excess)/Deficient Deferred Income Taxes - FERC Order 864 Worksheet</t>
  </si>
  <si>
    <t>(Col 1)</t>
  </si>
  <si>
    <t>(Col 2)</t>
  </si>
  <si>
    <t>(Col 3)</t>
  </si>
  <si>
    <t>(Col 4)</t>
  </si>
  <si>
    <t>(Col 5)</t>
  </si>
  <si>
    <t>(Col 6)</t>
  </si>
  <si>
    <t>(Col 7)</t>
  </si>
  <si>
    <t>(Col 8)</t>
  </si>
  <si>
    <t>(Col 9)</t>
  </si>
  <si>
    <t>(Col 10)</t>
  </si>
  <si>
    <t>(Col 11)</t>
  </si>
  <si>
    <t>Note 7</t>
  </si>
  <si>
    <t>SCE Records</t>
  </si>
  <si>
    <t xml:space="preserve"> = (C2) thru (C7)</t>
  </si>
  <si>
    <t>9-ADIT-3  (C8)</t>
  </si>
  <si>
    <t>= (C8) + (C9)</t>
  </si>
  <si>
    <t>Beginning Deficient ADIT - FERC Acct 182.3</t>
  </si>
  <si>
    <t xml:space="preserve">   Beginning (Excess) ADIT - FERC Acct 254</t>
  </si>
  <si>
    <t>Other Deficient ADIT Adjustments to FERC Acct 182.3</t>
  </si>
  <si>
    <t>Other (Excess) ADIT Adjustments to FERC Acct 254</t>
  </si>
  <si>
    <t>Amortization of Deficient ADIT to FERC Acct 410.1</t>
  </si>
  <si>
    <t>Amortization of (Excess) ADIT to FERC Acct 411.1</t>
  </si>
  <si>
    <r>
      <t>Net (Excess) Deficient ADIT  at Prior</t>
    </r>
    <r>
      <rPr>
        <b/>
        <strike/>
        <sz val="10"/>
        <rFont val="Arial"/>
        <family val="2"/>
      </rPr>
      <t xml:space="preserve"> </t>
    </r>
    <r>
      <rPr>
        <b/>
        <sz val="10"/>
        <rFont val="Arial"/>
        <family val="2"/>
      </rPr>
      <t>Tax Rate</t>
    </r>
  </si>
  <si>
    <t>Adjustment for New Tax Rate to FERC Acct 254/182.3</t>
  </si>
  <si>
    <t>Ending Deficient ADIT - FERC Acct 182.3</t>
  </si>
  <si>
    <t>Ending (Excess) ADIT - FERC Acct 254</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</si>
  <si>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</si>
  <si>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</si>
  <si>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</si>
  <si>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</si>
  <si>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</si>
  <si>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</si>
  <si>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</si>
  <si>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</si>
  <si>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</si>
  <si>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</si>
  <si>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</si>
  <si>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</si>
  <si>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</si>
  <si>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</si>
  <si>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</si>
  <si>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</si>
  <si>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</si>
  <si>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</si>
  <si>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</si>
  <si>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</si>
  <si>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</si>
  <si>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</si>
  <si>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</si>
  <si>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</si>
  <si>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Ins - Inj/Damages Prov</t>
  </si>
  <si>
    <t>PBOP 401H Amortization</t>
  </si>
  <si>
    <t>EMS</t>
  </si>
  <si>
    <t>Ad Valorem Lien Date Adj</t>
  </si>
  <si>
    <t>350</t>
  </si>
  <si>
    <t>Total Non-Property Related</t>
  </si>
  <si>
    <t>Grand Total   (= L 250 + L 350)</t>
  </si>
  <si>
    <t>Total Net Amounts</t>
  </si>
  <si>
    <t>Tax Gross-Up Percent (CTR/(1-CTR))</t>
  </si>
  <si>
    <t>Tax Gross-Up Amt (Line 400 x Line 600)</t>
  </si>
  <si>
    <t>(Note 8)</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</si>
  <si>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</si>
  <si>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</si>
  <si>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</si>
  <si>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</si>
  <si>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3) Amortization subject to SCE private letter ruling #202141001.</t>
  </si>
  <si>
    <t>4) Amortized into rates as follows (number of years of amortization, and beginning year of amortization).</t>
  </si>
  <si>
    <t>5) Add additional lines if necessary to support amounts (at Lines 6, 107, and 315, or more if necessary).</t>
  </si>
  <si>
    <t>FERC Form 1 Location:</t>
  </si>
  <si>
    <t xml:space="preserve">6) Reference - Line 400, Column 10: </t>
  </si>
  <si>
    <t>FERC Account 182.3</t>
  </si>
  <si>
    <t xml:space="preserve">    Reference - Line 601, Column 10: </t>
  </si>
  <si>
    <t xml:space="preserve">7) Reference - Line 400, Column 11: </t>
  </si>
  <si>
    <t>FERC Account 254</t>
  </si>
  <si>
    <t xml:space="preserve">    Reference - Line 601, Column 11: </t>
  </si>
  <si>
    <t>8) The tax gross-up amounts on Line 601 are excluded from rate base.</t>
  </si>
  <si>
    <t>(Excess)/Deficient Deferred Income Taxes - FERC Order 864 Worksheet -- Tax Rate Change</t>
  </si>
  <si>
    <t>New Tax Rate?</t>
  </si>
  <si>
    <t>No</t>
  </si>
  <si>
    <t>New Rate:</t>
  </si>
  <si>
    <t>New Tax Rate Adjustment Calculation</t>
  </si>
  <si>
    <t>(C3)xNew Rate</t>
  </si>
  <si>
    <t>= (C4) - (C5)</t>
  </si>
  <si>
    <t>9-ADIT-2  (C8)</t>
  </si>
  <si>
    <t>= (C6) - (C7)</t>
  </si>
  <si>
    <t>FERC Acct</t>
  </si>
  <si>
    <t>Accumulated Book-to-Tax Adjustments</t>
  </si>
  <si>
    <t>ADIT, (Excess) ADIT and Deficient ADIT at Prior Tax Rate</t>
  </si>
  <si>
    <t>ADIT Balance at New Tax Rate</t>
  </si>
  <si>
    <t>Net (Excess) Deficient ADIT at New Tax Rate</t>
  </si>
  <si>
    <t>Net (Excess) Deficient ADIT at Prior Tax Rate</t>
  </si>
  <si>
    <t>Adjustment for New Tax Rate to FERC Acct. 254/182.3</t>
  </si>
  <si>
    <t xml:space="preserve">Protected - Property Related </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</si>
  <si>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</si>
  <si>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</si>
  <si>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</si>
  <si>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</si>
  <si>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</si>
  <si>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</si>
  <si>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</si>
  <si>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1) Amounts in Columns 3 and 4 reflect the allocated portion of the company's total accumulated book-to-tax adjustments and related ADIT, (Excess) ADIT,</t>
  </si>
  <si>
    <t>and Deficient ADIT to property-related transmission costs based on the Plant Study performed consistent with Section 9 of Attachment 1 to Appendix IX,</t>
  </si>
  <si>
    <t>and to non-property related costs based on their respective Allocation Factors ("Transmission Wages and Salary Allocation Factor" and "Transmission Plant</t>
  </si>
  <si>
    <t xml:space="preserve">Allocation Factor") from Schedule 27 ("Allocations and Methodology") as reflected in 9-ADIT-1, Columns 5 and 6 and as described in Column 7 and Instructions 1 &amp; 2. </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</si>
  <si>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</si>
  <si>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</si>
  <si>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</si>
  <si>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</si>
  <si>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WP Schedule 10</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</si>
  <si>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</si>
  <si>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</si>
  <si>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</si>
  <si>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</si>
  <si>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</si>
  <si>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</si>
  <si>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</si>
  <si>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</si>
  <si>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</si>
  <si>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</si>
  <si>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</si>
  <si>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</si>
  <si>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</si>
  <si>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Col 15</t>
  </si>
  <si>
    <t xml:space="preserve">Colorado </t>
  </si>
  <si>
    <t>Whirlwind</t>
  </si>
  <si>
    <t>River</t>
  </si>
  <si>
    <t>ELM</t>
  </si>
  <si>
    <t>Expansion</t>
  </si>
  <si>
    <t>Mesa</t>
  </si>
  <si>
    <t>Alberhill</t>
  </si>
  <si>
    <t>Series Caps</t>
  </si>
  <si>
    <t>Riverside</t>
  </si>
  <si>
    <t>Del Amo-Mesa-Serrano</t>
  </si>
  <si>
    <t>Lugo-Victor-Kramer</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</si>
  <si>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</si>
  <si>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</si>
  <si>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</si>
  <si>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</si>
  <si>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</si>
  <si>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</si>
  <si>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</si>
  <si>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</si>
  <si>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</si>
  <si>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</si>
  <si>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</si>
  <si>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</si>
  <si>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</si>
  <si>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</si>
  <si>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</si>
  <si>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</si>
  <si>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</si>
  <si>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</si>
  <si>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WP Schedules 10 &amp; 16</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</si>
  <si>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</si>
  <si>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</si>
  <si>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</si>
  <si>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</si>
  <si>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</si>
  <si>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</si>
  <si>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</si>
  <si>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</si>
  <si>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</si>
  <si>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</si>
  <si>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</si>
  <si>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</si>
  <si>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</si>
  <si>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</si>
  <si>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</si>
  <si>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Unload</t>
  </si>
  <si>
    <t>3g) Project:</t>
  </si>
  <si>
    <t>Colorado River Substation Expansion</t>
  </si>
  <si>
    <t>3h) Project:</t>
  </si>
  <si>
    <t>3i) Project:</t>
  </si>
  <si>
    <t>3j) Project:</t>
  </si>
  <si>
    <t>ELM Series Caps</t>
  </si>
  <si>
    <t>3k) Project:</t>
  </si>
  <si>
    <t>3l) Project:</t>
  </si>
  <si>
    <t>3m) Project:</t>
  </si>
  <si>
    <t xml:space="preserve">Lugo-Victor-Kramer </t>
  </si>
  <si>
    <t>3n) Project:</t>
  </si>
  <si>
    <t>add additional projects below this line (See Instruction 3)</t>
  </si>
  <si>
    <t xml:space="preserve">1) Forecast Period is the calendar year two years after the Prior Year (i.e., PY+2).   </t>
  </si>
  <si>
    <t>2) Sum of project specific values from lines 55-79, 81-105, 107-131, 133-157, 159-183, 185-209, 211-235, 237-261, 263-287, 289-313, 315-339, 341-365, 367-391, …</t>
  </si>
  <si>
    <t>1) Enter recorded amounts of CWIP during Prior Year on Lines 1-13, 15-27 (including December of year previous to Prior Year).</t>
  </si>
  <si>
    <t>2) Enter forecast project specific values on lines 55-79, 81-105, 107-131, 133-157, 159-183, 185-209, 211-235, 237-261, 263-287, 289-313, 315-339, 341-365, 367-391, ...</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</si>
  <si>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</si>
  <si>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</si>
  <si>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</si>
  <si>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</si>
  <si>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</si>
  <si>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</si>
  <si>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</si>
  <si>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</si>
  <si>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</si>
  <si>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</si>
  <si>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</si>
  <si>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</si>
  <si>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2b</t>
  </si>
  <si>
    <t>2c</t>
  </si>
  <si>
    <t>2d</t>
  </si>
  <si>
    <t>2e</t>
  </si>
  <si>
    <t>2f</t>
  </si>
  <si>
    <t>2g</t>
  </si>
  <si>
    <t>2h</t>
  </si>
  <si>
    <t>Sum of above lines</t>
  </si>
  <si>
    <t>General Plant Held for Future Use</t>
  </si>
  <si>
    <t>FF1 page 214</t>
  </si>
  <si>
    <t>4a</t>
  </si>
  <si>
    <t>Enter FF1 Page 214 Line reference here when Line 4 is a non-zero amount:</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</si>
  <si>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</si>
  <si>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</si>
  <si>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</si>
  <si>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</si>
  <si>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</si>
  <si>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</si>
  <si>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</si>
  <si>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</si>
  <si>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</si>
  <si>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</si>
  <si>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</si>
  <si>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</si>
  <si>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</si>
  <si>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</si>
  <si>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</si>
  <si>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</si>
  <si>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</si>
  <si>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</si>
  <si>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</si>
  <si>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</si>
  <si>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</si>
  <si>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</si>
  <si>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</si>
  <si>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</si>
  <si>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</si>
  <si>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</si>
  <si>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</si>
  <si>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</si>
  <si>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</si>
  <si>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</si>
  <si>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</si>
  <si>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</si>
  <si>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</si>
  <si>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</si>
  <si>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</si>
  <si>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</si>
  <si>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</si>
  <si>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</si>
  <si>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</si>
  <si>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</si>
  <si>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</si>
  <si>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</si>
  <si>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</si>
  <si>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</si>
  <si>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</si>
  <si>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</si>
  <si>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</si>
  <si>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</si>
  <si>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</si>
  <si>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</si>
  <si>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</si>
  <si>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</si>
  <si>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</si>
  <si>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</si>
  <si>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</si>
  <si>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WP Schedule 13 Working Capital</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</si>
  <si>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</si>
  <si>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</si>
  <si>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</si>
  <si>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</si>
  <si>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</si>
  <si>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</si>
  <si>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</si>
  <si>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</si>
  <si>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</si>
  <si>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</si>
  <si>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</si>
  <si>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</si>
  <si>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</si>
  <si>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</si>
  <si>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</si>
  <si>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</si>
  <si>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</si>
  <si>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</si>
  <si>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</si>
  <si>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</si>
  <si>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</si>
  <si>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</si>
  <si>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</si>
  <si>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</si>
  <si>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</si>
  <si>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</si>
  <si>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</si>
  <si>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</si>
  <si>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</si>
  <si>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</si>
  <si>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</si>
  <si>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</si>
  <si>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WP Schedule 14 Incentive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</si>
  <si>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</si>
  <si>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</si>
  <si>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</si>
  <si>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</si>
  <si>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</si>
  <si>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</si>
  <si>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</si>
  <si>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</si>
  <si>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</si>
  <si>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</si>
  <si>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</si>
  <si>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</si>
  <si>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</si>
  <si>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</si>
  <si>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</si>
  <si>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</si>
  <si>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</si>
  <si>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</si>
  <si>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</si>
  <si>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</si>
  <si>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</si>
  <si>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</si>
  <si>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</si>
  <si>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</si>
  <si>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</si>
  <si>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</si>
  <si>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</si>
  <si>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</si>
  <si>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11) Riverside</t>
  </si>
  <si>
    <t>12) Del Amo-Mesa-Serrano</t>
  </si>
  <si>
    <t>13) Lugo-Victor-Kramer</t>
  </si>
  <si>
    <t>14) Future Incentive Project</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</si>
  <si>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</si>
  <si>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</si>
  <si>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</si>
  <si>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</si>
  <si>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</si>
  <si>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</si>
  <si>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</si>
  <si>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</si>
  <si>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</si>
  <si>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</si>
  <si>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</si>
  <si>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</si>
  <si>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</si>
  <si>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</si>
  <si>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</si>
  <si>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</si>
  <si>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</si>
  <si>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</si>
  <si>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</si>
  <si>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</si>
  <si>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</si>
  <si>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</si>
  <si>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</si>
  <si>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</si>
  <si>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</si>
  <si>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</si>
  <si>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</si>
  <si>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</si>
  <si>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</si>
  <si>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</si>
  <si>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</si>
  <si>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</si>
  <si>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</si>
  <si>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</si>
  <si>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</si>
  <si>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</si>
  <si>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</si>
  <si>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</si>
  <si>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</si>
  <si>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</si>
  <si>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</si>
  <si>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</si>
  <si>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</si>
  <si>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</si>
  <si>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</si>
  <si>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</si>
  <si>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i) Mesa</t>
  </si>
  <si>
    <t>j) Alberhill</t>
  </si>
  <si>
    <t>k) ELM Series Caps</t>
  </si>
  <si>
    <t xml:space="preserve">    </t>
  </si>
  <si>
    <t>l) Riverside</t>
  </si>
  <si>
    <t>m) Del Amo-Mesa-Serrano</t>
  </si>
  <si>
    <t>n) Lugo-Victor-Kramer</t>
  </si>
  <si>
    <t>o) Future Incentive Projects</t>
  </si>
  <si>
    <t>6) Summary of Incentive Projects and incentives granted</t>
  </si>
  <si>
    <t>A) Rancho Vista Incentives Received:</t>
  </si>
  <si>
    <t>Cite:</t>
  </si>
  <si>
    <t>CWIP:</t>
  </si>
  <si>
    <t>Yes</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</si>
  <si>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</si>
  <si>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</si>
  <si>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</si>
  <si>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</si>
  <si>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</si>
  <si>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</si>
  <si>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</si>
  <si>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</si>
  <si>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</si>
  <si>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</si>
  <si>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</si>
  <si>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</si>
  <si>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</si>
  <si>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</si>
  <si>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</si>
  <si>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</si>
  <si>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</si>
  <si>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</si>
  <si>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</si>
  <si>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</si>
  <si>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</si>
  <si>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</si>
  <si>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</si>
  <si>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</si>
  <si>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 Incentives Received:</t>
  </si>
  <si>
    <t>161 FERC ¶ 61,107 at P35</t>
  </si>
  <si>
    <t>K) Alberhill Incentives Received:</t>
  </si>
  <si>
    <t>161 FERC ¶ 61,107 at P 21</t>
  </si>
  <si>
    <t>L) ELM Series Caps Incentives Received:</t>
  </si>
  <si>
    <t>M) Riverside Incentives Received:</t>
  </si>
  <si>
    <t>172 FERC ¶ 61,241 at P 31</t>
  </si>
  <si>
    <t>172 FERC ¶ 61,241 at P 26</t>
  </si>
  <si>
    <t>N) Del Amo-Mesa-Serrano Incentives Received:</t>
  </si>
  <si>
    <t>187 FERC ¶ 61,205 at P33</t>
  </si>
  <si>
    <t>187 FERC ¶ 61,205 at P39</t>
  </si>
  <si>
    <t>O) Lugo-Victor-Kramer Incentives Received:</t>
  </si>
  <si>
    <t>P) Future Incentive Projects:</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</si>
  <si>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</si>
  <si>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</si>
  <si>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</si>
  <si>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</si>
  <si>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</si>
  <si>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</si>
  <si>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</si>
  <si>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</si>
  <si>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</si>
  <si>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</si>
  <si>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</si>
  <si>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</si>
  <si>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</si>
  <si>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</si>
  <si>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</si>
  <si>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</si>
  <si>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</si>
  <si>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</si>
  <si>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</si>
  <si>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</si>
  <si>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</si>
  <si>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</si>
  <si>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</si>
  <si>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</si>
  <si>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</si>
  <si>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</si>
  <si>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</si>
  <si>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</si>
  <si>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</si>
  <si>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</si>
  <si>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</si>
  <si>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</si>
  <si>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</si>
  <si>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</si>
  <si>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</si>
  <si>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</si>
  <si>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</si>
  <si>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</si>
  <si>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</si>
  <si>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</si>
  <si>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</si>
  <si>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</si>
  <si>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</si>
  <si>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</si>
  <si>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</si>
  <si>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</si>
  <si>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</si>
  <si>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</si>
  <si>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</si>
  <si>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</si>
  <si>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</si>
  <si>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</si>
  <si>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</si>
  <si>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</si>
  <si>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</si>
  <si>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</si>
  <si>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</si>
  <si>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</si>
  <si>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</si>
  <si>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</si>
  <si>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 xml:space="preserve">Cost of </t>
  </si>
  <si>
    <t>Eligible Plant</t>
  </si>
  <si>
    <t>Low Voltage</t>
  </si>
  <si>
    <t>Removal</t>
  </si>
  <si>
    <t>Additions</t>
  </si>
  <si>
    <t>Gross Plant</t>
  </si>
  <si>
    <t>Accrual</t>
  </si>
  <si>
    <t>2) Incentive Plant Forecast (See Note 1)</t>
  </si>
  <si>
    <t>C4 10-CWIP
L30-53</t>
  </si>
  <si>
    <t>C5 10-CWIP
L30-53</t>
  </si>
  <si>
    <t>C6 10-CWIP
L30-53</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</si>
  <si>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</si>
  <si>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</si>
  <si>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</si>
  <si>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</si>
  <si>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</si>
  <si>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</si>
  <si>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</si>
  <si>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</si>
  <si>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</si>
  <si>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</si>
  <si>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</si>
  <si>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</si>
  <si>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</si>
  <si>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</si>
  <si>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</si>
  <si>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</si>
  <si>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</si>
  <si>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</si>
  <si>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</si>
  <si>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</si>
  <si>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</si>
  <si>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</si>
  <si>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</si>
  <si>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</si>
  <si>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</si>
  <si>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</si>
  <si>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</si>
  <si>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</si>
  <si>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</si>
  <si>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</si>
  <si>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</si>
  <si>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</si>
  <si>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</si>
  <si>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</si>
  <si>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t>Total All</t>
  </si>
  <si>
    <t>Depreciation Rates (Percent per year)  See Instruction 1.</t>
  </si>
  <si>
    <t>17a</t>
  </si>
  <si>
    <t>17b</t>
  </si>
  <si>
    <t>17c</t>
  </si>
  <si>
    <t>17d</t>
  </si>
  <si>
    <t>17e</t>
  </si>
  <si>
    <t>17f</t>
  </si>
  <si>
    <t>17g</t>
  </si>
  <si>
    <t>17h</t>
  </si>
  <si>
    <t>17i</t>
  </si>
  <si>
    <t>17j</t>
  </si>
  <si>
    <t>17k</t>
  </si>
  <si>
    <t>17l</t>
  </si>
  <si>
    <t>17m</t>
  </si>
  <si>
    <t>17n</t>
  </si>
  <si>
    <t>17o</t>
  </si>
  <si>
    <t>17p</t>
  </si>
  <si>
    <t>17q</t>
  </si>
  <si>
    <t>17r</t>
  </si>
  <si>
    <t>17s</t>
  </si>
  <si>
    <t>17t</t>
  </si>
  <si>
    <t>17u</t>
  </si>
  <si>
    <t>17v</t>
  </si>
  <si>
    <t>17w</t>
  </si>
  <si>
    <t>17x</t>
  </si>
  <si>
    <t>17y</t>
  </si>
  <si>
    <t>17z</t>
  </si>
  <si>
    <t>17aa</t>
  </si>
  <si>
    <t>Monthly Depreciation Expense for Transmission Plant - ISO by FERC Account:</t>
  </si>
  <si>
    <t>See Note 1 and Instruction 1</t>
  </si>
  <si>
    <t>38b</t>
  </si>
  <si>
    <t>38c</t>
  </si>
  <si>
    <t>38d</t>
  </si>
  <si>
    <t>38e</t>
  </si>
  <si>
    <t>38f</t>
  </si>
  <si>
    <t>38g</t>
  </si>
  <si>
    <t>38h</t>
  </si>
  <si>
    <t>38i</t>
  </si>
  <si>
    <t>38j</t>
  </si>
  <si>
    <t>38k</t>
  </si>
  <si>
    <t>38l</t>
  </si>
  <si>
    <t>38m</t>
  </si>
  <si>
    <t>38n</t>
  </si>
  <si>
    <t>38o</t>
  </si>
  <si>
    <t>38p</t>
  </si>
  <si>
    <t>38q</t>
  </si>
  <si>
    <t>Total Annual Depreciation Expense for Transmission Plant - ISO:</t>
  </si>
  <si>
    <t>38r</t>
  </si>
  <si>
    <t>(equals sum of monthly amounts)</t>
  </si>
  <si>
    <t>38s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</si>
  <si>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</si>
  <si>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</si>
  <si>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</si>
  <si>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</si>
  <si>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</si>
  <si>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</si>
  <si>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</si>
  <si>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</si>
  <si>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</si>
  <si>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</si>
  <si>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</si>
  <si>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</si>
  <si>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</si>
  <si>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</si>
  <si>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</si>
  <si>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</si>
  <si>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</si>
  <si>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</si>
  <si>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</si>
  <si>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</si>
  <si>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</si>
  <si>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</si>
  <si>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</si>
  <si>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</si>
  <si>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</si>
  <si>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</si>
  <si>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</si>
  <si>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</si>
  <si>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</si>
  <si>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</si>
  <si>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</si>
  <si>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</si>
  <si>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</si>
  <si>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</si>
  <si>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Computer Hardware</t>
  </si>
  <si>
    <t>Computer Software 5yr</t>
  </si>
  <si>
    <t>Computer Software 7yr</t>
  </si>
  <si>
    <t>Computer Software 10yr</t>
  </si>
  <si>
    <t>Computer Software 15yr</t>
  </si>
  <si>
    <t>Communication Equipment</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</si>
  <si>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</si>
  <si>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</si>
  <si>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</si>
  <si>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</si>
  <si>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</si>
  <si>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</si>
  <si>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</si>
  <si>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</si>
  <si>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</si>
  <si>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</si>
  <si>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</si>
  <si>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</si>
  <si>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</si>
  <si>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</si>
  <si>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</si>
  <si>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</si>
  <si>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</si>
  <si>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</si>
  <si>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</si>
  <si>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</si>
  <si>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Five Year</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</si>
  <si>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</si>
  <si>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</si>
  <si>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</si>
  <si>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</si>
  <si>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</si>
  <si>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</si>
  <si>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</si>
  <si>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</si>
  <si>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</si>
  <si>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</si>
  <si>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37b</t>
  </si>
  <si>
    <t>37c</t>
  </si>
  <si>
    <t>37d</t>
  </si>
  <si>
    <t>37e</t>
  </si>
  <si>
    <t>37f</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</si>
  <si>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</si>
  <si>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</si>
  <si>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</si>
  <si>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</si>
  <si>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</si>
  <si>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</si>
  <si>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</si>
  <si>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</si>
  <si>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</si>
  <si>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</si>
  <si>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</si>
  <si>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</si>
  <si>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</si>
  <si>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</si>
  <si>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</si>
  <si>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WP Schedule 19 O&amp;M Cost Detail</t>
  </si>
  <si>
    <t>1) Determination of Adjusted Operations and Maintenance Expenses for each account (Note 1)</t>
  </si>
  <si>
    <t>Col 8a</t>
  </si>
  <si>
    <t>= C3 + C4</t>
  </si>
  <si>
    <t>= C7 + C8</t>
  </si>
  <si>
    <t>Schedule 35,</t>
  </si>
  <si>
    <t>= C10 + C11</t>
  </si>
  <si>
    <t>= C3 + C7</t>
  </si>
  <si>
    <t>= C4 + C8 + C8a</t>
  </si>
  <si>
    <t>Rows 5-36</t>
  </si>
  <si>
    <t>Account/Work Activity  Rev</t>
  </si>
  <si>
    <t>Total Recorded O&amp;M Expenses</t>
  </si>
  <si>
    <t>Adjustments</t>
  </si>
  <si>
    <t>Adjusted Recorded O&amp;M Expenses</t>
  </si>
  <si>
    <t>Non-Labor</t>
  </si>
  <si>
    <t>Reason</t>
  </si>
  <si>
    <t>O&amp;M Services (See Note 8)</t>
  </si>
  <si>
    <t>Transmission Accounts</t>
  </si>
  <si>
    <t>560 - Operations Supervision and Engineering - Allocated</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</si>
  <si>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</si>
  <si>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</si>
  <si>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</si>
  <si>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</si>
  <si>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</si>
  <si>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</si>
  <si>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</si>
  <si>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</si>
  <si>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</si>
  <si>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</si>
  <si>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</si>
  <si>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</si>
  <si>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</si>
  <si>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</si>
  <si>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</si>
  <si>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</si>
  <si>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</si>
  <si>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</si>
  <si>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</si>
  <si>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</si>
  <si>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</si>
  <si>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</si>
  <si>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</si>
  <si>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</si>
  <si>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</si>
  <si>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</si>
  <si>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</si>
  <si>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</si>
  <si>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</si>
  <si>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</si>
  <si>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</si>
  <si>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</si>
  <si>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</si>
  <si>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</si>
  <si>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</si>
  <si>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</si>
  <si>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</si>
  <si>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 C4 + C8</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</si>
  <si>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</si>
  <si>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</si>
  <si>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</si>
  <si>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</si>
  <si>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</si>
  <si>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</si>
  <si>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</si>
  <si>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</si>
  <si>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</si>
  <si>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</si>
  <si>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</si>
  <si>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</si>
  <si>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</si>
  <si>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</si>
  <si>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</si>
  <si>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</si>
  <si>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</si>
  <si>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</si>
  <si>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</si>
  <si>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</si>
  <si>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</si>
  <si>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</si>
  <si>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</si>
  <si>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</si>
  <si>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</si>
  <si>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</si>
  <si>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</si>
  <si>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</si>
  <si>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</si>
  <si>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</si>
  <si>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</si>
  <si>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</si>
  <si>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</si>
  <si>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</si>
  <si>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</si>
  <si>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</si>
  <si>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</si>
  <si>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</si>
  <si>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</si>
  <si>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</si>
  <si>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</si>
  <si>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</si>
  <si>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F: Excludes shareholder funded costs.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</si>
  <si>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</si>
  <si>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</si>
  <si>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</si>
  <si>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</si>
  <si>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</si>
  <si>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</si>
  <si>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</si>
  <si>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</si>
  <si>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</si>
  <si>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</si>
  <si>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</si>
  <si>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 xml:space="preserve">8) Each O&amp;M Account contributing to the calculation of "Total ISO O&amp;M Expense" (Line 91, Column 6) may include revenue associated with a </t>
  </si>
  <si>
    <t>Commission-approved O&amp;M Services Formula assessing other entities for O&amp;M Services provided by SCE.  See Schedule 35, Notes 1-3.</t>
  </si>
  <si>
    <t>All O&amp;M Services Formula Revenue is "non-labor", and entered in Column 8a, Lines 1-32.</t>
  </si>
  <si>
    <t>WP Schedule 20 A&amp;G</t>
  </si>
  <si>
    <t>Col 3a</t>
  </si>
  <si>
    <t>= (C1 - C3) + C3a</t>
  </si>
  <si>
    <t>FERC Form 1</t>
  </si>
  <si>
    <t>Total Amount</t>
  </si>
  <si>
    <t>Other Formula</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</si>
  <si>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</si>
  <si>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</si>
  <si>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</si>
  <si>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</si>
  <si>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</si>
  <si>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</si>
  <si>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</si>
  <si>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</si>
  <si>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</si>
  <si>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</si>
  <si>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</si>
  <si>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</si>
  <si>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</si>
  <si>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</si>
  <si>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</si>
  <si>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</si>
  <si>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</si>
  <si>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</si>
  <si>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</si>
  <si>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 (C1 - C3), See also Note 5</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</si>
  <si>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</si>
  <si>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</si>
  <si>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</si>
  <si>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</si>
  <si>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</si>
  <si>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</si>
  <si>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</si>
  <si>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</si>
  <si>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</si>
  <si>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</si>
  <si>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</si>
  <si>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</si>
  <si>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Maintenance of Computer Hardware</t>
  </si>
  <si>
    <t>FF1 323.196.1b</t>
  </si>
  <si>
    <t>Maintenance of Computer Software</t>
  </si>
  <si>
    <t>FF1 323.196.2b</t>
  </si>
  <si>
    <t>Maintenance of Communication Equipment</t>
  </si>
  <si>
    <t>FF1 323.196.3b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</si>
  <si>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</si>
  <si>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</si>
  <si>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</si>
  <si>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</si>
  <si>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</si>
  <si>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</si>
  <si>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</si>
  <si>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</si>
  <si>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</si>
  <si>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</si>
  <si>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Shareholder</t>
  </si>
  <si>
    <t>Exclusions</t>
  </si>
  <si>
    <t>Total Amount Excluded</t>
  </si>
  <si>
    <t>or Other</t>
  </si>
  <si>
    <t>Franchise</t>
  </si>
  <si>
    <t>(Sum of Col 1 to Col 4)</t>
  </si>
  <si>
    <t>Requirements</t>
  </si>
  <si>
    <t>NOIC</t>
  </si>
  <si>
    <t>PBOPs</t>
  </si>
  <si>
    <t>See Instructions 2b, 3, and Note 2</t>
  </si>
  <si>
    <t>See Instruction 6</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</si>
  <si>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</si>
  <si>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</si>
  <si>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</si>
  <si>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</si>
  <si>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</si>
  <si>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</si>
  <si>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</si>
  <si>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</si>
  <si>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</si>
  <si>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</si>
  <si>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</si>
  <si>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</si>
  <si>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</si>
  <si>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</si>
  <si>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</si>
  <si>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</si>
  <si>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</si>
  <si>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</si>
  <si>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</si>
  <si>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</si>
  <si>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Note 5:</t>
  </si>
  <si>
    <t>O&amp;M Services Formula Revenue is added in Column 3a pursuant to Schedule 35, Note 2.  Column 3 amounts are from</t>
  </si>
  <si>
    <t>Schedule 35, Lines 38-52, Column 4.  Franchise Fees are separately recovered through Line 43 of Schedule 4, and therefore</t>
  </si>
  <si>
    <t>the amount of O&amp;M Services Formula revenue associated with Franchise Fees (Line 8, Col. 3a) is not included in Column 4.</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</si>
  <si>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</si>
  <si>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</si>
  <si>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</si>
  <si>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</si>
  <si>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</si>
  <si>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</si>
  <si>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</si>
  <si>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</si>
  <si>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</si>
  <si>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</si>
  <si>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</si>
  <si>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</si>
  <si>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</si>
  <si>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</si>
  <si>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</si>
  <si>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</si>
  <si>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</si>
  <si>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</si>
  <si>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</si>
  <si>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</si>
  <si>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</si>
  <si>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</si>
  <si>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</si>
  <si>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5) SCE shall make no adjustments to recorded labor amounts related to non-labor labor and/or Indirect labor in Schedule 20.</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</si>
  <si>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</si>
  <si>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</si>
  <si>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</si>
  <si>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</si>
  <si>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</si>
  <si>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</si>
  <si>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</si>
  <si>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</si>
  <si>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</si>
  <si>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</si>
  <si>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</si>
  <si>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</si>
  <si>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</si>
  <si>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</si>
  <si>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</si>
  <si>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</si>
  <si>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</si>
  <si>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</si>
  <si>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</si>
  <si>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</si>
  <si>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</si>
  <si>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</si>
  <si>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</si>
  <si>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</si>
  <si>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</si>
  <si>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Late Payment Charge- Comm. &amp; Ind.</t>
  </si>
  <si>
    <t>1b</t>
  </si>
  <si>
    <t>Residential Late Payment</t>
  </si>
  <si>
    <t>450 Total</t>
  </si>
  <si>
    <t>FF-1 Total for Acct 450 - Forfeited Discounts, p300.16b (Must Equal Line 2)
(Must Equal Line X)</t>
  </si>
  <si>
    <t>Recover Unauthorized Use/Non-Energy</t>
  </si>
  <si>
    <t>4b</t>
  </si>
  <si>
    <t>Miscellaneous Service Revenue - Ownership Cost</t>
  </si>
  <si>
    <t>4c</t>
  </si>
  <si>
    <t>Miscellaneous Service Revenues</t>
  </si>
  <si>
    <t>4d</t>
  </si>
  <si>
    <t>Returned Check Charges</t>
  </si>
  <si>
    <t>4e</t>
  </si>
  <si>
    <t>Service Reconnection Charges</t>
  </si>
  <si>
    <t>4f</t>
  </si>
  <si>
    <t>Service Establishment Charge</t>
  </si>
  <si>
    <t>4g</t>
  </si>
  <si>
    <t>Field Collection Charges</t>
  </si>
  <si>
    <t>4h</t>
  </si>
  <si>
    <t>Quickcheck Revenue</t>
  </si>
  <si>
    <t>P</t>
  </si>
  <si>
    <t>4i</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</si>
  <si>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</si>
  <si>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</si>
  <si>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</si>
  <si>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</si>
  <si>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</si>
  <si>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</si>
  <si>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</si>
  <si>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</si>
  <si>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</si>
  <si>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</si>
  <si>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</si>
  <si>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</si>
  <si>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</si>
  <si>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</si>
  <si>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</si>
  <si>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</si>
  <si>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</si>
  <si>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</si>
  <si>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NEM 2.0</t>
  </si>
  <si>
    <t>4s</t>
  </si>
  <si>
    <t>AR Service Guarantee</t>
  </si>
  <si>
    <t>4t</t>
  </si>
  <si>
    <t>Rule 21 Fast Track Application Fee</t>
  </si>
  <si>
    <t>4u</t>
  </si>
  <si>
    <t>WDAT Pre Application Fee</t>
  </si>
  <si>
    <t>4v</t>
  </si>
  <si>
    <t>Rule 21 Pre Application Fee</t>
  </si>
  <si>
    <t>4w</t>
  </si>
  <si>
    <t>WDAT Fast Track Application Fee</t>
  </si>
  <si>
    <t>4x</t>
  </si>
  <si>
    <t>Rule 21 Supplemental Review Fee</t>
  </si>
  <si>
    <t>4y</t>
  </si>
  <si>
    <t>Short Circuit Duty - Arc Flash</t>
  </si>
  <si>
    <t>4z</t>
  </si>
  <si>
    <t>Electrical Capacity Assessment</t>
  </si>
  <si>
    <t>4aa</t>
  </si>
  <si>
    <t>Wiretech- NON-AMI</t>
  </si>
  <si>
    <t>4bb</t>
  </si>
  <si>
    <t>RES-BCT Set-up Fee</t>
  </si>
  <si>
    <t>4cc</t>
  </si>
  <si>
    <t>CSOD - NEMA SetUp-CS</t>
  </si>
  <si>
    <t>4dd</t>
  </si>
  <si>
    <t>4ee</t>
  </si>
  <si>
    <t>NEMABACMA - NEM AGG Set-up Auto</t>
  </si>
  <si>
    <t>4ff</t>
  </si>
  <si>
    <t>Resource Interconnection Procedures App Fee</t>
  </si>
  <si>
    <t>451 Total</t>
  </si>
  <si>
    <t>FF-1 Total for Acct 451 - Misc. Service Revenues, p300.17b 
(Must Equal Line 5)</t>
  </si>
  <si>
    <t>7a</t>
  </si>
  <si>
    <t>APS Palo Verde Water Sales</t>
  </si>
  <si>
    <t>7b</t>
  </si>
  <si>
    <t>Sales of Water &amp; Water Power - San Joaquin</t>
  </si>
  <si>
    <t>7c</t>
  </si>
  <si>
    <t>Sales of Water &amp; Water Power - Headwater</t>
  </si>
  <si>
    <t>453 Total</t>
  </si>
  <si>
    <t>FF-1 Total for Acct 453 - Sales of Water and Power, p300.18b
(Must Equal Line 8)</t>
  </si>
  <si>
    <t>10a</t>
  </si>
  <si>
    <t>Joint Pole - Tariffed Conduit Rental</t>
  </si>
  <si>
    <t>10b</t>
  </si>
  <si>
    <t>Joint Pole - Tariffed Pole Rental - Cable Cos.</t>
  </si>
  <si>
    <t>10c</t>
  </si>
  <si>
    <t>Joint Pole - Tariffed Process &amp; Eng Fees - Cable</t>
  </si>
  <si>
    <t>10d</t>
  </si>
  <si>
    <t>Joint Pole - Aud - Unauth Penalty</t>
  </si>
  <si>
    <t>10e</t>
  </si>
  <si>
    <t>Joint Pole - Non-Tariffed Pole Rental</t>
  </si>
  <si>
    <t>10f</t>
  </si>
  <si>
    <t>Joint Pole - Non-Tariff Process &amp; Engineering Fees</t>
  </si>
  <si>
    <t>10g</t>
  </si>
  <si>
    <t>Joint Pole - Non-Tariff Requests for Information</t>
  </si>
  <si>
    <t>10h</t>
  </si>
  <si>
    <t>Oil And Gas Royalties</t>
  </si>
  <si>
    <t>10i</t>
  </si>
  <si>
    <t>Def Operating Land &amp; Facilities Rent Rev</t>
  </si>
  <si>
    <t>10j</t>
  </si>
  <si>
    <t>Facility Cost -EIX/Nonutility</t>
  </si>
  <si>
    <t>6, 12</t>
  </si>
  <si>
    <t>10k</t>
  </si>
  <si>
    <t>Facility Cost- Utility</t>
  </si>
  <si>
    <t>10l</t>
  </si>
  <si>
    <t>Rent Billed to Non-Utility Affiliates</t>
  </si>
  <si>
    <t>10m</t>
  </si>
  <si>
    <t>Rent Billed to Utility Affiliates</t>
  </si>
  <si>
    <t>10n</t>
  </si>
  <si>
    <t>Meter Leasing Revenue</t>
  </si>
  <si>
    <t>10o</t>
  </si>
  <si>
    <t>Company Financed Added Facilities</t>
  </si>
  <si>
    <t>10p</t>
  </si>
  <si>
    <t>Company Financed Interconnect Facilities</t>
  </si>
  <si>
    <t>10q</t>
  </si>
  <si>
    <t>SCE Financed Added Faclty</t>
  </si>
  <si>
    <t>10r</t>
  </si>
  <si>
    <t>Interconnect Facility Finance Charge</t>
  </si>
  <si>
    <t>10s</t>
  </si>
  <si>
    <t>Operating Land &amp; Facilities Rent Revenue</t>
  </si>
  <si>
    <t>10t</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</si>
  <si>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</si>
  <si>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</si>
  <si>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</si>
  <si>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</si>
  <si>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</si>
  <si>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</si>
  <si>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</si>
  <si>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</si>
  <si>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</si>
  <si>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</si>
  <si>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</si>
  <si>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</si>
  <si>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</si>
  <si>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</si>
  <si>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</si>
  <si>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</si>
  <si>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Joint Pole - Tarriffed - PA Inspect</t>
  </si>
  <si>
    <t>10cc</t>
  </si>
  <si>
    <t>Joint Pole - Non-Tarriff PA Inspect</t>
  </si>
  <si>
    <t>10dd</t>
  </si>
  <si>
    <t>Non-606 Def Operating Land &amp; Fac Rent Rev-Pass</t>
  </si>
  <si>
    <t>10ee</t>
  </si>
  <si>
    <t>Nonoperating Land &amp; Facilities Rent Expense</t>
  </si>
  <si>
    <t>10ff</t>
  </si>
  <si>
    <t>Operating Land &amp; Facilities Rent Expense</t>
  </si>
  <si>
    <t>454 Total</t>
  </si>
  <si>
    <t>FF-1 Total for Acct 454 - Rent from Elec. Property, p300.19b
(Must Equal Line 11)</t>
  </si>
  <si>
    <t>12a</t>
  </si>
  <si>
    <t>Energy Related Services</t>
  </si>
  <si>
    <t>12b</t>
  </si>
  <si>
    <t>Distribution Miscellaneous Electric Revenues</t>
  </si>
  <si>
    <t>12c</t>
  </si>
  <si>
    <t>Added Facilities - One Time Charge</t>
  </si>
  <si>
    <t>12d</t>
  </si>
  <si>
    <t>Building Rental - Nev Power/Mohave Cr</t>
  </si>
  <si>
    <t>12e</t>
  </si>
  <si>
    <t>Service Fee - Optimal Bill Prd</t>
  </si>
  <si>
    <t>12f</t>
  </si>
  <si>
    <t>Miscellaneous Revenues</t>
  </si>
  <si>
    <t>12g</t>
  </si>
  <si>
    <t>Tule Power Plant - Revenue</t>
  </si>
  <si>
    <t>12h</t>
  </si>
  <si>
    <t>Microwave Agreement</t>
  </si>
  <si>
    <t>12i</t>
  </si>
  <si>
    <t>Utility Subs Labor Markup</t>
  </si>
  <si>
    <t>12j</t>
  </si>
  <si>
    <t>Non Utility Subs Labor Markup</t>
  </si>
  <si>
    <t>12k</t>
  </si>
  <si>
    <t>Reliant Eng FSA Ann Pymnt-Mandalay</t>
  </si>
  <si>
    <t>12l</t>
  </si>
  <si>
    <t>Reliant Eng FSA Ann Pymnt-Ormond Beach</t>
  </si>
  <si>
    <t>12m</t>
  </si>
  <si>
    <t>Reliant Eng FSA Ann Pymnt-Etiwanda</t>
  </si>
  <si>
    <t>12n</t>
  </si>
  <si>
    <t>Reliant Eng FSA Ann Pymnt-Ellwood</t>
  </si>
  <si>
    <t>12o</t>
  </si>
  <si>
    <t>Reliant Eng FSA Ann Pymnt-Coolwater</t>
  </si>
  <si>
    <t>12p</t>
  </si>
  <si>
    <t>Property License Fee revenue</t>
  </si>
  <si>
    <t>12q</t>
  </si>
  <si>
    <t>Revenue From Recreation, Fish &amp; Wildlife</t>
  </si>
  <si>
    <t>12r</t>
  </si>
  <si>
    <t>Mapping Services</t>
  </si>
  <si>
    <t>12s</t>
  </si>
  <si>
    <t>Enhanced Pump Test Revenue</t>
  </si>
  <si>
    <t>12t</t>
  </si>
  <si>
    <t>Revenue From Scrap Paper - General Office</t>
  </si>
  <si>
    <t>12u</t>
  </si>
  <si>
    <t>CTAC Revenues</t>
  </si>
  <si>
    <t>12v</t>
  </si>
  <si>
    <t>AGTAC Revenues</t>
  </si>
  <si>
    <t>12w</t>
  </si>
  <si>
    <t>ADT Vendor Service Revenue</t>
  </si>
  <si>
    <t>12xx</t>
  </si>
  <si>
    <t>Read Water Meters - Irvine Ranch</t>
  </si>
  <si>
    <t>12yy</t>
  </si>
  <si>
    <t>Read Water Meters - Rancho California</t>
  </si>
  <si>
    <t>12zz</t>
  </si>
  <si>
    <t>Read Water Meters - Long Beach</t>
  </si>
  <si>
    <t>12aa</t>
  </si>
  <si>
    <t>SSID Transformer Repair Services Revenue</t>
  </si>
  <si>
    <t>12bb</t>
  </si>
  <si>
    <t>Employee Transfer/Affiliate Fee</t>
  </si>
  <si>
    <t>12cc</t>
  </si>
  <si>
    <t>ITCC/CIAC Revenues</t>
  </si>
  <si>
    <t>12dd</t>
  </si>
  <si>
    <t>Revenue From Decommission Trust Fund</t>
  </si>
  <si>
    <t>12ee</t>
  </si>
  <si>
    <t>Revenue From Decommissioning Trust FAS115</t>
  </si>
  <si>
    <t>12ff</t>
  </si>
  <si>
    <t>Offset to Revenue from NDT Earnings/Realized</t>
  </si>
  <si>
    <t>12gg</t>
  </si>
  <si>
    <t>Offset to Revenue from FAS 115 FMV</t>
  </si>
  <si>
    <t>12hh</t>
  </si>
  <si>
    <t>Revenue From Decommissioning Trust FAS115-1</t>
  </si>
  <si>
    <t>12ii</t>
  </si>
  <si>
    <t>Offset to Revenue from FAS 115-1 Gains &amp; Loss</t>
  </si>
  <si>
    <t>12jj</t>
  </si>
  <si>
    <t>Power Supply Installations - IMS</t>
  </si>
  <si>
    <t>12kk</t>
  </si>
  <si>
    <t>Consulting Fees - IMS</t>
  </si>
  <si>
    <t>12ll</t>
  </si>
  <si>
    <t>DA Revenue</t>
  </si>
  <si>
    <t>12mm</t>
  </si>
  <si>
    <t>EDBL Customer Finance Added Facilities</t>
  </si>
  <si>
    <t>12nn</t>
  </si>
  <si>
    <t>SCE Energy Manager Fee Based Services</t>
  </si>
  <si>
    <t>12oo</t>
  </si>
  <si>
    <t>SCE Energy Manager Fee Based Services Adj</t>
  </si>
  <si>
    <t>12pp</t>
  </si>
  <si>
    <t>Off Grid Photo Voltaic Revenues</t>
  </si>
  <si>
    <t>12qq</t>
  </si>
  <si>
    <t>Scheduling/Dispatch Revenues</t>
  </si>
  <si>
    <t>12rr</t>
  </si>
  <si>
    <t>Interconnect Facilities Charges-Customer Financed</t>
  </si>
  <si>
    <t>12ss</t>
  </si>
  <si>
    <t>Interconnect Facilities Charges - SCE Financed</t>
  </si>
  <si>
    <t>12tt</t>
  </si>
  <si>
    <t>DMS Service Fees</t>
  </si>
  <si>
    <t>12uu</t>
  </si>
  <si>
    <t>CCA - Information Fees</t>
  </si>
  <si>
    <t>12vv</t>
  </si>
  <si>
    <t>12ww</t>
  </si>
  <si>
    <t>Grant Amortization</t>
  </si>
  <si>
    <t>GHG Allowance Revenue</t>
  </si>
  <si>
    <t>Intercon One Time</t>
  </si>
  <si>
    <t>EV Charging Revenue</t>
  </si>
  <si>
    <t>12aaa</t>
  </si>
  <si>
    <t>Energy Reltd Srv-TSP</t>
  </si>
  <si>
    <t>12bbb</t>
  </si>
  <si>
    <t>N/U Labor Mrkp-BRRBA</t>
  </si>
  <si>
    <t>12ccc</t>
  </si>
  <si>
    <t>LCFS CR 411.8</t>
  </si>
  <si>
    <t>12ddd</t>
  </si>
  <si>
    <t>Miscellaneous Revenues - ISO</t>
  </si>
  <si>
    <t>12eee</t>
  </si>
  <si>
    <t>Power Quality C&amp;I Customer Program</t>
  </si>
  <si>
    <t>12fff</t>
  </si>
  <si>
    <t>Gas Sales - ERRA</t>
  </si>
  <si>
    <t>12ggg</t>
  </si>
  <si>
    <t>Miscellaneous Electric Revenue - ERRA</t>
  </si>
  <si>
    <t>12hhh</t>
  </si>
  <si>
    <t>PUCRF Rate Adjustment - Electric</t>
  </si>
  <si>
    <t>12iii</t>
  </si>
  <si>
    <t>Utility Earnings - Mono Power Co</t>
  </si>
  <si>
    <t>12jjj</t>
  </si>
  <si>
    <t>Energy Reltd Srvcs-Tehachapi Storage Project (TSP)</t>
  </si>
  <si>
    <t>12kkk</t>
  </si>
  <si>
    <t>Misc Electric Rev</t>
  </si>
  <si>
    <t>6,1</t>
  </si>
  <si>
    <t>12lll</t>
  </si>
  <si>
    <t>IC Serving&amp;Admin Rev</t>
  </si>
  <si>
    <t>12mmm</t>
  </si>
  <si>
    <t>SCEFinc Add Fac-FERC</t>
  </si>
  <si>
    <t>12nnn</t>
  </si>
  <si>
    <t>CusFinc IC Fac-FERC</t>
  </si>
  <si>
    <t>12ooo</t>
  </si>
  <si>
    <t>CusFinc IC Fac-CPUC</t>
  </si>
  <si>
    <t>12ppp</t>
  </si>
  <si>
    <t>SCEFinc IC Fac-FERC</t>
  </si>
  <si>
    <t>12qqq</t>
  </si>
  <si>
    <t>OOR 606 State Funded</t>
  </si>
  <si>
    <t>12rrr</t>
  </si>
  <si>
    <t>ERRA Gas Storage Sales</t>
  </si>
  <si>
    <t>456 Total</t>
  </si>
  <si>
    <t>FF-1 Total for Acct 456 - Other electric Revenues, p300.21b
(Must Equal Line 13)</t>
  </si>
  <si>
    <t>15a</t>
  </si>
  <si>
    <t>Trans of Elec of Others - Pasadena</t>
  </si>
  <si>
    <t>15b</t>
  </si>
  <si>
    <t>FTS PPU/Non-ISO</t>
  </si>
  <si>
    <t>15c</t>
  </si>
  <si>
    <t>FTS Non-PPU/Non-ISO</t>
  </si>
  <si>
    <t>15d</t>
  </si>
  <si>
    <t>ISO-Wheeling Revenue - Low Voltage</t>
  </si>
  <si>
    <t>15e</t>
  </si>
  <si>
    <t>ISO-Wheeling Revenue - High Voltage</t>
  </si>
  <si>
    <t>15f</t>
  </si>
  <si>
    <t>ISO-Congestion Revenue</t>
  </si>
  <si>
    <t>15g</t>
  </si>
  <si>
    <t>Transmission of Elec of Others</t>
  </si>
  <si>
    <t>15h</t>
  </si>
  <si>
    <t>WDAT</t>
  </si>
  <si>
    <t>15i</t>
  </si>
  <si>
    <t>Radial Line Rev-Base Cost - Reliant Coolwater</t>
  </si>
  <si>
    <t>15j</t>
  </si>
  <si>
    <t>Radial Line Rev-Base Cost - Reliant Ormond Beach</t>
  </si>
  <si>
    <t>15k</t>
  </si>
  <si>
    <t>Radial Line Rev-O&amp;M - AES Huntington Beach</t>
  </si>
  <si>
    <t>15l</t>
  </si>
  <si>
    <t>Radial Line Rev-O&amp;M - Reliant Mandalay</t>
  </si>
  <si>
    <t>15m</t>
  </si>
  <si>
    <t>Radial Line Rev-O&amp;M - Reliant Coolwater</t>
  </si>
  <si>
    <t>15n</t>
  </si>
  <si>
    <t>Radial Line Rev-O&amp;M - Ormond Beach</t>
  </si>
  <si>
    <t>15o</t>
  </si>
  <si>
    <t>High Desert Tie-Line Rental Rev</t>
  </si>
  <si>
    <t>15p</t>
  </si>
  <si>
    <t>Inland Empire CRT Tie-Line EX</t>
  </si>
  <si>
    <t>15q</t>
  </si>
  <si>
    <t>Reliability Service Revenue - Non-PTO's</t>
  </si>
  <si>
    <t>15r</t>
  </si>
  <si>
    <t>Radial Line Agreement-Base-Mojave Solr</t>
  </si>
  <si>
    <t>15s</t>
  </si>
  <si>
    <t>Radial Line Agreement-O&amp;M-Mojave Solr</t>
  </si>
  <si>
    <t>15t</t>
  </si>
  <si>
    <t>ISO Non-Refundable Interconnection Deposit</t>
  </si>
  <si>
    <t>15u</t>
  </si>
  <si>
    <t>RSR - Non-PTO's - RSBA</t>
  </si>
  <si>
    <t>15v</t>
  </si>
  <si>
    <t>Transmission Sales - ERRA</t>
  </si>
  <si>
    <t>15w</t>
  </si>
  <si>
    <t>Transmission Sales - PABA</t>
  </si>
  <si>
    <t>15x</t>
  </si>
  <si>
    <t>RSR - Etc  - Non-PTO</t>
  </si>
  <si>
    <t>15y</t>
  </si>
  <si>
    <t>Radial Line Rev-O&amp;M - Dagget SP2</t>
  </si>
  <si>
    <t>15z</t>
  </si>
  <si>
    <t>Radial Line Rev-O&amp;M - Dagget SP3</t>
  </si>
  <si>
    <t>456.1 Total</t>
  </si>
  <si>
    <t>FF-1 Total for Account 456.1 - Revenues from Trans. Of Electricity of Others, p300.22b (Must Equal Line 16)</t>
  </si>
  <si>
    <t>457.1 Total</t>
  </si>
  <si>
    <t>FF-1 Total for Account 457.1 - Regional Control Service Revenues, p300.23b (Must Equal Line 19)</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</si>
  <si>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</si>
  <si>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</si>
  <si>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</si>
  <si>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</si>
  <si>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</si>
  <si>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</si>
  <si>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</si>
  <si>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</si>
  <si>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</si>
  <si>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</si>
  <si>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</si>
  <si>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</si>
  <si>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</si>
  <si>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</si>
  <si>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</si>
  <si>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</si>
  <si>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</si>
  <si>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</si>
  <si>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</si>
  <si>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</si>
  <si>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</si>
  <si>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</si>
  <si>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</si>
  <si>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</si>
  <si>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</si>
  <si>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</si>
  <si>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</si>
  <si>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</si>
  <si>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</si>
  <si>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</si>
  <si>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</si>
  <si>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</si>
  <si>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</si>
  <si>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</si>
  <si>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</si>
  <si>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</si>
  <si>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</si>
  <si>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</si>
  <si>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</si>
  <si>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</si>
  <si>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</si>
  <si>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</si>
  <si>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</si>
  <si>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</si>
  <si>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</si>
  <si>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</si>
  <si>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</si>
  <si>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</si>
  <si>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</si>
  <si>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</si>
  <si>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</si>
  <si>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</si>
  <si>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</si>
  <si>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</si>
  <si>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417 ECS Total</t>
  </si>
  <si>
    <t>417 Other</t>
  </si>
  <si>
    <t>FF-1 Total for Account 417 - Revenues From Nonutility Operations  p117.33c (Must Equal Line 25 + 26)</t>
  </si>
  <si>
    <t>Subsidiaries</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</si>
  <si>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</si>
  <si>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</si>
  <si>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</si>
  <si>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</si>
  <si>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</si>
  <si>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</si>
  <si>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</si>
  <si>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</si>
  <si>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</si>
  <si>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</si>
  <si>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</si>
  <si>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</si>
  <si>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</si>
  <si>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</si>
  <si>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</si>
  <si>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O&amp;M Services Revenue</t>
  </si>
  <si>
    <t>O&amp;M Services Formula Revenue (Schedule 35, Line 69)</t>
  </si>
  <si>
    <t>31b</t>
  </si>
  <si>
    <t>412 O&amp;M Services Revenue Total</t>
  </si>
  <si>
    <t>31c</t>
  </si>
  <si>
    <t>412 Other</t>
  </si>
  <si>
    <t>31d</t>
  </si>
  <si>
    <t>FF-1 Total for Acct 412, FF1 115 Col. K (Must Equal Line 31b + 31c)</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</si>
  <si>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</si>
  <si>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</si>
  <si>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</si>
  <si>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</si>
  <si>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</si>
  <si>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</si>
  <si>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</si>
  <si>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</si>
  <si>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</si>
  <si>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</si>
  <si>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</si>
  <si>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</si>
  <si>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</si>
  <si>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</si>
  <si>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</si>
  <si>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</si>
  <si>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</si>
  <si>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</si>
  <si>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</si>
  <si>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</si>
  <si>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</si>
  <si>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</si>
  <si>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</si>
  <si>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</si>
  <si>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</si>
  <si>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</si>
  <si>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</si>
  <si>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</si>
  <si>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</si>
  <si>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</si>
  <si>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</si>
  <si>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</si>
  <si>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</si>
  <si>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</si>
  <si>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</si>
  <si>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</si>
  <si>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</si>
  <si>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</si>
  <si>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</si>
  <si>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</si>
  <si>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</si>
  <si>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</si>
  <si>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</si>
  <si>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</si>
  <si>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</si>
  <si>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</si>
  <si>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</si>
  <si>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</si>
  <si>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</si>
  <si>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</si>
  <si>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</si>
  <si>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</si>
  <si>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</si>
  <si>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</si>
  <si>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</si>
  <si>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</si>
  <si>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</si>
  <si>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18-</t>
  </si>
  <si>
    <t xml:space="preserve">Includes all O&amp;M Services Formula Revenue included in Account 412, as set forth on Schedule 35, Line 69, Column 4.  </t>
  </si>
  <si>
    <t>All O&amp;M Services Formula revenue is credited to ISO through Line 84a of Schedule 1 and Line 45a of Schedule 4-TUTRR.</t>
  </si>
  <si>
    <t>NETWORK UPGRADE CREDIT AND INTEREST EXPENSE</t>
  </si>
  <si>
    <t xml:space="preserve">WP Schedule 22 </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</si>
  <si>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</si>
  <si>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</si>
  <si>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</si>
  <si>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</si>
  <si>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</si>
  <si>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</si>
  <si>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</si>
  <si>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</si>
  <si>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</si>
  <si>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</si>
  <si>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</si>
  <si>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</si>
  <si>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</si>
  <si>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</si>
  <si>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</si>
  <si>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</si>
  <si>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</si>
  <si>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</si>
  <si>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</si>
  <si>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</si>
  <si>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</si>
  <si>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</si>
  <si>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</si>
  <si>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</si>
  <si>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</si>
  <si>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</si>
  <si>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</si>
  <si>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</si>
  <si>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</si>
  <si>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</si>
  <si>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</si>
  <si>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</si>
  <si>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</si>
  <si>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</si>
  <si>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</si>
  <si>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</si>
  <si>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</si>
  <si>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</si>
  <si>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</si>
  <si>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</si>
  <si>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</si>
  <si>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</si>
  <si>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</si>
  <si>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</si>
  <si>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</si>
  <si>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</si>
  <si>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</si>
  <si>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</si>
  <si>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</si>
  <si>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</si>
  <si>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</si>
  <si>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</si>
  <si>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</si>
  <si>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</si>
  <si>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</si>
  <si>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</si>
  <si>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</si>
  <si>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</si>
  <si>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</si>
  <si>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</si>
  <si>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</si>
  <si>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</si>
  <si>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</si>
  <si>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</si>
  <si>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</si>
  <si>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Riverside:</t>
  </si>
  <si>
    <t>Del-Amo-Mesa-Serrano</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</si>
  <si>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</si>
  <si>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</si>
  <si>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</si>
  <si>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</si>
  <si>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</si>
  <si>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</si>
  <si>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</si>
  <si>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</si>
  <si>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</si>
  <si>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</si>
  <si>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</si>
  <si>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</si>
  <si>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</si>
  <si>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</si>
  <si>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</si>
  <si>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</si>
  <si>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</si>
  <si>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</si>
  <si>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</si>
  <si>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</si>
  <si>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</si>
  <si>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</si>
  <si>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</si>
  <si>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</si>
  <si>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</si>
  <si>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</si>
  <si>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50a</t>
  </si>
  <si>
    <t>50b</t>
  </si>
  <si>
    <t>2) Contribution to the True Up TRR</t>
  </si>
  <si>
    <t>Note 3</t>
  </si>
  <si>
    <t>63a</t>
  </si>
  <si>
    <t>63b</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</si>
  <si>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</si>
  <si>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</si>
  <si>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</si>
  <si>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</si>
  <si>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</si>
  <si>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</si>
  <si>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</si>
  <si>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81a</t>
  </si>
  <si>
    <t>81b</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</si>
  <si>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</si>
  <si>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</si>
  <si>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</si>
  <si>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</si>
  <si>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</si>
  <si>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</si>
  <si>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</si>
  <si>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</si>
  <si>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</si>
  <si>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</si>
  <si>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</si>
  <si>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103a</t>
  </si>
  <si>
    <t>103b</t>
  </si>
  <si>
    <t>c) Individual CWIP Project Contribution to the Wholesale Base TRR</t>
  </si>
  <si>
    <t>FF</t>
  </si>
  <si>
    <t>116a</t>
  </si>
  <si>
    <t>116b</t>
  </si>
  <si>
    <t>6) Same as Note 5 except no Uncollectibles Expense in Column 3.</t>
  </si>
  <si>
    <t>Calculation of Wholesale Difference to the Base TRR</t>
  </si>
  <si>
    <t>WP Schedule 25 Wholesale Difference</t>
  </si>
  <si>
    <t xml:space="preserve">The Wholesale Difference to the Base TRR represents the amount by which the Wholesale Base TRR differs as </t>
  </si>
  <si>
    <t xml:space="preserve">compared to the Retail Base TRR.  </t>
  </si>
  <si>
    <t xml:space="preserve">1) Calculation of Total Expense Difference </t>
  </si>
  <si>
    <t>Notes/Instructions</t>
  </si>
  <si>
    <t>EPRI Dues</t>
  </si>
  <si>
    <t>EEI Dues</t>
  </si>
  <si>
    <t>Sum of EPRI and EEI Dues</t>
  </si>
  <si>
    <t xml:space="preserve">Line 2  + Line 3 </t>
  </si>
  <si>
    <t>EPRI and EEI Dues Exclusion</t>
  </si>
  <si>
    <t xml:space="preserve">Line 4 * Line 5 </t>
  </si>
  <si>
    <t>Additional Expense Difference</t>
  </si>
  <si>
    <t>Total Expense Difference:</t>
  </si>
  <si>
    <t>Line 6 + Line 7</t>
  </si>
  <si>
    <t>2) Calculation of the Wholesale Difference to the Base TRR</t>
  </si>
  <si>
    <t>Expense Difference</t>
  </si>
  <si>
    <t>- Line 8</t>
  </si>
  <si>
    <t>Uncollectibles Expense -- Prior Year TRR</t>
  </si>
  <si>
    <t>- 1-Base TRR, L 80</t>
  </si>
  <si>
    <t>Uncollectibles Expense -- IFPTRR</t>
  </si>
  <si>
    <t>- 2-IFPTRR, L 80</t>
  </si>
  <si>
    <t>Subtotal:</t>
  </si>
  <si>
    <t>Sum Line 9 to Line 11</t>
  </si>
  <si>
    <t>Franchise Fee Exclusion</t>
  </si>
  <si>
    <t>Wholesale Difference to the Base TRR:</t>
  </si>
  <si>
    <t>Line 12 + Line 13</t>
  </si>
  <si>
    <t>Notes/Instructions:</t>
  </si>
  <si>
    <t xml:space="preserve">1) Only exclude if not already excluded in Schedule 20.  </t>
  </si>
  <si>
    <t>2) If appropriate, additional expenses may be excluded from the Wholesale Base TRR.</t>
  </si>
  <si>
    <t>3) Franchise Fee Exclusion is equal to the Franchise Fee Factor on Schedule 28-FFU, Line 5</t>
  </si>
  <si>
    <t>times Line 9.</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</si>
  <si>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</si>
  <si>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</si>
  <si>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</si>
  <si>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</si>
  <si>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</si>
  <si>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</si>
  <si>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</si>
  <si>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</si>
  <si>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</si>
  <si>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</si>
  <si>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</si>
  <si>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</si>
  <si>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Internal Revenue Code § 11.b</t>
  </si>
  <si>
    <t>2) California State Source Statue:</t>
  </si>
  <si>
    <t>3) Capitalization Rate approved in:</t>
  </si>
  <si>
    <t>For the following Prior Years: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</si>
  <si>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</si>
  <si>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</si>
  <si>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</si>
  <si>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</si>
  <si>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</si>
  <si>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</si>
  <si>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</si>
  <si>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</si>
  <si>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</si>
  <si>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</si>
  <si>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WP Schedule 27 ISO Allocators</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</si>
  <si>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</si>
  <si>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</si>
  <si>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</si>
  <si>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</si>
  <si>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</si>
  <si>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</si>
  <si>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</si>
  <si>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</si>
  <si>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</si>
  <si>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</si>
  <si>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</si>
  <si>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</si>
  <si>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</si>
  <si>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</si>
  <si>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</si>
  <si>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</si>
  <si>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</si>
  <si>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</si>
  <si>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</si>
  <si>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</si>
  <si>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</si>
  <si>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</si>
  <si>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</si>
  <si>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</si>
  <si>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</si>
  <si>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</si>
  <si>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</si>
  <si>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</si>
  <si>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</si>
  <si>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</si>
  <si>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</si>
  <si>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</si>
  <si>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</si>
  <si>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</si>
  <si>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</si>
  <si>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</si>
  <si>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</si>
  <si>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</si>
  <si>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</si>
  <si>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</si>
  <si>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</si>
  <si>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</si>
  <si>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</si>
  <si>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</si>
  <si>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</si>
  <si>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</si>
  <si>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</si>
  <si>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WP Schedule 28 FFU</t>
  </si>
  <si>
    <t>1) Approved Franchise Fee Factor(s)</t>
  </si>
  <si>
    <t xml:space="preserve">Days in </t>
  </si>
  <si>
    <t>FF Factor</t>
  </si>
  <si>
    <t>2) Approved Uncollectibles Expense Factor(s)</t>
  </si>
  <si>
    <t>U Factor</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</si>
  <si>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</si>
  <si>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</si>
  <si>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</si>
  <si>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</si>
  <si>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</si>
  <si>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</si>
  <si>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</si>
  <si>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</si>
  <si>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</si>
  <si>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</si>
  <si>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</si>
  <si>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</si>
  <si>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</si>
  <si>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</si>
  <si>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</si>
  <si>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</si>
  <si>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</si>
  <si>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</si>
  <si>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</si>
  <si>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</si>
  <si>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</si>
  <si>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</si>
  <si>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</si>
  <si>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</si>
  <si>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</si>
  <si>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</si>
  <si>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</si>
  <si>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</si>
  <si>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</si>
  <si>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</si>
  <si>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</si>
  <si>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</si>
  <si>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</si>
  <si>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</si>
  <si>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</si>
  <si>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</si>
  <si>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</si>
  <si>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</si>
  <si>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</si>
  <si>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</si>
  <si>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</si>
  <si>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</si>
  <si>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</si>
  <si>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</si>
  <si>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Line 17, column 3</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</si>
  <si>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</si>
  <si>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</si>
  <si>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</si>
  <si>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</si>
  <si>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</si>
  <si>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</si>
  <si>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</si>
  <si>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</si>
  <si>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</si>
  <si>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</si>
  <si>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</si>
  <si>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</si>
  <si>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</si>
  <si>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</si>
  <si>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</si>
  <si>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</si>
  <si>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</si>
  <si>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</si>
  <si>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</si>
  <si>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</si>
  <si>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</si>
  <si>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</si>
  <si>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</si>
  <si>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</si>
  <si>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</si>
  <si>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</si>
  <si>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</si>
  <si>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</si>
  <si>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</si>
  <si>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</si>
  <si>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</si>
  <si>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</si>
  <si>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</si>
  <si>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</si>
  <si>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</si>
  <si>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</si>
  <si>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</si>
  <si>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</si>
  <si>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</si>
  <si>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</si>
  <si>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</si>
  <si>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</si>
  <si>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</si>
  <si>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</si>
  <si>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</si>
  <si>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</si>
  <si>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</si>
  <si>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</si>
  <si>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</si>
  <si>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</si>
  <si>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</si>
  <si>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</si>
  <si>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</si>
  <si>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</si>
  <si>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</si>
  <si>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</si>
  <si>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</si>
  <si>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</si>
  <si>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</si>
  <si>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</si>
  <si>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</si>
  <si>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</si>
  <si>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</si>
  <si>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</si>
  <si>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</si>
  <si>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WP Schedule 32 Load &amp; Pump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</si>
  <si>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</si>
  <si>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</si>
  <si>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</si>
  <si>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</si>
  <si>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</si>
  <si>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</si>
  <si>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</si>
  <si>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</si>
  <si>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</si>
  <si>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</si>
  <si>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</si>
  <si>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</si>
  <si>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</si>
  <si>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</si>
  <si>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</si>
  <si>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</si>
  <si>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</si>
  <si>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</si>
  <si>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</si>
  <si>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</si>
  <si>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</si>
  <si>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</si>
  <si>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</si>
  <si>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</si>
  <si>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</si>
  <si>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</si>
  <si>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</si>
  <si>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</si>
  <si>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</si>
  <si>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</si>
  <si>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</si>
  <si>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</si>
  <si>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</si>
  <si>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</si>
  <si>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</si>
  <si>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</si>
  <si>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</si>
  <si>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</si>
  <si>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t>Domestic</t>
  </si>
  <si>
    <t>TOU-GS-1</t>
  </si>
  <si>
    <r>
      <t>1b</t>
    </r>
    <r>
      <rPr>
        <b/>
        <vertAlign val="subscript"/>
        <sz val="10"/>
        <rFont val="Arial"/>
        <family val="2"/>
      </rPr>
      <t>2</t>
    </r>
  </si>
  <si>
    <t xml:space="preserve">  TOU-GS-1 continued</t>
  </si>
  <si>
    <t>Notes 9,10</t>
  </si>
  <si>
    <t>1c</t>
  </si>
  <si>
    <t>TC-1</t>
  </si>
  <si>
    <t>1d</t>
  </si>
  <si>
    <t>TOU-GS-2</t>
  </si>
  <si>
    <t>1e</t>
  </si>
  <si>
    <t>TOU-GS-3</t>
  </si>
  <si>
    <t>1f</t>
  </si>
  <si>
    <t>TOU-8-SEC</t>
  </si>
  <si>
    <t>1g</t>
  </si>
  <si>
    <t>TOU-8-PRI</t>
  </si>
  <si>
    <t>1h</t>
  </si>
  <si>
    <t>TOU-8-SUB</t>
  </si>
  <si>
    <t>1i</t>
  </si>
  <si>
    <t>TOU-8-Standby-SEC</t>
  </si>
  <si>
    <t>1j</t>
  </si>
  <si>
    <t>TOU-8-Standby-PRI</t>
  </si>
  <si>
    <t>1k</t>
  </si>
  <si>
    <t>TOU-8-Standby-SUB</t>
  </si>
  <si>
    <t>1l</t>
  </si>
  <si>
    <t>TOU-PA-2</t>
  </si>
  <si>
    <t>1m</t>
  </si>
  <si>
    <t>TOU-PA-3</t>
  </si>
  <si>
    <t>1n</t>
  </si>
  <si>
    <t>Street Lighting</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</si>
  <si>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</si>
  <si>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</si>
  <si>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</si>
  <si>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</si>
  <si>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</si>
  <si>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</si>
  <si>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</si>
  <si>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</si>
  <si>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</si>
  <si>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</si>
  <si>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</si>
  <si>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</si>
  <si>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</si>
  <si>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</si>
  <si>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</si>
  <si>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</si>
  <si>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</si>
  <si>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</si>
  <si>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</si>
  <si>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</si>
  <si>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</si>
  <si>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</si>
  <si>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</si>
  <si>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</si>
  <si>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</si>
  <si>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</si>
  <si>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</si>
  <si>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</si>
  <si>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</si>
  <si>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</si>
  <si>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</si>
  <si>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</si>
  <si>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</si>
  <si>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</si>
  <si>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</si>
  <si>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</si>
  <si>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</si>
  <si>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</si>
  <si>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</si>
  <si>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</si>
  <si>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</si>
  <si>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</si>
  <si>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</si>
  <si>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</si>
  <si>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</si>
  <si>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</si>
  <si>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</si>
  <si>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</si>
  <si>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</si>
  <si>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</si>
  <si>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</si>
  <si>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</si>
  <si>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</si>
  <si>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</si>
  <si>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</si>
  <si>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</si>
  <si>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</si>
  <si>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</si>
  <si>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</si>
  <si>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</si>
  <si>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</si>
  <si>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</si>
  <si>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</si>
  <si>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</si>
  <si>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</si>
  <si>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</si>
  <si>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</si>
  <si>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</si>
  <si>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</si>
  <si>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</si>
  <si>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</si>
  <si>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</si>
  <si>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</si>
  <si>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</si>
  <si>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</si>
  <si>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</si>
  <si>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</si>
  <si>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</si>
  <si>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</si>
  <si>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Includes Schedules D, D-CARE, D-FERA,TOU-D-T, TOU-EV-1, TOU-D-TEV, DE, D-SDP, D-SDP-O, DM, DMS-1, DMS-2, DMS-3, and DS.</t>
  </si>
  <si>
    <t>Domestic (con't)</t>
  </si>
  <si>
    <t>D (Option CPP), D-CARE (Option CPP), TOU-D-Option A, TOU-D-Option B, TOU-D-3, TOU-D-T-CPP, TOU-D (Options 4-9 PM, 5-8 PM, PRIME, and CPP)</t>
  </si>
  <si>
    <t>26b</t>
  </si>
  <si>
    <t>Includes Schedules GS-1, TOU-EV-3, TOU-EV-7 (Options D and E), and TOU-GS-1 (Options E, ES, D, LG, C, A, B, RTP, CPP, Standby, GS-APS, GS-APS-E, and ME).</t>
  </si>
  <si>
    <t>26c</t>
  </si>
  <si>
    <t>Includes Schedules TC-1, Wi-Fi-1, and WTR.</t>
  </si>
  <si>
    <t>26d</t>
  </si>
  <si>
    <t xml:space="preserve">Includes Schedules GS-2, TOU-EV-4, TOU-EV-8, and TOU-GS-2 (Options D, E, A, B, R, RTP, CPP, Standby, GS-APS, GS-APS-E, and ME). </t>
  </si>
  <si>
    <t>26e</t>
  </si>
  <si>
    <t>Includes Schedules TOU-GS-3-CPP, TOU-EV-8, and TOU-GS-3 (Options D, E, A, B, R, RTP, SOP, Standby, TOU-BIP, GS-APS, GS-APS-E, and ME).</t>
  </si>
  <si>
    <t>26f</t>
  </si>
  <si>
    <t>Includes Schedules TOU-8-CPP, TOU-8-RBU, TOU-EV-9, and TOU-8 (Options D, E, A, B, R, RTP, TOU-BIP, GS-APS, GS-APS-E, Backup-B, and ME).</t>
  </si>
  <si>
    <t>26g</t>
  </si>
  <si>
    <t>26h</t>
  </si>
  <si>
    <t>26i</t>
  </si>
  <si>
    <t>Includes Schedules TOU-8-Standby (Options D, LG, A, B, RTP, TOU-BIP, GS-APS, GS-APS-E, and ME).</t>
  </si>
  <si>
    <t>26j</t>
  </si>
  <si>
    <t>Includes Schedules TOU-8-Standby (Options D, LG, A, A2, B, RTP, TOU-BIP, GS-APS, GS-APS-E, and ME).</t>
  </si>
  <si>
    <t>26k</t>
  </si>
  <si>
    <t>26l</t>
  </si>
  <si>
    <t>Includes Schedules  PA-1, PA-2, TOU-PA-ICE, and TOU-PA-2 (Options D, E, 4-9 PM, 5-8 PM, A, B, RTP, SOP-1, SOP-2, CPP, Standby, and AP-I).</t>
  </si>
  <si>
    <t>26m</t>
  </si>
  <si>
    <t>Includes Schedules  TOU-PA-3-CPP, and TOU-PA-3 (Options D, E, 4-9 PM, 5-8 PM, A, B, RTP, SOP-1, SOP-2, Standby, and AP-I).</t>
  </si>
  <si>
    <t>26n</t>
  </si>
  <si>
    <t>Includes Schedules AL-2, AL-2-B, AL-2-F, DWL, LS-1, LS-2, LS-3, LS-3-B, and OL-1.</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</si>
  <si>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</si>
  <si>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</si>
  <si>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</si>
  <si>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</si>
  <si>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</si>
  <si>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</si>
  <si>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</si>
  <si>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</si>
  <si>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</si>
  <si>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</si>
  <si>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</si>
  <si>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</si>
  <si>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</si>
  <si>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</si>
  <si>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</si>
  <si>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</si>
  <si>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</si>
  <si>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35b</t>
  </si>
  <si>
    <t>35c</t>
  </si>
  <si>
    <t>35d</t>
  </si>
  <si>
    <t>35e</t>
  </si>
  <si>
    <t>35f</t>
  </si>
  <si>
    <t>35g</t>
  </si>
  <si>
    <t>35h</t>
  </si>
  <si>
    <t>35i</t>
  </si>
  <si>
    <t>35j</t>
  </si>
  <si>
    <t>35k</t>
  </si>
  <si>
    <t>35l</t>
  </si>
  <si>
    <t>35m</t>
  </si>
  <si>
    <t>35n</t>
  </si>
  <si>
    <t>35o</t>
  </si>
  <si>
    <t>Determination of Unfunded Reserves</t>
  </si>
  <si>
    <t>WP Schedule 34 Unfunded Reserve and Wildfire</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</si>
  <si>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</si>
  <si>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</si>
  <si>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</si>
  <si>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</si>
  <si>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</si>
  <si>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</si>
  <si>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</si>
  <si>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</si>
  <si>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</si>
  <si>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</si>
  <si>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</si>
  <si>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</si>
  <si>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</si>
  <si>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</si>
  <si>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</si>
  <si>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 and Note 2</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</si>
  <si>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</si>
  <si>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</si>
  <si>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</si>
  <si>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</si>
  <si>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</si>
  <si>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</si>
  <si>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</si>
  <si>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</si>
  <si>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</si>
  <si>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</si>
  <si>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</si>
  <si>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</si>
  <si>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</si>
  <si>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</si>
  <si>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</si>
  <si>
    <t>2) No Unfunded Reserve shall be included in Schedule 34 associated with any wildfire other than the 2017/18 Wildfire/Mudslide Events.</t>
  </si>
  <si>
    <t>Associated costs for other wildfire events are reflected in Schedule 20 "A&amp;G" and recovered on a cash basis (see Instruction 6 of Schedule 20).</t>
  </si>
  <si>
    <t>WP Schedule 35 Other Formula Revenue</t>
  </si>
  <si>
    <t>Current SCE O&amp;M Services Formulas</t>
  </si>
  <si>
    <t xml:space="preserve">(1) </t>
  </si>
  <si>
    <t>ER21-1280 ("West of Devers Formula Rate")</t>
  </si>
  <si>
    <t xml:space="preserve">(2) </t>
  </si>
  <si>
    <t xml:space="preserve">(3) </t>
  </si>
  <si>
    <t>Revenues and Associated Native Accounts (Including O&amp;M, A&amp;G, Property Taxes, Payroll Taxes, and Revenue Credits)</t>
  </si>
  <si>
    <t>Formula #1</t>
  </si>
  <si>
    <t>Formula #2</t>
  </si>
  <si>
    <t>Formula #3</t>
  </si>
  <si>
    <t>1) Operations and Maintenance ("O&amp;M") Revenue</t>
  </si>
  <si>
    <t>Transmission NOIC</t>
  </si>
  <si>
    <t>Total O&amp;M Services Formula "O&amp;M" Revenue:</t>
  </si>
  <si>
    <t>2) Administrative and General ("A&amp;G") Revenue</t>
  </si>
  <si>
    <t>920 - A&amp;G Salaries</t>
  </si>
  <si>
    <t>921 - Office Supplies and Expenses</t>
  </si>
  <si>
    <t>922 - A&amp;G Expenses Transferred</t>
  </si>
  <si>
    <t>923 - Outside Services Employed</t>
  </si>
  <si>
    <t>924 - Property Insurance</t>
  </si>
  <si>
    <t>925 - Injuries and Damages</t>
  </si>
  <si>
    <t>926 - Employee Pensions and Benefits</t>
  </si>
  <si>
    <t>927 - Franchise Requirements</t>
  </si>
  <si>
    <t>928 - Regulatory Commission Expenses</t>
  </si>
  <si>
    <t>929 - Duplicate Charges</t>
  </si>
  <si>
    <t>930.1 - General Advertising Expense</t>
  </si>
  <si>
    <t>930.2 - Miscellaneous General Expense</t>
  </si>
  <si>
    <t>931 - Rents</t>
  </si>
  <si>
    <t>51a</t>
  </si>
  <si>
    <t>935.1 - Maintenance of Computer Hardware</t>
  </si>
  <si>
    <t>51b</t>
  </si>
  <si>
    <t>935.2 - Maintenance of Computer Software</t>
  </si>
  <si>
    <t>51c</t>
  </si>
  <si>
    <t>935.3 - Maintenance of Communication Equipment</t>
  </si>
  <si>
    <t>Total O&amp;M Services Formula "A&amp;G" Revenue:</t>
  </si>
  <si>
    <t>3) Property Taxes (Local Taxes)</t>
  </si>
  <si>
    <t>Total O&amp;M Services Formula "Property Tax" Revenue:</t>
  </si>
  <si>
    <t>4) Payroll Taxes</t>
  </si>
  <si>
    <t>Total O&amp;M Services Formula "Payroll Tax" Revenue:</t>
  </si>
  <si>
    <t>5) Revenue Credits</t>
  </si>
  <si>
    <t>General and Intangible</t>
  </si>
  <si>
    <t>True Up Adjustment (not included in native accounts)</t>
  </si>
  <si>
    <t>Cost Adjustment (not included in native accounts)</t>
  </si>
  <si>
    <t>Total O&amp;M Services Formula "Revenue Credit" Revenue:</t>
  </si>
  <si>
    <t>Total O&amp;M Services Formula Revenues (Each Formula):</t>
  </si>
  <si>
    <t>Total all O&amp;M Services Formula Revenues (all Formulas):</t>
  </si>
  <si>
    <t>Sum of Amounts on Line 75</t>
  </si>
  <si>
    <t>1) Do not populate this Schedule 35 with respect to WOD Formula Rate Revenues (pursuant to ER21-1280) for any Prior Year for which the</t>
  </si>
  <si>
    <t>Accounting Waiver granted by the Commission in that Docket was in effect.</t>
  </si>
  <si>
    <t>1) The amount of O&amp;M Services Formula revenue shown above is included in SCE's Annual FERC Form 1 as a credit</t>
  </si>
  <si>
    <t>to each respective native account.</t>
  </si>
  <si>
    <t xml:space="preserve">2) In each Annual Update of this Formula Rate, the amounts of revenue credited to SCE's FERC Form 1 expenses (as described </t>
  </si>
  <si>
    <t>in Note 1) will be reversed in determining of input amounts to this Formula Rate.</t>
  </si>
  <si>
    <t xml:space="preserve">3) The total amount of revenue from the above five expense categories will be 100% credited against the Base TRR and </t>
  </si>
  <si>
    <t>the True Up TRR.  See Schedule 1, Line 84a, and Schedule 4, Line 45a.</t>
  </si>
  <si>
    <t>Substations, Land, and Lines on Lines 1-14</t>
  </si>
  <si>
    <t>Computer Hardware, Software, and Communication Equipment on Lines 14a to 14n</t>
  </si>
  <si>
    <t>9) Amount on 13 less amount on Line 1 for each account.</t>
  </si>
  <si>
    <t>Sum of C2 to C11 (L 1 to 13) and C2 to C7 (L 14a to 14m)</t>
  </si>
  <si>
    <t>Sum C2 - C11 (L1 to 13) and C2-C7 (14a to 14n)</t>
  </si>
  <si>
    <t>See Note 2b regarding the TO2027 Annual Update Line 14o</t>
  </si>
  <si>
    <t>See Note 3b regarding January through November inputs (C2 to C7)</t>
  </si>
  <si>
    <t>a) Substations, Land, and Lines on Lines 1-14</t>
  </si>
  <si>
    <t>b) Computer Hardware, Software, and Communication Equipment on Lines 14a to 14n</t>
  </si>
  <si>
    <t>a) Substations, Land, and Lines on Lines 28-40</t>
  </si>
  <si>
    <t>b) Transmission Function Balances for Computer Hardware, Software, and Communication Equipment on Lines 28a-40a</t>
  </si>
  <si>
    <t>21h</t>
  </si>
  <si>
    <t>Substations, Land, and Lines</t>
  </si>
  <si>
    <t>7-PlantStudy Lines 21c and 21e (Col. 1) for Columns 2 and 7</t>
  </si>
  <si>
    <t>For Line 40a, ∑ C3 to C6 = 7-Plant Study L 21d, Col. 1</t>
  </si>
  <si>
    <t>8-AccDep, Line 14m, Col. 8</t>
  </si>
  <si>
    <t>6-PlantInService, Line 14m, Col. 8</t>
  </si>
  <si>
    <t>6-PlantInService, Line 16, Col. 5</t>
  </si>
  <si>
    <t>8-AccDep, Line 16, Col. 5</t>
  </si>
  <si>
    <t>8-AccDep, Line 14n, Col. 8</t>
  </si>
  <si>
    <t>Total Subs, Land &amp; Lines</t>
  </si>
  <si>
    <t>as of January 1, 2025.</t>
  </si>
  <si>
    <t>ISO for each month</t>
  </si>
  <si>
    <t>"Total All" in Column 8 is total Transmission Plant -</t>
  </si>
  <si>
    <t xml:space="preserve">= sum of the monthly amounts for each account </t>
  </si>
  <si>
    <t>from Lines 1 to 14m for each month</t>
  </si>
  <si>
    <t>C3 = C2 / C1</t>
  </si>
  <si>
    <t>Schedule 6, Plant in Service Lines 14a - 14m</t>
  </si>
  <si>
    <t>Note</t>
  </si>
  <si>
    <t xml:space="preserve">Month Total = sum of all accounts </t>
  </si>
  <si>
    <t>Lines 24-35 and 38d-38o</t>
  </si>
  <si>
    <t>4) Beginning January 1, 2025, Line 51a to 51c added for new FERC Accounts 935.1 to 935.3 established pursuant to FERC Order 898.</t>
  </si>
  <si>
    <t>Sum of Line 14n, Col. 8 and Line 17, Col. 5</t>
  </si>
  <si>
    <t>Sum of Line 14m, Col. 8 and Line 16, Col. 5</t>
  </si>
  <si>
    <t xml:space="preserve">The amounts for each month on the remaining lines 14b to 14m are calculated by multiplying monthly Transmission Function Balance (Lines 29a-40a) by </t>
  </si>
  <si>
    <t xml:space="preserve"> amounts on lines 14o and 18 (columns 4 and 5) to remove from December 2024 balances the amounts subsequently transferred out of Depreciation Reserve</t>
  </si>
  <si>
    <t>Other Formula Revenue -- Revenue Received Pursuant to Commission-Approved O&amp;M Services Formulas</t>
  </si>
  <si>
    <t>3) Non-Transmission Depreciation Rates (Lines 12-48) are as approved in  Docket No.:</t>
  </si>
  <si>
    <t>2) Transmission Depreciation rates (Line 1-10) are as approved in Docket No.:</t>
  </si>
  <si>
    <t>Column 1</t>
  </si>
  <si>
    <t>Computer Hardware, Software &amp; Communication Equipment (351 Accounts)</t>
  </si>
  <si>
    <t>Total 351 Accounts</t>
  </si>
  <si>
    <t>Total All Transmission</t>
  </si>
  <si>
    <t>Notes/Calcs</t>
  </si>
  <si>
    <t>Note 1 re Lines 1 to 14m</t>
  </si>
  <si>
    <t xml:space="preserve">Previous Annual Update, Line 14m. </t>
  </si>
  <si>
    <t>See Note 3a re TO2027 value</t>
  </si>
  <si>
    <t>3) Total Computer Hardware, Software, and Communications Equipment is in Column 1, and ISO portion is in Column 2.</t>
  </si>
  <si>
    <t xml:space="preserve">Col. 3 is the "SL&amp;L Plant </t>
  </si>
  <si>
    <t xml:space="preserve">ISO Percent" </t>
  </si>
  <si>
    <t>= C1 * SL&amp;L Plant ISO Percent (L 21a)</t>
  </si>
  <si>
    <t xml:space="preserve"> = L 21c+L 21d+L 21e</t>
  </si>
  <si>
    <t>= L 21a+L 21f</t>
  </si>
  <si>
    <t xml:space="preserve">4) Total All Transmission Plant is in Column 1.  Total ISO Transmission is in Column 2.  </t>
  </si>
  <si>
    <t xml:space="preserve">Lines 21c to 21e Col. 2 Transmission Plant-ISO is calculated pursuant to the Col. 2 direction. </t>
  </si>
  <si>
    <t>the SL&amp;L Plant ISO Percent (Schedule 7, Column 3, Line 21a).</t>
  </si>
  <si>
    <t xml:space="preserve">2a) In order to align with accounting changes pursuant to FERC Order 898 which went into effect on January 1, 2025, in calculating 2025 costs SCE will make an adjustment </t>
  </si>
  <si>
    <t>use values that would have been in Accounts 351.1, 351.2, and 351.3 had Order 898 been in effect in 2024.</t>
  </si>
  <si>
    <t xml:space="preserve">3b) Monthly amounts for Accounts 351.1, 351.2, and 351.3 are from SCE records. </t>
  </si>
  <si>
    <t>the SL&amp;L Plant ISO Percent (Schedule 7, Line 21a, Column 3).</t>
  </si>
  <si>
    <t>and 935.3 on Line 51.</t>
  </si>
  <si>
    <t>Each amount in Columns 1-7, Lines 14b to 14m</t>
  </si>
  <si>
    <t xml:space="preserve">is the product of the corresponding amounts on </t>
  </si>
  <si>
    <t>Lines 29a to 40a times the "SL&amp;L Plant ISO</t>
  </si>
  <si>
    <t>Percent", Line 21a, Column 3, Schedule 7.</t>
  </si>
  <si>
    <t>78a</t>
  </si>
  <si>
    <t>78b</t>
  </si>
  <si>
    <t>78c</t>
  </si>
  <si>
    <t>78d</t>
  </si>
  <si>
    <t>78e</t>
  </si>
  <si>
    <t>78f</t>
  </si>
  <si>
    <t>18 Dep Rates L2a</t>
  </si>
  <si>
    <t>18 Dep Rates L2b</t>
  </si>
  <si>
    <t>18 Dep Rates L2c</t>
  </si>
  <si>
    <t>18 Dep Rates L2d</t>
  </si>
  <si>
    <t>18 Dep Rates L2e</t>
  </si>
  <si>
    <t>18 Dep Rates L2f</t>
  </si>
  <si>
    <t xml:space="preserve">In the event that any O&amp;M Services Formula does not disaggregate amount in 935, include full amount for 935, 935.1, 935.2, </t>
  </si>
  <si>
    <r>
      <t>Notes</t>
    </r>
    <r>
      <rPr>
        <b/>
        <sz val="10"/>
        <rFont val="Arial"/>
        <family val="2"/>
      </rPr>
      <t>/Calcs.</t>
    </r>
  </si>
  <si>
    <t>C3 = C2 / C1, Note 1</t>
  </si>
  <si>
    <t>21a</t>
  </si>
  <si>
    <t>TO2026</t>
  </si>
  <si>
    <t>Docket No. ER26-602</t>
  </si>
  <si>
    <t>Balances for Transmission Plant - ISO during the Prior Year, including December of previous year (See Note 1 for Lines 1-14m):</t>
  </si>
  <si>
    <t>BOY amount from previous PY (see Note 2a)</t>
  </si>
  <si>
    <t>2) Total Transmission Activity by Account, not including 351.1, 351.2, and 351.3 (See Note 4):</t>
  </si>
  <si>
    <t>5) Total Transmission Activity Not Including Incentive Plant Activity or  351.1, 351.2, and 351.3 (See Note 7):</t>
  </si>
  <si>
    <t>6) Total Monthly Transmission Activity as a Percent of Annual Transmission Activity, not including 351.1, 351.2, or 351.3 (See Note 8)</t>
  </si>
  <si>
    <t>7) Calculation of change in Non-Incentive ISO Plant (not including 351.1, 351.2, or 351.3):</t>
  </si>
  <si>
    <t>C) Change in Non-Incentive ISO Plant (not including 351.1, 351.2, or 351.3) (See Note 11)</t>
  </si>
  <si>
    <t>8) Other ISO Transmission Activity without Incentive Plant Activity (not including 351.1, 351.2, or 351.3) (See Note 12):</t>
  </si>
  <si>
    <t xml:space="preserve">The amounts for each month on the remaining lines 2 to 12 are calculated by summing the following values: </t>
  </si>
  <si>
    <t xml:space="preserve">1) Amounts on Lines 13 and 14m from corresponding account Schedule 7, column 2.  </t>
  </si>
  <si>
    <t>Amounts on Lines 1 and 14a must match corresponding account Schedule 7, Column 2 for previous year.</t>
  </si>
  <si>
    <t xml:space="preserve">4) Includes recorded Transmission Plant-In-Service additions, retirements, transfers and adjustments.  Monthly differences from previous matrix Lines 28-40. </t>
  </si>
  <si>
    <t>Dec 2024</t>
  </si>
  <si>
    <t>Jan 2025</t>
  </si>
  <si>
    <t>Feb 2025</t>
  </si>
  <si>
    <t>Mar 2025</t>
  </si>
  <si>
    <t>Apr 2025</t>
  </si>
  <si>
    <t>May 2025</t>
  </si>
  <si>
    <t>Jun 2025</t>
  </si>
  <si>
    <t>Jul 2025</t>
  </si>
  <si>
    <t>Aug 2025</t>
  </si>
  <si>
    <t>Sep 2025</t>
  </si>
  <si>
    <t>Oct 2025</t>
  </si>
  <si>
    <t>Nov 2025</t>
  </si>
  <si>
    <t>Dec 2025</t>
  </si>
  <si>
    <t>FF1 219.28c and 200.21c for previous year (See Note 2b)</t>
  </si>
  <si>
    <t xml:space="preserve">1) Amounts on Line 13 and 14m based on current year Plant Study.  Amounts on Lines 1 and 14a shall be based on previous year Plant Study, and </t>
  </si>
  <si>
    <t>shall match amounts on Lines 13 and 14m in previous year Annual Update.</t>
  </si>
  <si>
    <t>The amounts for each month on the remaining lines 2-12 are calculated by summing the following values:</t>
  </si>
  <si>
    <t>in Schedule 19 (OandM) related to Order 668 and Order 898 costs transferred.</t>
  </si>
  <si>
    <t>1) Depreciation rates on lines 17a-17aa are input based on the stated values of ISO Transmission Plant depreciation rates from Schedule 18 of</t>
  </si>
  <si>
    <r>
      <rPr>
        <b/>
        <sz val="10"/>
        <rFont val="Arial"/>
        <family val="2"/>
      </rPr>
      <t xml:space="preserve">Source: </t>
    </r>
    <r>
      <rPr>
        <sz val="10"/>
        <rFont val="Arial"/>
        <family val="2"/>
      </rPr>
      <t>6-PlantInService, Lines 1-13 and 14a -14m.</t>
    </r>
  </si>
  <si>
    <t>Line 38q</t>
  </si>
  <si>
    <t>E: Exclude amount of costs transferred to account from A&amp;G pursuant to Order 668 and Order 898.</t>
  </si>
  <si>
    <t>7-PlantStudy, Line 21h, Col. 2</t>
  </si>
  <si>
    <t>935 - Maintenance of General Plant (Note 4)</t>
  </si>
  <si>
    <t>FF1 263, Line 14, Column o</t>
  </si>
  <si>
    <t>Settlement of TO2019A (ER19-1553)</t>
  </si>
  <si>
    <t>169 FERC ¶ 61,177</t>
  </si>
  <si>
    <t>FF1 232, Line 51</t>
  </si>
  <si>
    <t>FF1 232, Line 52</t>
  </si>
  <si>
    <t>FF1 278, Line 35</t>
  </si>
  <si>
    <t>FF1 278, Line 36</t>
  </si>
  <si>
    <t>Present</t>
  </si>
  <si>
    <t>Schedule 28 - Workpaper Line 10</t>
  </si>
  <si>
    <t>Schedule 28 - Workpaper Line 11</t>
  </si>
  <si>
    <t xml:space="preserve">2026 TRBAA </t>
  </si>
  <si>
    <t xml:space="preserve"> ER26-378</t>
  </si>
  <si>
    <t>3c) See referenced workpaper for distribution of Account 351.2 to its four components.                                                                 Workpaper:</t>
  </si>
  <si>
    <t>3) Reconciles to BOY and EOY FERC Form 1 (FF1 207, Lines 48-56 , Column g).                                                                        Workpaper:</t>
  </si>
  <si>
    <t>Engineering and Technical Services - Permiss Tech Adv Fee</t>
  </si>
  <si>
    <t>12sss</t>
  </si>
  <si>
    <t>12ttt</t>
  </si>
  <si>
    <t>12uuu</t>
  </si>
  <si>
    <t>OOR 606 Gas Funded</t>
  </si>
  <si>
    <t>Customer Iniitiated Service Request - Service Fees</t>
  </si>
  <si>
    <t>Testing of Equipment - Food Technology Center</t>
  </si>
  <si>
    <t>CPUC D. 25-09-010</t>
  </si>
  <si>
    <t>24aa</t>
  </si>
  <si>
    <t>ECS - LIT EU Interstate End User</t>
  </si>
  <si>
    <t>SCE records</t>
  </si>
  <si>
    <t>Series G 5.1%</t>
  </si>
  <si>
    <t>Series J 5.375%</t>
  </si>
  <si>
    <t>Fully redeemed on 12/23/2025</t>
  </si>
  <si>
    <t>Series K 5.45%</t>
  </si>
  <si>
    <t>Tender offer on 12/23/2025, 60.42% redeemed</t>
  </si>
  <si>
    <t>Series L 5.00%</t>
  </si>
  <si>
    <t>Series M 7.50%</t>
  </si>
  <si>
    <t>Series N 6.95%</t>
  </si>
  <si>
    <t>Series B</t>
  </si>
  <si>
    <t>Series C</t>
  </si>
  <si>
    <t>Series D</t>
  </si>
  <si>
    <t>Series F</t>
  </si>
  <si>
    <t>4.08%, 4.24%, 4.32%, and 4.78% preferred stock series</t>
  </si>
  <si>
    <t>Series G - Pro Rata Issuance Costs</t>
  </si>
  <si>
    <t>Series K</t>
  </si>
  <si>
    <t>Net Gain (Loss) from Tender Offers.</t>
  </si>
  <si>
    <t>ER19-1553 and ER26-1526</t>
  </si>
  <si>
    <t>ER26-1526</t>
  </si>
  <si>
    <t>WP Schedule 6&amp;8, tab G&amp;I Plant &amp; Res Recon to FF1</t>
  </si>
  <si>
    <t>Amort of Debt Issurance Cost</t>
  </si>
  <si>
    <t>Ins - Inj/Damage Prov</t>
  </si>
  <si>
    <t>Wildfire Reserve - Pre 2019</t>
  </si>
  <si>
    <t>Wildfire Reserve - Post 2018</t>
  </si>
  <si>
    <t>Decommissioning</t>
  </si>
  <si>
    <t>Property/Non-ISO</t>
  </si>
  <si>
    <t>EDIT Gross Up</t>
  </si>
  <si>
    <t>Regulatory Assets/Liab</t>
  </si>
  <si>
    <t>Temp-Other/Non-ISO</t>
  </si>
  <si>
    <t>Net Operating Loss DTA</t>
  </si>
  <si>
    <t>C: Relates primarily to regulated Electric property</t>
  </si>
  <si>
    <t>C: Relates to employees in all functions</t>
  </si>
  <si>
    <t>Follows tax treatment</t>
  </si>
  <si>
    <t>Relates to nuclear decommissioning costs</t>
  </si>
  <si>
    <t>Non-rate base property</t>
  </si>
  <si>
    <t xml:space="preserve">Relates to nonrecovery balancing account  </t>
  </si>
  <si>
    <t>Not component of rate base</t>
  </si>
  <si>
    <t xml:space="preserve">NOL/DTA </t>
  </si>
  <si>
    <t>EDIT Gross Up - Gas</t>
  </si>
  <si>
    <t>EDIT Gross Up - Other</t>
  </si>
  <si>
    <t>Temp-Other/Non-ISO - Other</t>
  </si>
  <si>
    <t>EMS - Other</t>
  </si>
  <si>
    <t>Other non-ISO related costs</t>
  </si>
  <si>
    <t>Fully Normalized Deferred Tax - Electric</t>
  </si>
  <si>
    <t>Property/Non-ISO - Electric</t>
  </si>
  <si>
    <t>Property/Non-ISO - Gas</t>
  </si>
  <si>
    <t>Property/Non-ISO - Other</t>
  </si>
  <si>
    <t>Property-related FERC costs</t>
  </si>
  <si>
    <t>Property-related CPUC costs</t>
  </si>
  <si>
    <t>Gas related costs</t>
  </si>
  <si>
    <t>Ad Valorem Lien Date Adj - Electric</t>
  </si>
  <si>
    <t>Ad Val Lien Date Adj - Elect - FERC</t>
  </si>
  <si>
    <t>Balancing Accounts</t>
  </si>
  <si>
    <t>Relates entirely to CPUC regulated property</t>
  </si>
  <si>
    <t>Relates entirely to FERC regulated Electric property</t>
  </si>
  <si>
    <t>Relates entirely to CPUC balancing account recovery</t>
  </si>
  <si>
    <t>C: Relates to regulated Electric property</t>
  </si>
  <si>
    <t>Balancing Accounts - Gas</t>
  </si>
  <si>
    <t>Temp-Other/Non-ISO - Gas</t>
  </si>
  <si>
    <t>Balancing Accounts - Other</t>
  </si>
  <si>
    <t>California Rev. &amp; Tax. Code. § 23151(e)</t>
  </si>
  <si>
    <t>D25-09-030</t>
  </si>
  <si>
    <t>2025-2028</t>
  </si>
  <si>
    <t>FF1 263, Lines 34, 36-39, Column o</t>
  </si>
  <si>
    <t>Docket No. ER26-1945</t>
  </si>
  <si>
    <t>WP Schedule 3 One Time Adj-Prior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</si>
</sst>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 numFmtId="209" formatCode="&quot;$&quot;#,##0;[Red]&quot;$&quot;#,##0"/>
    <numFmt numFmtId="210" formatCode="0.0000000000000000000%"/>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u/>
      <sz val="10"/>
      <color rgb="FFFF0000"/>
      <name val="Arial"/>
      <family val="2"/>
    </font>
    <font>
      <u/>
      <sz val="10"/>
      <color theme="1"/>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sz val="10"/>
      <color rgb="FF00B050"/>
      <name val="Arial"/>
      <family val="2"/>
    </font>
    <font>
      <sz val="10"/>
      <name val="Calibri"/>
      <family val="2"/>
      <scheme val="minor"/>
    </font>
    <font>
      <b/>
      <strike/>
      <sz val="10"/>
      <name val="Arial"/>
      <family val="2"/>
    </font>
    <font>
      <u val="singleAccounting"/>
      <sz val="10"/>
      <color rgb="FFFF0000"/>
      <name val="Arial"/>
      <family val="2"/>
    </font>
    <font>
      <sz val="11"/>
      <name val="Calibri"/>
      <family val="2"/>
      <scheme val="minor"/>
    </font>
    <font>
      <b/>
      <sz val="10"/>
      <color theme="1"/>
      <name val="Times New Roman"/>
      <family val="1"/>
    </font>
    <font>
      <b/>
      <i/>
      <sz val="8"/>
      <name val="Arial"/>
      <family val="2"/>
    </font>
    <font>
      <strike/>
      <u/>
      <sz val="10"/>
      <color rgb="FFFF0000"/>
      <name val="Arial"/>
      <family val="2"/>
    </font>
    <font>
      <sz val="11"/>
      <color theme="1"/>
      <name val="Arial"/>
      <family val="2"/>
    </font>
    <font>
      <sz val="10"/>
      <color theme="9"/>
      <name val="Arial"/>
      <family val="2"/>
    </font>
    <font>
      <u/>
      <sz val="10"/>
      <color rgb="FFEE0000"/>
      <name val="Arial"/>
      <family val="2"/>
    </font>
    <font>
      <u/>
      <sz val="10"/>
      <name val="Calibri"/>
      <family val="2"/>
    </font>
    <font>
      <b/>
      <u val="singleAccounting"/>
      <sz val="10"/>
      <color rgb="FFFF0000"/>
      <name val="Arial"/>
      <family val="2"/>
    </font>
    <font>
      <sz val="8"/>
      <name val="Arial"/>
      <family val="2"/>
    </font>
    <font>
      <b/>
      <sz val="10"/>
      <name val="Arial"/>
      <family val="2"/>
    </font>
    <font>
      <sz val="10"/>
      <color rgb="FFFF0000"/>
      <name val="Arial"/>
      <family val="2"/>
    </font>
    <font>
      <sz val="10"/>
      <color rgb="FFFF0000"/>
      <name val="Calibri"/>
      <family val="2"/>
    </font>
    <font>
      <strike/>
      <u val="singleAccounting"/>
      <sz val="10"/>
      <color rgb="FFFF0000"/>
      <name val="Arial"/>
      <family val="2"/>
    </font>
    <font>
      <sz val="10"/>
      <name val="Aptos Narrow"/>
      <family val="2"/>
    </font>
    <font>
      <b/>
      <sz val="18"/>
      <color rgb="FFFF0000"/>
      <name val="Arial"/>
      <family val="2"/>
    </font>
    <font>
      <u/>
      <sz val="10"/>
      <color rgb="FF000000"/>
      <name val="Arial"/>
      <family val="2"/>
    </font>
    <font>
      <sz val="10"/>
      <color rgb="FF0000FF"/>
      <name val="Arial"/>
      <family val="2"/>
    </font>
  </fonts>
  <fills count="115">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FFFF00"/>
        <bgColor rgb="FF000000"/>
      </patternFill>
    </fill>
    <fill>
      <patternFill patternType="solid">
        <fgColor theme="0"/>
        <bgColor indexed="64"/>
      </patternFill>
    </fill>
  </fills>
  <borders count="6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53933">
    <xf numFmtId="0" fontId="0" fillId="0" borderId="0"/>
    <xf numFmtId="0" fontId="40" fillId="8" borderId="0" applyNumberFormat="0" applyBorder="0" applyAlignment="0" applyProtection="0"/>
    <xf numFmtId="0" fontId="40" fillId="9" borderId="0" applyNumberFormat="0" applyBorder="0" applyAlignment="0" applyProtection="0"/>
    <xf numFmtId="0" fontId="41" fillId="10"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1" fillId="14"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1" fillId="18"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1" fillId="1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1" fillId="9" borderId="0" applyNumberFormat="0" applyBorder="0" applyAlignment="0" applyProtection="0"/>
    <xf numFmtId="0" fontId="40" fillId="20" borderId="0" applyNumberFormat="0" applyBorder="0" applyAlignment="0" applyProtection="0"/>
    <xf numFmtId="0" fontId="40" fillId="13" borderId="0" applyNumberFormat="0" applyBorder="0" applyAlignment="0" applyProtection="0"/>
    <xf numFmtId="0" fontId="41" fillId="21" borderId="0" applyNumberFormat="0" applyBorder="0" applyAlignment="0" applyProtection="0"/>
    <xf numFmtId="43" fontId="2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6" fontId="27" fillId="0" borderId="0" applyFont="0" applyFill="0" applyBorder="0" applyAlignment="0" applyProtection="0"/>
    <xf numFmtId="44" fontId="24" fillId="0" borderId="0" applyFont="0" applyFill="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32" fillId="0" borderId="0" applyNumberFormat="0" applyFill="0" applyBorder="0" applyAlignment="0" applyProtection="0">
      <alignment vertical="top"/>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8" fontId="33" fillId="0" borderId="0"/>
    <xf numFmtId="9" fontId="24" fillId="0" borderId="0" applyFont="0" applyFill="0" applyBorder="0" applyAlignment="0" applyProtection="0"/>
    <xf numFmtId="9" fontId="46" fillId="0" borderId="0" applyFont="0" applyFill="0" applyBorder="0" applyAlignment="0" applyProtection="0"/>
    <xf numFmtId="9" fontId="27" fillId="0" borderId="0" applyFont="0" applyFill="0" applyBorder="0" applyAlignment="0" applyProtection="0"/>
    <xf numFmtId="4" fontId="45" fillId="25" borderId="1" applyNumberFormat="0" applyProtection="0">
      <alignment vertical="center"/>
    </xf>
    <xf numFmtId="4" fontId="47" fillId="25" borderId="1" applyNumberFormat="0" applyProtection="0">
      <alignment vertical="center"/>
    </xf>
    <xf numFmtId="4" fontId="45" fillId="25" borderId="1" applyNumberFormat="0" applyProtection="0">
      <alignment horizontal="left" vertical="center" indent="1"/>
    </xf>
    <xf numFmtId="0" fontId="45" fillId="25" borderId="1" applyNumberFormat="0" applyProtection="0">
      <alignment horizontal="left" vertical="top" indent="1"/>
    </xf>
    <xf numFmtId="4" fontId="45" fillId="27" borderId="0" applyNumberFormat="0" applyProtection="0">
      <alignment horizontal="left" vertical="center" indent="1"/>
    </xf>
    <xf numFmtId="4" fontId="43" fillId="2" borderId="1" applyNumberFormat="0" applyProtection="0">
      <alignment horizontal="right" vertical="center"/>
    </xf>
    <xf numFmtId="4" fontId="43" fillId="4" borderId="1" applyNumberFormat="0" applyProtection="0">
      <alignment horizontal="right" vertical="center"/>
    </xf>
    <xf numFmtId="4" fontId="43" fillId="11" borderId="1" applyNumberFormat="0" applyProtection="0">
      <alignment horizontal="right" vertical="center"/>
    </xf>
    <xf numFmtId="4" fontId="43" fillId="6" borderId="1" applyNumberFormat="0" applyProtection="0">
      <alignment horizontal="right" vertical="center"/>
    </xf>
    <xf numFmtId="4" fontId="43" fillId="7" borderId="1" applyNumberFormat="0" applyProtection="0">
      <alignment horizontal="right" vertical="center"/>
    </xf>
    <xf numFmtId="4" fontId="43" fillId="19" borderId="1" applyNumberFormat="0" applyProtection="0">
      <alignment horizontal="right" vertical="center"/>
    </xf>
    <xf numFmtId="4" fontId="43" fillId="15" borderId="1" applyNumberFormat="0" applyProtection="0">
      <alignment horizontal="right" vertical="center"/>
    </xf>
    <xf numFmtId="4" fontId="43" fillId="28" borderId="1" applyNumberFormat="0" applyProtection="0">
      <alignment horizontal="right" vertical="center"/>
    </xf>
    <xf numFmtId="4" fontId="43" fillId="5" borderId="1" applyNumberFormat="0" applyProtection="0">
      <alignment horizontal="right" vertical="center"/>
    </xf>
    <xf numFmtId="4" fontId="45" fillId="29" borderId="2" applyNumberFormat="0" applyProtection="0">
      <alignment horizontal="left" vertical="center" indent="1"/>
    </xf>
    <xf numFmtId="4" fontId="43" fillId="30" borderId="0" applyNumberFormat="0" applyProtection="0">
      <alignment horizontal="left" vertical="center" indent="1"/>
    </xf>
    <xf numFmtId="4" fontId="48" fillId="31" borderId="0" applyNumberFormat="0" applyProtection="0">
      <alignment horizontal="left" vertical="center" indent="1"/>
    </xf>
    <xf numFmtId="4" fontId="43" fillId="27" borderId="1" applyNumberFormat="0" applyProtection="0">
      <alignment horizontal="right" vertical="center"/>
    </xf>
    <xf numFmtId="4" fontId="43" fillId="30" borderId="0" applyNumberFormat="0" applyProtection="0">
      <alignment horizontal="left" vertical="center" indent="1"/>
    </xf>
    <xf numFmtId="4" fontId="43" fillId="27" borderId="0" applyNumberFormat="0" applyProtection="0">
      <alignment horizontal="left" vertical="center" indent="1"/>
    </xf>
    <xf numFmtId="0" fontId="27" fillId="31" borderId="1" applyNumberFormat="0" applyProtection="0">
      <alignment horizontal="left" vertical="center" indent="1"/>
    </xf>
    <xf numFmtId="0" fontId="27" fillId="31" borderId="1" applyNumberFormat="0" applyProtection="0">
      <alignment horizontal="left" vertical="top" indent="1"/>
    </xf>
    <xf numFmtId="0" fontId="27" fillId="27" borderId="1" applyNumberFormat="0" applyProtection="0">
      <alignment horizontal="left" vertical="center" indent="1"/>
    </xf>
    <xf numFmtId="0" fontId="27" fillId="27" borderId="1" applyNumberFormat="0" applyProtection="0">
      <alignment horizontal="left" vertical="top" indent="1"/>
    </xf>
    <xf numFmtId="0" fontId="27" fillId="3" borderId="1" applyNumberFormat="0" applyProtection="0">
      <alignment horizontal="left" vertical="center" indent="1"/>
    </xf>
    <xf numFmtId="0" fontId="27" fillId="3" borderId="1" applyNumberFormat="0" applyProtection="0">
      <alignment horizontal="left" vertical="top" indent="1"/>
    </xf>
    <xf numFmtId="0" fontId="27" fillId="30" borderId="1" applyNumberFormat="0" applyProtection="0">
      <alignment horizontal="left" vertical="center" indent="1"/>
    </xf>
    <xf numFmtId="0" fontId="27" fillId="30" borderId="1" applyNumberFormat="0" applyProtection="0">
      <alignment horizontal="left" vertical="top" indent="1"/>
    </xf>
    <xf numFmtId="0" fontId="27" fillId="32" borderId="3" applyNumberFormat="0">
      <protection locked="0"/>
    </xf>
    <xf numFmtId="4" fontId="43" fillId="26" borderId="1" applyNumberFormat="0" applyProtection="0">
      <alignment vertical="center"/>
    </xf>
    <xf numFmtId="4" fontId="49" fillId="26" borderId="1" applyNumberFormat="0" applyProtection="0">
      <alignment vertical="center"/>
    </xf>
    <xf numFmtId="4" fontId="43" fillId="26" borderId="1" applyNumberFormat="0" applyProtection="0">
      <alignment horizontal="left" vertical="center" indent="1"/>
    </xf>
    <xf numFmtId="0" fontId="43" fillId="26" borderId="1" applyNumberFormat="0" applyProtection="0">
      <alignment horizontal="left" vertical="top" indent="1"/>
    </xf>
    <xf numFmtId="4" fontId="43" fillId="30" borderId="1" applyNumberFormat="0" applyProtection="0">
      <alignment horizontal="right" vertical="center"/>
    </xf>
    <xf numFmtId="4" fontId="49" fillId="30" borderId="1" applyNumberFormat="0" applyProtection="0">
      <alignment horizontal="right" vertical="center"/>
    </xf>
    <xf numFmtId="4" fontId="43" fillId="27" borderId="1" applyNumberFormat="0" applyProtection="0">
      <alignment horizontal="left" vertical="center" indent="1"/>
    </xf>
    <xf numFmtId="0" fontId="43" fillId="27" borderId="1" applyNumberFormat="0" applyProtection="0">
      <alignment horizontal="left" vertical="top" indent="1"/>
    </xf>
    <xf numFmtId="4" fontId="50" fillId="33" borderId="0" applyNumberFormat="0" applyProtection="0">
      <alignment horizontal="left" vertical="center" indent="1"/>
    </xf>
    <xf numFmtId="4" fontId="44" fillId="30" borderId="1" applyNumberFormat="0" applyProtection="0">
      <alignment horizontal="right" vertical="center"/>
    </xf>
    <xf numFmtId="0" fontId="51" fillId="0" borderId="0" applyNumberFormat="0" applyFill="0" applyBorder="0" applyAlignment="0" applyProtection="0"/>
    <xf numFmtId="0" fontId="24" fillId="0" borderId="0"/>
    <xf numFmtId="0" fontId="23" fillId="0" borderId="0"/>
    <xf numFmtId="0" fontId="23" fillId="0" borderId="0"/>
    <xf numFmtId="176" fontId="24" fillId="0" borderId="0" applyFont="0" applyFill="0" applyBorder="0" applyAlignment="0" applyProtection="0"/>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0" fontId="65"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2" fillId="0" borderId="0"/>
    <xf numFmtId="0" fontId="22"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4" fillId="0" borderId="0"/>
    <xf numFmtId="0" fontId="24" fillId="0" borderId="0"/>
    <xf numFmtId="0" fontId="24" fillId="0" borderId="0"/>
    <xf numFmtId="0" fontId="46" fillId="0" borderId="0"/>
    <xf numFmtId="0" fontId="46" fillId="0" borderId="0"/>
    <xf numFmtId="0" fontId="46" fillId="0" borderId="0"/>
    <xf numFmtId="0" fontId="46" fillId="0" borderId="0"/>
    <xf numFmtId="0" fontId="46" fillId="0" borderId="0"/>
    <xf numFmtId="43" fontId="56" fillId="0" borderId="0" applyFont="0" applyFill="0" applyBorder="0" applyAlignment="0" applyProtection="0"/>
    <xf numFmtId="9" fontId="24" fillId="0" borderId="0" applyFont="0" applyFill="0" applyBorder="0" applyAlignment="0" applyProtection="0"/>
    <xf numFmtId="0" fontId="24" fillId="0" borderId="0"/>
    <xf numFmtId="0" fontId="17" fillId="0" borderId="0"/>
    <xf numFmtId="0" fontId="17" fillId="0" borderId="0"/>
    <xf numFmtId="0" fontId="17"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73" fillId="0" borderId="0"/>
    <xf numFmtId="0" fontId="74" fillId="0" borderId="0"/>
    <xf numFmtId="0" fontId="24" fillId="0" borderId="0"/>
    <xf numFmtId="0" fontId="24" fillId="0" borderId="0"/>
    <xf numFmtId="0" fontId="12"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182" fontId="8" fillId="0" borderId="0"/>
    <xf numFmtId="43" fontId="40" fillId="0" borderId="0" applyFont="0" applyFill="0" applyBorder="0" applyAlignment="0" applyProtection="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24" fillId="0" borderId="0" applyNumberFormat="0" applyFill="0" applyBorder="0" applyAlignment="0" applyProtection="0"/>
    <xf numFmtId="183" fontId="24" fillId="0" borderId="0" applyNumberFormat="0" applyFill="0" applyBorder="0" applyAlignment="0" applyProtection="0"/>
    <xf numFmtId="184" fontId="24" fillId="0" borderId="0" applyNumberFormat="0" applyFill="0" applyBorder="0" applyAlignment="0" applyProtection="0"/>
    <xf numFmtId="184" fontId="24" fillId="0" borderId="0" applyNumberFormat="0" applyFill="0" applyBorder="0" applyAlignment="0" applyProtection="0"/>
    <xf numFmtId="183" fontId="93" fillId="0" borderId="0" applyNumberFormat="0" applyFill="0" applyBorder="0" applyAlignment="0" applyProtection="0">
      <alignment vertical="top"/>
    </xf>
    <xf numFmtId="184" fontId="93" fillId="0" borderId="0" applyNumberFormat="0" applyFill="0" applyBorder="0" applyAlignment="0" applyProtection="0">
      <alignment vertical="top"/>
    </xf>
    <xf numFmtId="183" fontId="94" fillId="0" borderId="26" applyBorder="0">
      <alignment horizontal="left"/>
    </xf>
    <xf numFmtId="184" fontId="94" fillId="0" borderId="26" applyBorder="0">
      <alignment horizontal="left"/>
    </xf>
    <xf numFmtId="186" fontId="24" fillId="0" borderId="0">
      <alignment horizontal="left" wrapText="1"/>
    </xf>
    <xf numFmtId="186" fontId="24" fillId="0" borderId="0">
      <alignment horizontal="left" wrapText="1"/>
    </xf>
    <xf numFmtId="186" fontId="24" fillId="0" borderId="0">
      <alignment horizontal="left" wrapText="1"/>
    </xf>
    <xf numFmtId="186" fontId="24" fillId="0" borderId="0">
      <alignment horizontal="left" wrapText="1"/>
    </xf>
    <xf numFmtId="186" fontId="24" fillId="0" borderId="0">
      <alignment horizontal="left" wrapText="1"/>
    </xf>
    <xf numFmtId="186" fontId="24" fillId="0" borderId="0">
      <alignment horizontal="left" wrapText="1"/>
    </xf>
    <xf numFmtId="186" fontId="24" fillId="0" borderId="0">
      <alignment horizontal="left" wrapText="1"/>
    </xf>
    <xf numFmtId="186" fontId="24" fillId="0" borderId="0">
      <alignment horizontal="left" wrapText="1"/>
    </xf>
    <xf numFmtId="0" fontId="40" fillId="70" borderId="0" applyNumberFormat="0" applyBorder="0" applyAlignment="0" applyProtection="0"/>
    <xf numFmtId="187" fontId="43" fillId="27" borderId="0" applyNumberFormat="0" applyBorder="0" applyAlignment="0" applyProtection="0"/>
    <xf numFmtId="184" fontId="43" fillId="27" borderId="0" applyNumberFormat="0" applyBorder="0" applyAlignment="0" applyProtection="0"/>
    <xf numFmtId="184" fontId="40" fillId="70" borderId="0" applyNumberFormat="0" applyBorder="0" applyAlignment="0" applyProtection="0"/>
    <xf numFmtId="0" fontId="40" fillId="70" borderId="0" applyNumberFormat="0" applyBorder="0" applyAlignment="0" applyProtection="0"/>
    <xf numFmtId="0" fontId="8" fillId="46" borderId="0" applyNumberFormat="0" applyBorder="0" applyAlignment="0" applyProtection="0"/>
    <xf numFmtId="183" fontId="8" fillId="46" borderId="0" applyNumberFormat="0" applyBorder="0" applyAlignment="0" applyProtection="0"/>
    <xf numFmtId="184" fontId="8" fillId="46" borderId="0" applyNumberFormat="0" applyBorder="0" applyAlignment="0" applyProtection="0"/>
    <xf numFmtId="185" fontId="8" fillId="46" borderId="0" applyNumberFormat="0" applyBorder="0" applyAlignment="0" applyProtection="0"/>
    <xf numFmtId="183"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3" fontId="40" fillId="70" borderId="0" applyNumberFormat="0" applyBorder="0" applyAlignment="0" applyProtection="0"/>
    <xf numFmtId="183"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185" fontId="40" fillId="70" borderId="0" applyNumberFormat="0" applyBorder="0" applyAlignment="0" applyProtection="0"/>
    <xf numFmtId="183" fontId="40" fillId="70" borderId="0" applyNumberFormat="0" applyBorder="0" applyAlignment="0" applyProtection="0"/>
    <xf numFmtId="183"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185"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0"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0" fontId="43" fillId="27" borderId="0" applyNumberFormat="0" applyBorder="0" applyAlignment="0" applyProtection="0"/>
    <xf numFmtId="183" fontId="43" fillId="27" borderId="0" applyNumberFormat="0" applyBorder="0" applyAlignment="0" applyProtection="0"/>
    <xf numFmtId="183"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5" fontId="43" fillId="27" borderId="0" applyNumberFormat="0" applyBorder="0" applyAlignment="0" applyProtection="0"/>
    <xf numFmtId="183" fontId="43" fillId="27" borderId="0" applyNumberFormat="0" applyBorder="0" applyAlignment="0" applyProtection="0"/>
    <xf numFmtId="183"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5"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0"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5" fontId="43" fillId="27" borderId="0" applyNumberFormat="0" applyBorder="0" applyAlignment="0" applyProtection="0"/>
    <xf numFmtId="183" fontId="43" fillId="27" borderId="0" applyNumberFormat="0" applyBorder="0" applyAlignment="0" applyProtection="0"/>
    <xf numFmtId="183"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5"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0" fontId="43" fillId="27" borderId="0" applyNumberFormat="0" applyBorder="0" applyAlignment="0" applyProtection="0"/>
    <xf numFmtId="183" fontId="43" fillId="27" borderId="0" applyNumberFormat="0" applyBorder="0" applyAlignment="0" applyProtection="0"/>
    <xf numFmtId="183"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5" fontId="43" fillId="27" borderId="0" applyNumberFormat="0" applyBorder="0" applyAlignment="0" applyProtection="0"/>
    <xf numFmtId="183" fontId="43" fillId="27" borderId="0" applyNumberFormat="0" applyBorder="0" applyAlignment="0" applyProtection="0"/>
    <xf numFmtId="183"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5"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0"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3" fontId="43" fillId="27" borderId="0" applyNumberFormat="0" applyBorder="0" applyAlignment="0" applyProtection="0"/>
    <xf numFmtId="183"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3" fontId="40" fillId="70" borderId="0" applyNumberFormat="0" applyBorder="0" applyAlignment="0" applyProtection="0"/>
    <xf numFmtId="183"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185" fontId="40" fillId="70" borderId="0" applyNumberFormat="0" applyBorder="0" applyAlignment="0" applyProtection="0"/>
    <xf numFmtId="183" fontId="40" fillId="70" borderId="0" applyNumberFormat="0" applyBorder="0" applyAlignment="0" applyProtection="0"/>
    <xf numFmtId="183"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185"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0" fontId="40" fillId="70" borderId="0" applyNumberFormat="0" applyBorder="0" applyAlignment="0" applyProtection="0"/>
    <xf numFmtId="184" fontId="40" fillId="70" borderId="0" applyNumberFormat="0" applyBorder="0" applyAlignment="0" applyProtection="0"/>
    <xf numFmtId="0" fontId="40" fillId="70" borderId="0" applyNumberFormat="0" applyBorder="0" applyAlignment="0" applyProtection="0"/>
    <xf numFmtId="183" fontId="43" fillId="27" borderId="0" applyNumberFormat="0" applyBorder="0" applyAlignment="0" applyProtection="0"/>
    <xf numFmtId="183"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3" fontId="8" fillId="46" borderId="0" applyNumberFormat="0" applyBorder="0" applyAlignment="0" applyProtection="0"/>
    <xf numFmtId="184" fontId="8" fillId="46" borderId="0" applyNumberFormat="0" applyBorder="0" applyAlignment="0" applyProtection="0"/>
    <xf numFmtId="185" fontId="8" fillId="46" borderId="0" applyNumberFormat="0" applyBorder="0" applyAlignment="0" applyProtection="0"/>
    <xf numFmtId="183"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0" fontId="40" fillId="70" borderId="0" applyNumberFormat="0" applyBorder="0" applyAlignment="0" applyProtection="0"/>
    <xf numFmtId="183" fontId="8" fillId="46" borderId="0" applyNumberFormat="0" applyBorder="0" applyAlignment="0" applyProtection="0"/>
    <xf numFmtId="184" fontId="8" fillId="46" borderId="0" applyNumberFormat="0" applyBorder="0" applyAlignment="0" applyProtection="0"/>
    <xf numFmtId="185" fontId="8" fillId="46" borderId="0" applyNumberFormat="0" applyBorder="0" applyAlignment="0" applyProtection="0"/>
    <xf numFmtId="183"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0" fontId="40" fillId="70" borderId="0" applyNumberFormat="0" applyBorder="0" applyAlignment="0" applyProtection="0"/>
    <xf numFmtId="183" fontId="40" fillId="70" borderId="0" applyNumberFormat="0" applyBorder="0" applyAlignment="0" applyProtection="0"/>
    <xf numFmtId="183"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185" fontId="40" fillId="70" borderId="0" applyNumberFormat="0" applyBorder="0" applyAlignment="0" applyProtection="0"/>
    <xf numFmtId="183" fontId="40" fillId="70" borderId="0" applyNumberFormat="0" applyBorder="0" applyAlignment="0" applyProtection="0"/>
    <xf numFmtId="183"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185"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0" fontId="40" fillId="70" borderId="0" applyNumberFormat="0" applyBorder="0" applyAlignment="0" applyProtection="0"/>
    <xf numFmtId="184" fontId="40" fillId="70" borderId="0" applyNumberFormat="0" applyBorder="0" applyAlignment="0" applyProtection="0"/>
    <xf numFmtId="184" fontId="40" fillId="70" borderId="0" applyNumberFormat="0" applyBorder="0" applyAlignment="0" applyProtection="0"/>
    <xf numFmtId="185" fontId="43" fillId="27" borderId="0" applyNumberFormat="0" applyBorder="0" applyAlignment="0" applyProtection="0"/>
    <xf numFmtId="183" fontId="43" fillId="27" borderId="0" applyNumberFormat="0" applyBorder="0" applyAlignment="0" applyProtection="0"/>
    <xf numFmtId="183"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5" fontId="43" fillId="27" borderId="0" applyNumberFormat="0" applyBorder="0" applyAlignment="0" applyProtection="0"/>
    <xf numFmtId="184" fontId="43" fillId="27" borderId="0" applyNumberFormat="0" applyBorder="0" applyAlignment="0" applyProtection="0"/>
    <xf numFmtId="184" fontId="43" fillId="27" borderId="0" applyNumberFormat="0" applyBorder="0" applyAlignment="0" applyProtection="0"/>
    <xf numFmtId="184" fontId="8" fillId="46" borderId="0" applyNumberFormat="0" applyBorder="0" applyAlignment="0" applyProtection="0"/>
    <xf numFmtId="182" fontId="8" fillId="46" borderId="0" applyNumberFormat="0" applyBorder="0" applyAlignment="0" applyProtection="0"/>
    <xf numFmtId="0" fontId="40" fillId="2" borderId="0" applyNumberFormat="0" applyBorder="0" applyAlignment="0" applyProtection="0"/>
    <xf numFmtId="187" fontId="43" fillId="4" borderId="0" applyNumberFormat="0" applyBorder="0" applyAlignment="0" applyProtection="0"/>
    <xf numFmtId="184" fontId="43" fillId="4"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0" fontId="8" fillId="50" borderId="0" applyNumberFormat="0" applyBorder="0" applyAlignment="0" applyProtection="0"/>
    <xf numFmtId="183" fontId="8" fillId="50" borderId="0" applyNumberFormat="0" applyBorder="0" applyAlignment="0" applyProtection="0"/>
    <xf numFmtId="184" fontId="8" fillId="50" borderId="0" applyNumberFormat="0" applyBorder="0" applyAlignment="0" applyProtection="0"/>
    <xf numFmtId="185" fontId="8" fillId="50" borderId="0" applyNumberFormat="0" applyBorder="0" applyAlignment="0" applyProtection="0"/>
    <xf numFmtId="183" fontId="8" fillId="50" borderId="0" applyNumberFormat="0" applyBorder="0" applyAlignment="0" applyProtection="0"/>
    <xf numFmtId="184" fontId="8" fillId="50" borderId="0" applyNumberFormat="0" applyBorder="0" applyAlignment="0" applyProtection="0"/>
    <xf numFmtId="184" fontId="8" fillId="50" borderId="0" applyNumberFormat="0" applyBorder="0" applyAlignment="0" applyProtection="0"/>
    <xf numFmtId="184" fontId="8" fillId="50"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0"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0"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0"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3" fontId="8" fillId="50" borderId="0" applyNumberFormat="0" applyBorder="0" applyAlignment="0" applyProtection="0"/>
    <xf numFmtId="184" fontId="8" fillId="50" borderId="0" applyNumberFormat="0" applyBorder="0" applyAlignment="0" applyProtection="0"/>
    <xf numFmtId="185" fontId="8" fillId="50" borderId="0" applyNumberFormat="0" applyBorder="0" applyAlignment="0" applyProtection="0"/>
    <xf numFmtId="183" fontId="8" fillId="50" borderId="0" applyNumberFormat="0" applyBorder="0" applyAlignment="0" applyProtection="0"/>
    <xf numFmtId="184" fontId="8" fillId="50" borderId="0" applyNumberFormat="0" applyBorder="0" applyAlignment="0" applyProtection="0"/>
    <xf numFmtId="184" fontId="8" fillId="50" borderId="0" applyNumberFormat="0" applyBorder="0" applyAlignment="0" applyProtection="0"/>
    <xf numFmtId="184" fontId="8" fillId="50" borderId="0" applyNumberFormat="0" applyBorder="0" applyAlignment="0" applyProtection="0"/>
    <xf numFmtId="0" fontId="40" fillId="2" borderId="0" applyNumberFormat="0" applyBorder="0" applyAlignment="0" applyProtection="0"/>
    <xf numFmtId="183" fontId="8" fillId="50" borderId="0" applyNumberFormat="0" applyBorder="0" applyAlignment="0" applyProtection="0"/>
    <xf numFmtId="184" fontId="8" fillId="50" borderId="0" applyNumberFormat="0" applyBorder="0" applyAlignment="0" applyProtection="0"/>
    <xf numFmtId="185" fontId="8" fillId="50" borderId="0" applyNumberFormat="0" applyBorder="0" applyAlignment="0" applyProtection="0"/>
    <xf numFmtId="183" fontId="8" fillId="50" borderId="0" applyNumberFormat="0" applyBorder="0" applyAlignment="0" applyProtection="0"/>
    <xf numFmtId="184" fontId="8" fillId="50" borderId="0" applyNumberFormat="0" applyBorder="0" applyAlignment="0" applyProtection="0"/>
    <xf numFmtId="184" fontId="8" fillId="50" borderId="0" applyNumberFormat="0" applyBorder="0" applyAlignment="0" applyProtection="0"/>
    <xf numFmtId="184" fontId="8" fillId="50"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4" fontId="8" fillId="50" borderId="0" applyNumberFormat="0" applyBorder="0" applyAlignment="0" applyProtection="0"/>
    <xf numFmtId="182" fontId="8" fillId="50" borderId="0" applyNumberFormat="0" applyBorder="0" applyAlignment="0" applyProtection="0"/>
    <xf numFmtId="0" fontId="40" fillId="71" borderId="0" applyNumberFormat="0" applyBorder="0" applyAlignment="0" applyProtection="0"/>
    <xf numFmtId="187" fontId="43" fillId="26" borderId="0" applyNumberFormat="0" applyBorder="0" applyAlignment="0" applyProtection="0"/>
    <xf numFmtId="184" fontId="43" fillId="26" borderId="0" applyNumberFormat="0" applyBorder="0" applyAlignment="0" applyProtection="0"/>
    <xf numFmtId="184" fontId="40" fillId="71" borderId="0" applyNumberFormat="0" applyBorder="0" applyAlignment="0" applyProtection="0"/>
    <xf numFmtId="0" fontId="40" fillId="71" borderId="0" applyNumberFormat="0" applyBorder="0" applyAlignment="0" applyProtection="0"/>
    <xf numFmtId="0" fontId="8" fillId="54" borderId="0" applyNumberFormat="0" applyBorder="0" applyAlignment="0" applyProtection="0"/>
    <xf numFmtId="183" fontId="8" fillId="54" borderId="0" applyNumberFormat="0" applyBorder="0" applyAlignment="0" applyProtection="0"/>
    <xf numFmtId="184" fontId="8" fillId="54" borderId="0" applyNumberFormat="0" applyBorder="0" applyAlignment="0" applyProtection="0"/>
    <xf numFmtId="185" fontId="8" fillId="54" borderId="0" applyNumberFormat="0" applyBorder="0" applyAlignment="0" applyProtection="0"/>
    <xf numFmtId="183" fontId="8" fillId="54" borderId="0" applyNumberFormat="0" applyBorder="0" applyAlignment="0" applyProtection="0"/>
    <xf numFmtId="184" fontId="8" fillId="54" borderId="0" applyNumberFormat="0" applyBorder="0" applyAlignment="0" applyProtection="0"/>
    <xf numFmtId="184" fontId="8" fillId="54" borderId="0" applyNumberFormat="0" applyBorder="0" applyAlignment="0" applyProtection="0"/>
    <xf numFmtId="184" fontId="8" fillId="54" borderId="0" applyNumberFormat="0" applyBorder="0" applyAlignment="0" applyProtection="0"/>
    <xf numFmtId="183" fontId="40" fillId="71" borderId="0" applyNumberFormat="0" applyBorder="0" applyAlignment="0" applyProtection="0"/>
    <xf numFmtId="183"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185" fontId="40" fillId="71" borderId="0" applyNumberFormat="0" applyBorder="0" applyAlignment="0" applyProtection="0"/>
    <xf numFmtId="183" fontId="40" fillId="71" borderId="0" applyNumberFormat="0" applyBorder="0" applyAlignment="0" applyProtection="0"/>
    <xf numFmtId="183"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185"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0"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0" fontId="43" fillId="26" borderId="0" applyNumberFormat="0" applyBorder="0" applyAlignment="0" applyProtection="0"/>
    <xf numFmtId="183" fontId="43" fillId="26" borderId="0" applyNumberFormat="0" applyBorder="0" applyAlignment="0" applyProtection="0"/>
    <xf numFmtId="183"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5" fontId="43" fillId="26" borderId="0" applyNumberFormat="0" applyBorder="0" applyAlignment="0" applyProtection="0"/>
    <xf numFmtId="183" fontId="43" fillId="26" borderId="0" applyNumberFormat="0" applyBorder="0" applyAlignment="0" applyProtection="0"/>
    <xf numFmtId="183"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5"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0"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5" fontId="43" fillId="26" borderId="0" applyNumberFormat="0" applyBorder="0" applyAlignment="0" applyProtection="0"/>
    <xf numFmtId="183" fontId="43" fillId="26" borderId="0" applyNumberFormat="0" applyBorder="0" applyAlignment="0" applyProtection="0"/>
    <xf numFmtId="183"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5"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0" fontId="43" fillId="26" borderId="0" applyNumberFormat="0" applyBorder="0" applyAlignment="0" applyProtection="0"/>
    <xf numFmtId="183" fontId="43" fillId="26" borderId="0" applyNumberFormat="0" applyBorder="0" applyAlignment="0" applyProtection="0"/>
    <xf numFmtId="183"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5" fontId="43" fillId="26" borderId="0" applyNumberFormat="0" applyBorder="0" applyAlignment="0" applyProtection="0"/>
    <xf numFmtId="183" fontId="43" fillId="26" borderId="0" applyNumberFormat="0" applyBorder="0" applyAlignment="0" applyProtection="0"/>
    <xf numFmtId="183"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5"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0"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3" fontId="43" fillId="26" borderId="0" applyNumberFormat="0" applyBorder="0" applyAlignment="0" applyProtection="0"/>
    <xf numFmtId="183"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3" fontId="40" fillId="71" borderId="0" applyNumberFormat="0" applyBorder="0" applyAlignment="0" applyProtection="0"/>
    <xf numFmtId="183"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185" fontId="40" fillId="71" borderId="0" applyNumberFormat="0" applyBorder="0" applyAlignment="0" applyProtection="0"/>
    <xf numFmtId="183" fontId="40" fillId="71" borderId="0" applyNumberFormat="0" applyBorder="0" applyAlignment="0" applyProtection="0"/>
    <xf numFmtId="183"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185"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0" fontId="40" fillId="71" borderId="0" applyNumberFormat="0" applyBorder="0" applyAlignment="0" applyProtection="0"/>
    <xf numFmtId="184" fontId="40" fillId="71" borderId="0" applyNumberFormat="0" applyBorder="0" applyAlignment="0" applyProtection="0"/>
    <xf numFmtId="0" fontId="40" fillId="71" borderId="0" applyNumberFormat="0" applyBorder="0" applyAlignment="0" applyProtection="0"/>
    <xf numFmtId="183" fontId="43" fillId="26" borderId="0" applyNumberFormat="0" applyBorder="0" applyAlignment="0" applyProtection="0"/>
    <xf numFmtId="183"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3" fontId="8" fillId="54" borderId="0" applyNumberFormat="0" applyBorder="0" applyAlignment="0" applyProtection="0"/>
    <xf numFmtId="184" fontId="8" fillId="54" borderId="0" applyNumberFormat="0" applyBorder="0" applyAlignment="0" applyProtection="0"/>
    <xf numFmtId="185" fontId="8" fillId="54" borderId="0" applyNumberFormat="0" applyBorder="0" applyAlignment="0" applyProtection="0"/>
    <xf numFmtId="183" fontId="8" fillId="54" borderId="0" applyNumberFormat="0" applyBorder="0" applyAlignment="0" applyProtection="0"/>
    <xf numFmtId="184" fontId="8" fillId="54" borderId="0" applyNumberFormat="0" applyBorder="0" applyAlignment="0" applyProtection="0"/>
    <xf numFmtId="184" fontId="8" fillId="54" borderId="0" applyNumberFormat="0" applyBorder="0" applyAlignment="0" applyProtection="0"/>
    <xf numFmtId="184" fontId="8" fillId="54" borderId="0" applyNumberFormat="0" applyBorder="0" applyAlignment="0" applyProtection="0"/>
    <xf numFmtId="0" fontId="40" fillId="71" borderId="0" applyNumberFormat="0" applyBorder="0" applyAlignment="0" applyProtection="0"/>
    <xf numFmtId="183" fontId="8" fillId="54" borderId="0" applyNumberFormat="0" applyBorder="0" applyAlignment="0" applyProtection="0"/>
    <xf numFmtId="184" fontId="8" fillId="54" borderId="0" applyNumberFormat="0" applyBorder="0" applyAlignment="0" applyProtection="0"/>
    <xf numFmtId="185" fontId="8" fillId="54" borderId="0" applyNumberFormat="0" applyBorder="0" applyAlignment="0" applyProtection="0"/>
    <xf numFmtId="183" fontId="8" fillId="54" borderId="0" applyNumberFormat="0" applyBorder="0" applyAlignment="0" applyProtection="0"/>
    <xf numFmtId="184" fontId="8" fillId="54" borderId="0" applyNumberFormat="0" applyBorder="0" applyAlignment="0" applyProtection="0"/>
    <xf numFmtId="184" fontId="8" fillId="54" borderId="0" applyNumberFormat="0" applyBorder="0" applyAlignment="0" applyProtection="0"/>
    <xf numFmtId="184" fontId="8" fillId="54" borderId="0" applyNumberFormat="0" applyBorder="0" applyAlignment="0" applyProtection="0"/>
    <xf numFmtId="0" fontId="40" fillId="71" borderId="0" applyNumberFormat="0" applyBorder="0" applyAlignment="0" applyProtection="0"/>
    <xf numFmtId="183" fontId="40" fillId="71" borderId="0" applyNumberFormat="0" applyBorder="0" applyAlignment="0" applyProtection="0"/>
    <xf numFmtId="183"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185" fontId="40" fillId="71" borderId="0" applyNumberFormat="0" applyBorder="0" applyAlignment="0" applyProtection="0"/>
    <xf numFmtId="183" fontId="40" fillId="71" borderId="0" applyNumberFormat="0" applyBorder="0" applyAlignment="0" applyProtection="0"/>
    <xf numFmtId="183"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185"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0" fontId="40" fillId="71" borderId="0" applyNumberFormat="0" applyBorder="0" applyAlignment="0" applyProtection="0"/>
    <xf numFmtId="184" fontId="40" fillId="71" borderId="0" applyNumberFormat="0" applyBorder="0" applyAlignment="0" applyProtection="0"/>
    <xf numFmtId="184" fontId="40" fillId="71" borderId="0" applyNumberFormat="0" applyBorder="0" applyAlignment="0" applyProtection="0"/>
    <xf numFmtId="185" fontId="43" fillId="26" borderId="0" applyNumberFormat="0" applyBorder="0" applyAlignment="0" applyProtection="0"/>
    <xf numFmtId="183" fontId="43" fillId="26" borderId="0" applyNumberFormat="0" applyBorder="0" applyAlignment="0" applyProtection="0"/>
    <xf numFmtId="183"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5" fontId="43" fillId="26" borderId="0" applyNumberFormat="0" applyBorder="0" applyAlignment="0" applyProtection="0"/>
    <xf numFmtId="184" fontId="43" fillId="26" borderId="0" applyNumberFormat="0" applyBorder="0" applyAlignment="0" applyProtection="0"/>
    <xf numFmtId="184" fontId="43" fillId="26" borderId="0" applyNumberFormat="0" applyBorder="0" applyAlignment="0" applyProtection="0"/>
    <xf numFmtId="184" fontId="8" fillId="54" borderId="0" applyNumberFormat="0" applyBorder="0" applyAlignment="0" applyProtection="0"/>
    <xf numFmtId="182" fontId="8" fillId="54" borderId="0" applyNumberFormat="0" applyBorder="0" applyAlignment="0" applyProtection="0"/>
    <xf numFmtId="0" fontId="40" fillId="72" borderId="0" applyNumberFormat="0" applyBorder="0" applyAlignment="0" applyProtection="0"/>
    <xf numFmtId="187" fontId="43" fillId="32" borderId="0" applyNumberFormat="0" applyBorder="0" applyAlignment="0" applyProtection="0"/>
    <xf numFmtId="184" fontId="43" fillId="32"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0" fontId="8" fillId="58" borderId="0" applyNumberFormat="0" applyBorder="0" applyAlignment="0" applyProtection="0"/>
    <xf numFmtId="183" fontId="8" fillId="58" borderId="0" applyNumberFormat="0" applyBorder="0" applyAlignment="0" applyProtection="0"/>
    <xf numFmtId="184" fontId="8" fillId="58" borderId="0" applyNumberFormat="0" applyBorder="0" applyAlignment="0" applyProtection="0"/>
    <xf numFmtId="185" fontId="8" fillId="58" borderId="0" applyNumberFormat="0" applyBorder="0" applyAlignment="0" applyProtection="0"/>
    <xf numFmtId="183" fontId="8" fillId="58" borderId="0" applyNumberFormat="0" applyBorder="0" applyAlignment="0" applyProtection="0"/>
    <xf numFmtId="184" fontId="8" fillId="58" borderId="0" applyNumberFormat="0" applyBorder="0" applyAlignment="0" applyProtection="0"/>
    <xf numFmtId="184" fontId="8" fillId="58" borderId="0" applyNumberFormat="0" applyBorder="0" applyAlignment="0" applyProtection="0"/>
    <xf numFmtId="184" fontId="8" fillId="58"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0" fontId="43" fillId="32" borderId="0" applyNumberFormat="0" applyBorder="0" applyAlignment="0" applyProtection="0"/>
    <xf numFmtId="183" fontId="43" fillId="32" borderId="0" applyNumberFormat="0" applyBorder="0" applyAlignment="0" applyProtection="0"/>
    <xf numFmtId="183"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5" fontId="43" fillId="32" borderId="0" applyNumberFormat="0" applyBorder="0" applyAlignment="0" applyProtection="0"/>
    <xf numFmtId="183" fontId="43" fillId="32" borderId="0" applyNumberFormat="0" applyBorder="0" applyAlignment="0" applyProtection="0"/>
    <xf numFmtId="183"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5"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0"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5" fontId="43" fillId="32" borderId="0" applyNumberFormat="0" applyBorder="0" applyAlignment="0" applyProtection="0"/>
    <xf numFmtId="183" fontId="43" fillId="32" borderId="0" applyNumberFormat="0" applyBorder="0" applyAlignment="0" applyProtection="0"/>
    <xf numFmtId="183"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5"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0" fontId="43" fillId="32" borderId="0" applyNumberFormat="0" applyBorder="0" applyAlignment="0" applyProtection="0"/>
    <xf numFmtId="183" fontId="43" fillId="32" borderId="0" applyNumberFormat="0" applyBorder="0" applyAlignment="0" applyProtection="0"/>
    <xf numFmtId="183"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5" fontId="43" fillId="32" borderId="0" applyNumberFormat="0" applyBorder="0" applyAlignment="0" applyProtection="0"/>
    <xf numFmtId="183" fontId="43" fillId="32" borderId="0" applyNumberFormat="0" applyBorder="0" applyAlignment="0" applyProtection="0"/>
    <xf numFmtId="183"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5"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0"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3" fontId="43" fillId="32" borderId="0" applyNumberFormat="0" applyBorder="0" applyAlignment="0" applyProtection="0"/>
    <xf numFmtId="183"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183" fontId="43" fillId="32" borderId="0" applyNumberFormat="0" applyBorder="0" applyAlignment="0" applyProtection="0"/>
    <xf numFmtId="183"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3" fontId="8" fillId="58" borderId="0" applyNumberFormat="0" applyBorder="0" applyAlignment="0" applyProtection="0"/>
    <xf numFmtId="184" fontId="8" fillId="58" borderId="0" applyNumberFormat="0" applyBorder="0" applyAlignment="0" applyProtection="0"/>
    <xf numFmtId="185" fontId="8" fillId="58" borderId="0" applyNumberFormat="0" applyBorder="0" applyAlignment="0" applyProtection="0"/>
    <xf numFmtId="183" fontId="8" fillId="58" borderId="0" applyNumberFormat="0" applyBorder="0" applyAlignment="0" applyProtection="0"/>
    <xf numFmtId="184" fontId="8" fillId="58" borderId="0" applyNumberFormat="0" applyBorder="0" applyAlignment="0" applyProtection="0"/>
    <xf numFmtId="184" fontId="8" fillId="58" borderId="0" applyNumberFormat="0" applyBorder="0" applyAlignment="0" applyProtection="0"/>
    <xf numFmtId="184" fontId="8" fillId="58" borderId="0" applyNumberFormat="0" applyBorder="0" applyAlignment="0" applyProtection="0"/>
    <xf numFmtId="0" fontId="40" fillId="72" borderId="0" applyNumberFormat="0" applyBorder="0" applyAlignment="0" applyProtection="0"/>
    <xf numFmtId="183" fontId="8" fillId="58" borderId="0" applyNumberFormat="0" applyBorder="0" applyAlignment="0" applyProtection="0"/>
    <xf numFmtId="184" fontId="8" fillId="58" borderId="0" applyNumberFormat="0" applyBorder="0" applyAlignment="0" applyProtection="0"/>
    <xf numFmtId="185" fontId="8" fillId="58" borderId="0" applyNumberFormat="0" applyBorder="0" applyAlignment="0" applyProtection="0"/>
    <xf numFmtId="183" fontId="8" fillId="58" borderId="0" applyNumberFormat="0" applyBorder="0" applyAlignment="0" applyProtection="0"/>
    <xf numFmtId="184" fontId="8" fillId="58" borderId="0" applyNumberFormat="0" applyBorder="0" applyAlignment="0" applyProtection="0"/>
    <xf numFmtId="184" fontId="8" fillId="58" borderId="0" applyNumberFormat="0" applyBorder="0" applyAlignment="0" applyProtection="0"/>
    <xf numFmtId="184" fontId="8" fillId="58" borderId="0" applyNumberFormat="0" applyBorder="0" applyAlignment="0" applyProtection="0"/>
    <xf numFmtId="0" fontId="40" fillId="72"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3" fillId="32" borderId="0" applyNumberFormat="0" applyBorder="0" applyAlignment="0" applyProtection="0"/>
    <xf numFmtId="183" fontId="43" fillId="32" borderId="0" applyNumberFormat="0" applyBorder="0" applyAlignment="0" applyProtection="0"/>
    <xf numFmtId="183"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5" fontId="43" fillId="32" borderId="0" applyNumberFormat="0" applyBorder="0" applyAlignment="0" applyProtection="0"/>
    <xf numFmtId="184" fontId="43" fillId="32" borderId="0" applyNumberFormat="0" applyBorder="0" applyAlignment="0" applyProtection="0"/>
    <xf numFmtId="184" fontId="43" fillId="32" borderId="0" applyNumberFormat="0" applyBorder="0" applyAlignment="0" applyProtection="0"/>
    <xf numFmtId="184" fontId="8" fillId="58" borderId="0" applyNumberFormat="0" applyBorder="0" applyAlignment="0" applyProtection="0"/>
    <xf numFmtId="182" fontId="8" fillId="58" borderId="0" applyNumberFormat="0" applyBorder="0" applyAlignment="0" applyProtection="0"/>
    <xf numFmtId="0" fontId="40" fillId="73" borderId="0" applyNumberFormat="0" applyBorder="0" applyAlignment="0" applyProtection="0"/>
    <xf numFmtId="187" fontId="43" fillId="3" borderId="0" applyNumberFormat="0" applyBorder="0" applyAlignment="0" applyProtection="0"/>
    <xf numFmtId="184" fontId="43" fillId="3" borderId="0" applyNumberFormat="0" applyBorder="0" applyAlignment="0" applyProtection="0"/>
    <xf numFmtId="184" fontId="40" fillId="73" borderId="0" applyNumberFormat="0" applyBorder="0" applyAlignment="0" applyProtection="0"/>
    <xf numFmtId="0" fontId="40" fillId="73" borderId="0" applyNumberFormat="0" applyBorder="0" applyAlignment="0" applyProtection="0"/>
    <xf numFmtId="0" fontId="8" fillId="62" borderId="0" applyNumberFormat="0" applyBorder="0" applyAlignment="0" applyProtection="0"/>
    <xf numFmtId="183" fontId="8" fillId="62" borderId="0" applyNumberFormat="0" applyBorder="0" applyAlignment="0" applyProtection="0"/>
    <xf numFmtId="184" fontId="8" fillId="62" borderId="0" applyNumberFormat="0" applyBorder="0" applyAlignment="0" applyProtection="0"/>
    <xf numFmtId="185" fontId="8" fillId="62" borderId="0" applyNumberFormat="0" applyBorder="0" applyAlignment="0" applyProtection="0"/>
    <xf numFmtId="183" fontId="8" fillId="62" borderId="0" applyNumberFormat="0" applyBorder="0" applyAlignment="0" applyProtection="0"/>
    <xf numFmtId="184" fontId="8" fillId="62" borderId="0" applyNumberFormat="0" applyBorder="0" applyAlignment="0" applyProtection="0"/>
    <xf numFmtId="184" fontId="8" fillId="62" borderId="0" applyNumberFormat="0" applyBorder="0" applyAlignment="0" applyProtection="0"/>
    <xf numFmtId="184" fontId="8" fillId="62" borderId="0" applyNumberFormat="0" applyBorder="0" applyAlignment="0" applyProtection="0"/>
    <xf numFmtId="183" fontId="40" fillId="73" borderId="0" applyNumberFormat="0" applyBorder="0" applyAlignment="0" applyProtection="0"/>
    <xf numFmtId="183"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185" fontId="40" fillId="73" borderId="0" applyNumberFormat="0" applyBorder="0" applyAlignment="0" applyProtection="0"/>
    <xf numFmtId="183" fontId="40" fillId="73" borderId="0" applyNumberFormat="0" applyBorder="0" applyAlignment="0" applyProtection="0"/>
    <xf numFmtId="183"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185"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0"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0" fontId="43" fillId="3" borderId="0" applyNumberFormat="0" applyBorder="0" applyAlignment="0" applyProtection="0"/>
    <xf numFmtId="183" fontId="43" fillId="3" borderId="0" applyNumberFormat="0" applyBorder="0" applyAlignment="0" applyProtection="0"/>
    <xf numFmtId="183"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5" fontId="43" fillId="3" borderId="0" applyNumberFormat="0" applyBorder="0" applyAlignment="0" applyProtection="0"/>
    <xf numFmtId="183" fontId="43" fillId="3" borderId="0" applyNumberFormat="0" applyBorder="0" applyAlignment="0" applyProtection="0"/>
    <xf numFmtId="183"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5"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0"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5" fontId="43" fillId="3" borderId="0" applyNumberFormat="0" applyBorder="0" applyAlignment="0" applyProtection="0"/>
    <xf numFmtId="183" fontId="43" fillId="3" borderId="0" applyNumberFormat="0" applyBorder="0" applyAlignment="0" applyProtection="0"/>
    <xf numFmtId="183"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5"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0" fontId="43" fillId="3" borderId="0" applyNumberFormat="0" applyBorder="0" applyAlignment="0" applyProtection="0"/>
    <xf numFmtId="183" fontId="43" fillId="3" borderId="0" applyNumberFormat="0" applyBorder="0" applyAlignment="0" applyProtection="0"/>
    <xf numFmtId="183"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5" fontId="43" fillId="3" borderId="0" applyNumberFormat="0" applyBorder="0" applyAlignment="0" applyProtection="0"/>
    <xf numFmtId="183" fontId="43" fillId="3" borderId="0" applyNumberFormat="0" applyBorder="0" applyAlignment="0" applyProtection="0"/>
    <xf numFmtId="183"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5"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0"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3" fontId="43" fillId="3" borderId="0" applyNumberFormat="0" applyBorder="0" applyAlignment="0" applyProtection="0"/>
    <xf numFmtId="183"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3" fontId="40" fillId="73" borderId="0" applyNumberFormat="0" applyBorder="0" applyAlignment="0" applyProtection="0"/>
    <xf numFmtId="183"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185" fontId="40" fillId="73" borderId="0" applyNumberFormat="0" applyBorder="0" applyAlignment="0" applyProtection="0"/>
    <xf numFmtId="183" fontId="40" fillId="73" borderId="0" applyNumberFormat="0" applyBorder="0" applyAlignment="0" applyProtection="0"/>
    <xf numFmtId="183"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185"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0" fontId="40" fillId="73" borderId="0" applyNumberFormat="0" applyBorder="0" applyAlignment="0" applyProtection="0"/>
    <xf numFmtId="184" fontId="40" fillId="73" borderId="0" applyNumberFormat="0" applyBorder="0" applyAlignment="0" applyProtection="0"/>
    <xf numFmtId="0" fontId="40" fillId="73" borderId="0" applyNumberFormat="0" applyBorder="0" applyAlignment="0" applyProtection="0"/>
    <xf numFmtId="183" fontId="43" fillId="3" borderId="0" applyNumberFormat="0" applyBorder="0" applyAlignment="0" applyProtection="0"/>
    <xf numFmtId="183"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3" fontId="8" fillId="62" borderId="0" applyNumberFormat="0" applyBorder="0" applyAlignment="0" applyProtection="0"/>
    <xf numFmtId="184" fontId="8" fillId="62" borderId="0" applyNumberFormat="0" applyBorder="0" applyAlignment="0" applyProtection="0"/>
    <xf numFmtId="185" fontId="8" fillId="62" borderId="0" applyNumberFormat="0" applyBorder="0" applyAlignment="0" applyProtection="0"/>
    <xf numFmtId="183" fontId="8" fillId="62" borderId="0" applyNumberFormat="0" applyBorder="0" applyAlignment="0" applyProtection="0"/>
    <xf numFmtId="184" fontId="8" fillId="62" borderId="0" applyNumberFormat="0" applyBorder="0" applyAlignment="0" applyProtection="0"/>
    <xf numFmtId="184" fontId="8" fillId="62" borderId="0" applyNumberFormat="0" applyBorder="0" applyAlignment="0" applyProtection="0"/>
    <xf numFmtId="184" fontId="8" fillId="62" borderId="0" applyNumberFormat="0" applyBorder="0" applyAlignment="0" applyProtection="0"/>
    <xf numFmtId="0" fontId="40" fillId="73" borderId="0" applyNumberFormat="0" applyBorder="0" applyAlignment="0" applyProtection="0"/>
    <xf numFmtId="183" fontId="8" fillId="62" borderId="0" applyNumberFormat="0" applyBorder="0" applyAlignment="0" applyProtection="0"/>
    <xf numFmtId="184" fontId="8" fillId="62" borderId="0" applyNumberFormat="0" applyBorder="0" applyAlignment="0" applyProtection="0"/>
    <xf numFmtId="185" fontId="8" fillId="62" borderId="0" applyNumberFormat="0" applyBorder="0" applyAlignment="0" applyProtection="0"/>
    <xf numFmtId="183" fontId="8" fillId="62" borderId="0" applyNumberFormat="0" applyBorder="0" applyAlignment="0" applyProtection="0"/>
    <xf numFmtId="184" fontId="8" fillId="62" borderId="0" applyNumberFormat="0" applyBorder="0" applyAlignment="0" applyProtection="0"/>
    <xf numFmtId="184" fontId="8" fillId="62" borderId="0" applyNumberFormat="0" applyBorder="0" applyAlignment="0" applyProtection="0"/>
    <xf numFmtId="184" fontId="8" fillId="62" borderId="0" applyNumberFormat="0" applyBorder="0" applyAlignment="0" applyProtection="0"/>
    <xf numFmtId="0" fontId="40" fillId="73" borderId="0" applyNumberFormat="0" applyBorder="0" applyAlignment="0" applyProtection="0"/>
    <xf numFmtId="183" fontId="40" fillId="73" borderId="0" applyNumberFormat="0" applyBorder="0" applyAlignment="0" applyProtection="0"/>
    <xf numFmtId="183"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185" fontId="40" fillId="73" borderId="0" applyNumberFormat="0" applyBorder="0" applyAlignment="0" applyProtection="0"/>
    <xf numFmtId="183" fontId="40" fillId="73" borderId="0" applyNumberFormat="0" applyBorder="0" applyAlignment="0" applyProtection="0"/>
    <xf numFmtId="183"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185"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0" fontId="40" fillId="73" borderId="0" applyNumberFormat="0" applyBorder="0" applyAlignment="0" applyProtection="0"/>
    <xf numFmtId="184" fontId="40" fillId="73" borderId="0" applyNumberFormat="0" applyBorder="0" applyAlignment="0" applyProtection="0"/>
    <xf numFmtId="184" fontId="40" fillId="73" borderId="0" applyNumberFormat="0" applyBorder="0" applyAlignment="0" applyProtection="0"/>
    <xf numFmtId="185" fontId="43" fillId="3" borderId="0" applyNumberFormat="0" applyBorder="0" applyAlignment="0" applyProtection="0"/>
    <xf numFmtId="183" fontId="43" fillId="3" borderId="0" applyNumberFormat="0" applyBorder="0" applyAlignment="0" applyProtection="0"/>
    <xf numFmtId="183"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5" fontId="43" fillId="3" borderId="0" applyNumberFormat="0" applyBorder="0" applyAlignment="0" applyProtection="0"/>
    <xf numFmtId="184" fontId="43" fillId="3" borderId="0" applyNumberFormat="0" applyBorder="0" applyAlignment="0" applyProtection="0"/>
    <xf numFmtId="184" fontId="43" fillId="3" borderId="0" applyNumberFormat="0" applyBorder="0" applyAlignment="0" applyProtection="0"/>
    <xf numFmtId="184" fontId="8" fillId="62" borderId="0" applyNumberFormat="0" applyBorder="0" applyAlignment="0" applyProtection="0"/>
    <xf numFmtId="182" fontId="8" fillId="62" borderId="0" applyNumberFormat="0" applyBorder="0" applyAlignment="0" applyProtection="0"/>
    <xf numFmtId="0" fontId="40" fillId="74" borderId="0" applyNumberFormat="0" applyBorder="0" applyAlignment="0" applyProtection="0"/>
    <xf numFmtId="187" fontId="43" fillId="2" borderId="0" applyNumberFormat="0" applyBorder="0" applyAlignment="0" applyProtection="0"/>
    <xf numFmtId="184" fontId="43" fillId="2"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0" fontId="8" fillId="66" borderId="0" applyNumberFormat="0" applyBorder="0" applyAlignment="0" applyProtection="0"/>
    <xf numFmtId="183" fontId="8" fillId="66" borderId="0" applyNumberFormat="0" applyBorder="0" applyAlignment="0" applyProtection="0"/>
    <xf numFmtId="184" fontId="8" fillId="66" borderId="0" applyNumberFormat="0" applyBorder="0" applyAlignment="0" applyProtection="0"/>
    <xf numFmtId="185" fontId="8" fillId="66" borderId="0" applyNumberFormat="0" applyBorder="0" applyAlignment="0" applyProtection="0"/>
    <xf numFmtId="183" fontId="8" fillId="66" borderId="0" applyNumberFormat="0" applyBorder="0" applyAlignment="0" applyProtection="0"/>
    <xf numFmtId="184" fontId="8" fillId="66" borderId="0" applyNumberFormat="0" applyBorder="0" applyAlignment="0" applyProtection="0"/>
    <xf numFmtId="184" fontId="8" fillId="66" borderId="0" applyNumberFormat="0" applyBorder="0" applyAlignment="0" applyProtection="0"/>
    <xf numFmtId="184" fontId="8" fillId="6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3" fillId="2" borderId="0" applyNumberFormat="0" applyBorder="0" applyAlignment="0" applyProtection="0"/>
    <xf numFmtId="183" fontId="43" fillId="2" borderId="0" applyNumberFormat="0" applyBorder="0" applyAlignment="0" applyProtection="0"/>
    <xf numFmtId="183"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5" fontId="43" fillId="2" borderId="0" applyNumberFormat="0" applyBorder="0" applyAlignment="0" applyProtection="0"/>
    <xf numFmtId="183" fontId="43" fillId="2" borderId="0" applyNumberFormat="0" applyBorder="0" applyAlignment="0" applyProtection="0"/>
    <xf numFmtId="183"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5"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0"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5" fontId="43" fillId="2" borderId="0" applyNumberFormat="0" applyBorder="0" applyAlignment="0" applyProtection="0"/>
    <xf numFmtId="183" fontId="43" fillId="2" borderId="0" applyNumberFormat="0" applyBorder="0" applyAlignment="0" applyProtection="0"/>
    <xf numFmtId="183"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5"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0" fontId="43" fillId="2" borderId="0" applyNumberFormat="0" applyBorder="0" applyAlignment="0" applyProtection="0"/>
    <xf numFmtId="183" fontId="43" fillId="2" borderId="0" applyNumberFormat="0" applyBorder="0" applyAlignment="0" applyProtection="0"/>
    <xf numFmtId="183"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5" fontId="43" fillId="2" borderId="0" applyNumberFormat="0" applyBorder="0" applyAlignment="0" applyProtection="0"/>
    <xf numFmtId="183" fontId="43" fillId="2" borderId="0" applyNumberFormat="0" applyBorder="0" applyAlignment="0" applyProtection="0"/>
    <xf numFmtId="183"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5"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0"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3" fontId="43" fillId="2" borderId="0" applyNumberFormat="0" applyBorder="0" applyAlignment="0" applyProtection="0"/>
    <xf numFmtId="183"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3" fillId="2" borderId="0" applyNumberFormat="0" applyBorder="0" applyAlignment="0" applyProtection="0"/>
    <xf numFmtId="183"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3" fontId="8" fillId="66" borderId="0" applyNumberFormat="0" applyBorder="0" applyAlignment="0" applyProtection="0"/>
    <xf numFmtId="184" fontId="8" fillId="66" borderId="0" applyNumberFormat="0" applyBorder="0" applyAlignment="0" applyProtection="0"/>
    <xf numFmtId="185" fontId="8" fillId="66" borderId="0" applyNumberFormat="0" applyBorder="0" applyAlignment="0" applyProtection="0"/>
    <xf numFmtId="183" fontId="8" fillId="66" borderId="0" applyNumberFormat="0" applyBorder="0" applyAlignment="0" applyProtection="0"/>
    <xf numFmtId="184" fontId="8" fillId="66" borderId="0" applyNumberFormat="0" applyBorder="0" applyAlignment="0" applyProtection="0"/>
    <xf numFmtId="184" fontId="8" fillId="66" borderId="0" applyNumberFormat="0" applyBorder="0" applyAlignment="0" applyProtection="0"/>
    <xf numFmtId="184" fontId="8" fillId="66" borderId="0" applyNumberFormat="0" applyBorder="0" applyAlignment="0" applyProtection="0"/>
    <xf numFmtId="0" fontId="40" fillId="74" borderId="0" applyNumberFormat="0" applyBorder="0" applyAlignment="0" applyProtection="0"/>
    <xf numFmtId="183" fontId="8" fillId="66" borderId="0" applyNumberFormat="0" applyBorder="0" applyAlignment="0" applyProtection="0"/>
    <xf numFmtId="184" fontId="8" fillId="66" borderId="0" applyNumberFormat="0" applyBorder="0" applyAlignment="0" applyProtection="0"/>
    <xf numFmtId="185" fontId="8" fillId="66" borderId="0" applyNumberFormat="0" applyBorder="0" applyAlignment="0" applyProtection="0"/>
    <xf numFmtId="183" fontId="8" fillId="66" borderId="0" applyNumberFormat="0" applyBorder="0" applyAlignment="0" applyProtection="0"/>
    <xf numFmtId="184" fontId="8" fillId="66" borderId="0" applyNumberFormat="0" applyBorder="0" applyAlignment="0" applyProtection="0"/>
    <xf numFmtId="184" fontId="8" fillId="66" borderId="0" applyNumberFormat="0" applyBorder="0" applyAlignment="0" applyProtection="0"/>
    <xf numFmtId="184" fontId="8" fillId="6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3" fillId="2" borderId="0" applyNumberFormat="0" applyBorder="0" applyAlignment="0" applyProtection="0"/>
    <xf numFmtId="183" fontId="43" fillId="2" borderId="0" applyNumberFormat="0" applyBorder="0" applyAlignment="0" applyProtection="0"/>
    <xf numFmtId="183"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5" fontId="43" fillId="2" borderId="0" applyNumberFormat="0" applyBorder="0" applyAlignment="0" applyProtection="0"/>
    <xf numFmtId="184" fontId="43" fillId="2" borderId="0" applyNumberFormat="0" applyBorder="0" applyAlignment="0" applyProtection="0"/>
    <xf numFmtId="184" fontId="43" fillId="2" borderId="0" applyNumberFormat="0" applyBorder="0" applyAlignment="0" applyProtection="0"/>
    <xf numFmtId="184" fontId="8" fillId="66" borderId="0" applyNumberFormat="0" applyBorder="0" applyAlignment="0" applyProtection="0"/>
    <xf numFmtId="182" fontId="8" fillId="66" borderId="0" applyNumberFormat="0" applyBorder="0" applyAlignment="0" applyProtection="0"/>
    <xf numFmtId="0" fontId="40" fillId="3" borderId="0" applyNumberFormat="0" applyBorder="0" applyAlignment="0" applyProtection="0"/>
    <xf numFmtId="187" fontId="43" fillId="31" borderId="0" applyNumberFormat="0" applyBorder="0" applyAlignment="0" applyProtection="0"/>
    <xf numFmtId="184" fontId="43" fillId="31"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0" fontId="8" fillId="47" borderId="0" applyNumberFormat="0" applyBorder="0" applyAlignment="0" applyProtection="0"/>
    <xf numFmtId="183" fontId="8" fillId="47" borderId="0" applyNumberFormat="0" applyBorder="0" applyAlignment="0" applyProtection="0"/>
    <xf numFmtId="184"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4" fontId="8" fillId="47" borderId="0" applyNumberFormat="0" applyBorder="0" applyAlignment="0" applyProtection="0"/>
    <xf numFmtId="184" fontId="8" fillId="47" borderId="0" applyNumberFormat="0" applyBorder="0" applyAlignment="0" applyProtection="0"/>
    <xf numFmtId="184" fontId="8" fillId="47"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0"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0"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0"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3" fontId="8" fillId="47" borderId="0" applyNumberFormat="0" applyBorder="0" applyAlignment="0" applyProtection="0"/>
    <xf numFmtId="184"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4" fontId="8" fillId="47" borderId="0" applyNumberFormat="0" applyBorder="0" applyAlignment="0" applyProtection="0"/>
    <xf numFmtId="184" fontId="8" fillId="47" borderId="0" applyNumberFormat="0" applyBorder="0" applyAlignment="0" applyProtection="0"/>
    <xf numFmtId="184" fontId="8" fillId="47" borderId="0" applyNumberFormat="0" applyBorder="0" applyAlignment="0" applyProtection="0"/>
    <xf numFmtId="0" fontId="40" fillId="3" borderId="0" applyNumberFormat="0" applyBorder="0" applyAlignment="0" applyProtection="0"/>
    <xf numFmtId="183" fontId="8" fillId="47" borderId="0" applyNumberFormat="0" applyBorder="0" applyAlignment="0" applyProtection="0"/>
    <xf numFmtId="184"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4" fontId="8" fillId="47" borderId="0" applyNumberFormat="0" applyBorder="0" applyAlignment="0" applyProtection="0"/>
    <xf numFmtId="184" fontId="8" fillId="47" borderId="0" applyNumberFormat="0" applyBorder="0" applyAlignment="0" applyProtection="0"/>
    <xf numFmtId="184" fontId="8" fillId="47"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4" fontId="8" fillId="47" borderId="0" applyNumberFormat="0" applyBorder="0" applyAlignment="0" applyProtection="0"/>
    <xf numFmtId="182" fontId="8" fillId="47" borderId="0" applyNumberFormat="0" applyBorder="0" applyAlignment="0" applyProtection="0"/>
    <xf numFmtId="0" fontId="40" fillId="4" borderId="0" applyNumberFormat="0" applyBorder="0" applyAlignment="0" applyProtection="0"/>
    <xf numFmtId="187" fontId="43" fillId="4" borderId="0" applyNumberFormat="0" applyBorder="0" applyAlignment="0" applyProtection="0"/>
    <xf numFmtId="184" fontId="43"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0" fontId="8" fillId="51" borderId="0" applyNumberFormat="0" applyBorder="0" applyAlignment="0" applyProtection="0"/>
    <xf numFmtId="183" fontId="8" fillId="51" borderId="0" applyNumberFormat="0" applyBorder="0" applyAlignment="0" applyProtection="0"/>
    <xf numFmtId="184" fontId="8" fillId="51" borderId="0" applyNumberFormat="0" applyBorder="0" applyAlignment="0" applyProtection="0"/>
    <xf numFmtId="185" fontId="8" fillId="51" borderId="0" applyNumberFormat="0" applyBorder="0" applyAlignment="0" applyProtection="0"/>
    <xf numFmtId="183" fontId="8" fillId="51" borderId="0" applyNumberFormat="0" applyBorder="0" applyAlignment="0" applyProtection="0"/>
    <xf numFmtId="184" fontId="8" fillId="51" borderId="0" applyNumberFormat="0" applyBorder="0" applyAlignment="0" applyProtection="0"/>
    <xf numFmtId="184" fontId="8" fillId="51" borderId="0" applyNumberFormat="0" applyBorder="0" applyAlignment="0" applyProtection="0"/>
    <xf numFmtId="184" fontId="8" fillId="51"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0"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0"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0"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3" fontId="8" fillId="51" borderId="0" applyNumberFormat="0" applyBorder="0" applyAlignment="0" applyProtection="0"/>
    <xf numFmtId="184" fontId="8" fillId="51" borderId="0" applyNumberFormat="0" applyBorder="0" applyAlignment="0" applyProtection="0"/>
    <xf numFmtId="185" fontId="8" fillId="51" borderId="0" applyNumberFormat="0" applyBorder="0" applyAlignment="0" applyProtection="0"/>
    <xf numFmtId="183" fontId="8" fillId="51" borderId="0" applyNumberFormat="0" applyBorder="0" applyAlignment="0" applyProtection="0"/>
    <xf numFmtId="184" fontId="8" fillId="51" borderId="0" applyNumberFormat="0" applyBorder="0" applyAlignment="0" applyProtection="0"/>
    <xf numFmtId="184" fontId="8" fillId="51" borderId="0" applyNumberFormat="0" applyBorder="0" applyAlignment="0" applyProtection="0"/>
    <xf numFmtId="184" fontId="8" fillId="51" borderId="0" applyNumberFormat="0" applyBorder="0" applyAlignment="0" applyProtection="0"/>
    <xf numFmtId="0" fontId="40" fillId="4" borderId="0" applyNumberFormat="0" applyBorder="0" applyAlignment="0" applyProtection="0"/>
    <xf numFmtId="183" fontId="8" fillId="51" borderId="0" applyNumberFormat="0" applyBorder="0" applyAlignment="0" applyProtection="0"/>
    <xf numFmtId="184" fontId="8" fillId="51" borderId="0" applyNumberFormat="0" applyBorder="0" applyAlignment="0" applyProtection="0"/>
    <xf numFmtId="185" fontId="8" fillId="51" borderId="0" applyNumberFormat="0" applyBorder="0" applyAlignment="0" applyProtection="0"/>
    <xf numFmtId="183" fontId="8" fillId="51" borderId="0" applyNumberFormat="0" applyBorder="0" applyAlignment="0" applyProtection="0"/>
    <xf numFmtId="184" fontId="8" fillId="51" borderId="0" applyNumberFormat="0" applyBorder="0" applyAlignment="0" applyProtection="0"/>
    <xf numFmtId="184" fontId="8" fillId="51" borderId="0" applyNumberFormat="0" applyBorder="0" applyAlignment="0" applyProtection="0"/>
    <xf numFmtId="184" fontId="8" fillId="51"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3" fillId="4" borderId="0" applyNumberFormat="0" applyBorder="0" applyAlignment="0" applyProtection="0"/>
    <xf numFmtId="183" fontId="43" fillId="4" borderId="0" applyNumberFormat="0" applyBorder="0" applyAlignment="0" applyProtection="0"/>
    <xf numFmtId="183"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5" fontId="43" fillId="4" borderId="0" applyNumberFormat="0" applyBorder="0" applyAlignment="0" applyProtection="0"/>
    <xf numFmtId="184" fontId="43" fillId="4" borderId="0" applyNumberFormat="0" applyBorder="0" applyAlignment="0" applyProtection="0"/>
    <xf numFmtId="184" fontId="43" fillId="4" borderId="0" applyNumberFormat="0" applyBorder="0" applyAlignment="0" applyProtection="0"/>
    <xf numFmtId="184" fontId="8" fillId="51" borderId="0" applyNumberFormat="0" applyBorder="0" applyAlignment="0" applyProtection="0"/>
    <xf numFmtId="182" fontId="8" fillId="51" borderId="0" applyNumberFormat="0" applyBorder="0" applyAlignment="0" applyProtection="0"/>
    <xf numFmtId="0" fontId="40" fillId="5" borderId="0" applyNumberFormat="0" applyBorder="0" applyAlignment="0" applyProtection="0"/>
    <xf numFmtId="187" fontId="43" fillId="15" borderId="0" applyNumberFormat="0" applyBorder="0" applyAlignment="0" applyProtection="0"/>
    <xf numFmtId="184" fontId="43" fillId="15" borderId="0" applyNumberFormat="0" applyBorder="0" applyAlignment="0" applyProtection="0"/>
    <xf numFmtId="184" fontId="40" fillId="5" borderId="0" applyNumberFormat="0" applyBorder="0" applyAlignment="0" applyProtection="0"/>
    <xf numFmtId="0" fontId="40" fillId="5" borderId="0" applyNumberFormat="0" applyBorder="0" applyAlignment="0" applyProtection="0"/>
    <xf numFmtId="0" fontId="8" fillId="55" borderId="0" applyNumberFormat="0" applyBorder="0" applyAlignment="0" applyProtection="0"/>
    <xf numFmtId="183" fontId="8" fillId="55" borderId="0" applyNumberFormat="0" applyBorder="0" applyAlignment="0" applyProtection="0"/>
    <xf numFmtId="184" fontId="8" fillId="55" borderId="0" applyNumberFormat="0" applyBorder="0" applyAlignment="0" applyProtection="0"/>
    <xf numFmtId="185" fontId="8" fillId="55" borderId="0" applyNumberFormat="0" applyBorder="0" applyAlignment="0" applyProtection="0"/>
    <xf numFmtId="183"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3" fontId="40" fillId="5" borderId="0" applyNumberFormat="0" applyBorder="0" applyAlignment="0" applyProtection="0"/>
    <xf numFmtId="183"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185" fontId="40" fillId="5" borderId="0" applyNumberFormat="0" applyBorder="0" applyAlignment="0" applyProtection="0"/>
    <xf numFmtId="183" fontId="40" fillId="5" borderId="0" applyNumberFormat="0" applyBorder="0" applyAlignment="0" applyProtection="0"/>
    <xf numFmtId="183"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185"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0"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0" fontId="43" fillId="15" borderId="0" applyNumberFormat="0" applyBorder="0" applyAlignment="0" applyProtection="0"/>
    <xf numFmtId="183" fontId="43" fillId="15" borderId="0" applyNumberFormat="0" applyBorder="0" applyAlignment="0" applyProtection="0"/>
    <xf numFmtId="183"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5" fontId="43" fillId="15" borderId="0" applyNumberFormat="0" applyBorder="0" applyAlignment="0" applyProtection="0"/>
    <xf numFmtId="183" fontId="43" fillId="15" borderId="0" applyNumberFormat="0" applyBorder="0" applyAlignment="0" applyProtection="0"/>
    <xf numFmtId="183"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5"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0"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5" fontId="43" fillId="15" borderId="0" applyNumberFormat="0" applyBorder="0" applyAlignment="0" applyProtection="0"/>
    <xf numFmtId="183" fontId="43" fillId="15" borderId="0" applyNumberFormat="0" applyBorder="0" applyAlignment="0" applyProtection="0"/>
    <xf numFmtId="183"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5"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0" fontId="43" fillId="15" borderId="0" applyNumberFormat="0" applyBorder="0" applyAlignment="0" applyProtection="0"/>
    <xf numFmtId="183" fontId="43" fillId="15" borderId="0" applyNumberFormat="0" applyBorder="0" applyAlignment="0" applyProtection="0"/>
    <xf numFmtId="183"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5" fontId="43" fillId="15" borderId="0" applyNumberFormat="0" applyBorder="0" applyAlignment="0" applyProtection="0"/>
    <xf numFmtId="183" fontId="43" fillId="15" borderId="0" applyNumberFormat="0" applyBorder="0" applyAlignment="0" applyProtection="0"/>
    <xf numFmtId="183"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5"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0"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3" fontId="43" fillId="15" borderId="0" applyNumberFormat="0" applyBorder="0" applyAlignment="0" applyProtection="0"/>
    <xf numFmtId="183"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3" fontId="40" fillId="5" borderId="0" applyNumberFormat="0" applyBorder="0" applyAlignment="0" applyProtection="0"/>
    <xf numFmtId="183"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185" fontId="40" fillId="5" borderId="0" applyNumberFormat="0" applyBorder="0" applyAlignment="0" applyProtection="0"/>
    <xf numFmtId="183" fontId="40" fillId="5" borderId="0" applyNumberFormat="0" applyBorder="0" applyAlignment="0" applyProtection="0"/>
    <xf numFmtId="183"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185"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0" fontId="40" fillId="5" borderId="0" applyNumberFormat="0" applyBorder="0" applyAlignment="0" applyProtection="0"/>
    <xf numFmtId="184" fontId="40" fillId="5" borderId="0" applyNumberFormat="0" applyBorder="0" applyAlignment="0" applyProtection="0"/>
    <xf numFmtId="0" fontId="40" fillId="5" borderId="0" applyNumberFormat="0" applyBorder="0" applyAlignment="0" applyProtection="0"/>
    <xf numFmtId="183" fontId="43" fillId="15" borderId="0" applyNumberFormat="0" applyBorder="0" applyAlignment="0" applyProtection="0"/>
    <xf numFmtId="183"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3" fontId="8" fillId="55" borderId="0" applyNumberFormat="0" applyBorder="0" applyAlignment="0" applyProtection="0"/>
    <xf numFmtId="184" fontId="8" fillId="55" borderId="0" applyNumberFormat="0" applyBorder="0" applyAlignment="0" applyProtection="0"/>
    <xf numFmtId="185" fontId="8" fillId="55" borderId="0" applyNumberFormat="0" applyBorder="0" applyAlignment="0" applyProtection="0"/>
    <xf numFmtId="183"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0" fontId="40" fillId="5" borderId="0" applyNumberFormat="0" applyBorder="0" applyAlignment="0" applyProtection="0"/>
    <xf numFmtId="183" fontId="8" fillId="55" borderId="0" applyNumberFormat="0" applyBorder="0" applyAlignment="0" applyProtection="0"/>
    <xf numFmtId="184" fontId="8" fillId="55" borderId="0" applyNumberFormat="0" applyBorder="0" applyAlignment="0" applyProtection="0"/>
    <xf numFmtId="185" fontId="8" fillId="55" borderId="0" applyNumberFormat="0" applyBorder="0" applyAlignment="0" applyProtection="0"/>
    <xf numFmtId="183"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0" fontId="40" fillId="5" borderId="0" applyNumberFormat="0" applyBorder="0" applyAlignment="0" applyProtection="0"/>
    <xf numFmtId="183" fontId="40" fillId="5" borderId="0" applyNumberFormat="0" applyBorder="0" applyAlignment="0" applyProtection="0"/>
    <xf numFmtId="183"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185" fontId="40" fillId="5" borderId="0" applyNumberFormat="0" applyBorder="0" applyAlignment="0" applyProtection="0"/>
    <xf numFmtId="183" fontId="40" fillId="5" borderId="0" applyNumberFormat="0" applyBorder="0" applyAlignment="0" applyProtection="0"/>
    <xf numFmtId="183"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185"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0" fontId="40" fillId="5" borderId="0" applyNumberFormat="0" applyBorder="0" applyAlignment="0" applyProtection="0"/>
    <xf numFmtId="184" fontId="40" fillId="5" borderId="0" applyNumberFormat="0" applyBorder="0" applyAlignment="0" applyProtection="0"/>
    <xf numFmtId="184" fontId="40" fillId="5" borderId="0" applyNumberFormat="0" applyBorder="0" applyAlignment="0" applyProtection="0"/>
    <xf numFmtId="185" fontId="43" fillId="15" borderId="0" applyNumberFormat="0" applyBorder="0" applyAlignment="0" applyProtection="0"/>
    <xf numFmtId="183" fontId="43" fillId="15" borderId="0" applyNumberFormat="0" applyBorder="0" applyAlignment="0" applyProtection="0"/>
    <xf numFmtId="183"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5" fontId="43" fillId="15" borderId="0" applyNumberFormat="0" applyBorder="0" applyAlignment="0" applyProtection="0"/>
    <xf numFmtId="184" fontId="43" fillId="15" borderId="0" applyNumberFormat="0" applyBorder="0" applyAlignment="0" applyProtection="0"/>
    <xf numFmtId="184" fontId="43" fillId="15" borderId="0" applyNumberFormat="0" applyBorder="0" applyAlignment="0" applyProtection="0"/>
    <xf numFmtId="184" fontId="8" fillId="55" borderId="0" applyNumberFormat="0" applyBorder="0" applyAlignment="0" applyProtection="0"/>
    <xf numFmtId="182" fontId="8" fillId="55" borderId="0" applyNumberFormat="0" applyBorder="0" applyAlignment="0" applyProtection="0"/>
    <xf numFmtId="0" fontId="40" fillId="72" borderId="0" applyNumberFormat="0" applyBorder="0" applyAlignment="0" applyProtection="0"/>
    <xf numFmtId="187" fontId="43" fillId="75" borderId="0" applyNumberFormat="0" applyBorder="0" applyAlignment="0" applyProtection="0"/>
    <xf numFmtId="184" fontId="43" fillId="75"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0" fontId="8" fillId="59" borderId="0" applyNumberFormat="0" applyBorder="0" applyAlignment="0" applyProtection="0"/>
    <xf numFmtId="183" fontId="8" fillId="59" borderId="0" applyNumberFormat="0" applyBorder="0" applyAlignment="0" applyProtection="0"/>
    <xf numFmtId="184" fontId="8" fillId="59" borderId="0" applyNumberFormat="0" applyBorder="0" applyAlignment="0" applyProtection="0"/>
    <xf numFmtId="185" fontId="8" fillId="59" borderId="0" applyNumberFormat="0" applyBorder="0" applyAlignment="0" applyProtection="0"/>
    <xf numFmtId="183" fontId="8" fillId="59" borderId="0" applyNumberFormat="0" applyBorder="0" applyAlignment="0" applyProtection="0"/>
    <xf numFmtId="184" fontId="8" fillId="59" borderId="0" applyNumberFormat="0" applyBorder="0" applyAlignment="0" applyProtection="0"/>
    <xf numFmtId="184" fontId="8" fillId="59" borderId="0" applyNumberFormat="0" applyBorder="0" applyAlignment="0" applyProtection="0"/>
    <xf numFmtId="184" fontId="8" fillId="59"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0" fontId="43" fillId="75" borderId="0" applyNumberFormat="0" applyBorder="0" applyAlignment="0" applyProtection="0"/>
    <xf numFmtId="183" fontId="43" fillId="75" borderId="0" applyNumberFormat="0" applyBorder="0" applyAlignment="0" applyProtection="0"/>
    <xf numFmtId="183"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5" fontId="43" fillId="75" borderId="0" applyNumberFormat="0" applyBorder="0" applyAlignment="0" applyProtection="0"/>
    <xf numFmtId="183" fontId="43" fillId="75" borderId="0" applyNumberFormat="0" applyBorder="0" applyAlignment="0" applyProtection="0"/>
    <xf numFmtId="183"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5"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0"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5" fontId="43" fillId="75" borderId="0" applyNumberFormat="0" applyBorder="0" applyAlignment="0" applyProtection="0"/>
    <xf numFmtId="183" fontId="43" fillId="75" borderId="0" applyNumberFormat="0" applyBorder="0" applyAlignment="0" applyProtection="0"/>
    <xf numFmtId="183"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5"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0" fontId="43" fillId="75" borderId="0" applyNumberFormat="0" applyBorder="0" applyAlignment="0" applyProtection="0"/>
    <xf numFmtId="183" fontId="43" fillId="75" borderId="0" applyNumberFormat="0" applyBorder="0" applyAlignment="0" applyProtection="0"/>
    <xf numFmtId="183"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5" fontId="43" fillId="75" borderId="0" applyNumberFormat="0" applyBorder="0" applyAlignment="0" applyProtection="0"/>
    <xf numFmtId="183" fontId="43" fillId="75" borderId="0" applyNumberFormat="0" applyBorder="0" applyAlignment="0" applyProtection="0"/>
    <xf numFmtId="183"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5"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0"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3" fontId="43" fillId="75" borderId="0" applyNumberFormat="0" applyBorder="0" applyAlignment="0" applyProtection="0"/>
    <xf numFmtId="183"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183" fontId="43" fillId="75" borderId="0" applyNumberFormat="0" applyBorder="0" applyAlignment="0" applyProtection="0"/>
    <xf numFmtId="183"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3" fontId="8" fillId="59" borderId="0" applyNumberFormat="0" applyBorder="0" applyAlignment="0" applyProtection="0"/>
    <xf numFmtId="184" fontId="8" fillId="59" borderId="0" applyNumberFormat="0" applyBorder="0" applyAlignment="0" applyProtection="0"/>
    <xf numFmtId="185" fontId="8" fillId="59" borderId="0" applyNumberFormat="0" applyBorder="0" applyAlignment="0" applyProtection="0"/>
    <xf numFmtId="183" fontId="8" fillId="59" borderId="0" applyNumberFormat="0" applyBorder="0" applyAlignment="0" applyProtection="0"/>
    <xf numFmtId="184" fontId="8" fillId="59" borderId="0" applyNumberFormat="0" applyBorder="0" applyAlignment="0" applyProtection="0"/>
    <xf numFmtId="184" fontId="8" fillId="59" borderId="0" applyNumberFormat="0" applyBorder="0" applyAlignment="0" applyProtection="0"/>
    <xf numFmtId="184" fontId="8" fillId="59" borderId="0" applyNumberFormat="0" applyBorder="0" applyAlignment="0" applyProtection="0"/>
    <xf numFmtId="0" fontId="40" fillId="72" borderId="0" applyNumberFormat="0" applyBorder="0" applyAlignment="0" applyProtection="0"/>
    <xf numFmtId="183" fontId="8" fillId="59" borderId="0" applyNumberFormat="0" applyBorder="0" applyAlignment="0" applyProtection="0"/>
    <xf numFmtId="184" fontId="8" fillId="59" borderId="0" applyNumberFormat="0" applyBorder="0" applyAlignment="0" applyProtection="0"/>
    <xf numFmtId="185" fontId="8" fillId="59" borderId="0" applyNumberFormat="0" applyBorder="0" applyAlignment="0" applyProtection="0"/>
    <xf numFmtId="183" fontId="8" fillId="59" borderId="0" applyNumberFormat="0" applyBorder="0" applyAlignment="0" applyProtection="0"/>
    <xf numFmtId="184" fontId="8" fillId="59" borderId="0" applyNumberFormat="0" applyBorder="0" applyAlignment="0" applyProtection="0"/>
    <xf numFmtId="184" fontId="8" fillId="59" borderId="0" applyNumberFormat="0" applyBorder="0" applyAlignment="0" applyProtection="0"/>
    <xf numFmtId="184" fontId="8" fillId="59" borderId="0" applyNumberFormat="0" applyBorder="0" applyAlignment="0" applyProtection="0"/>
    <xf numFmtId="0" fontId="40" fillId="72"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3" fontId="40" fillId="72" borderId="0" applyNumberFormat="0" applyBorder="0" applyAlignment="0" applyProtection="0"/>
    <xf numFmtId="183"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0" fontId="40" fillId="72" borderId="0" applyNumberFormat="0" applyBorder="0" applyAlignment="0" applyProtection="0"/>
    <xf numFmtId="184" fontId="40" fillId="72" borderId="0" applyNumberFormat="0" applyBorder="0" applyAlignment="0" applyProtection="0"/>
    <xf numFmtId="184" fontId="40" fillId="72" borderId="0" applyNumberFormat="0" applyBorder="0" applyAlignment="0" applyProtection="0"/>
    <xf numFmtId="185" fontId="43" fillId="75" borderId="0" applyNumberFormat="0" applyBorder="0" applyAlignment="0" applyProtection="0"/>
    <xf numFmtId="183" fontId="43" fillId="75" borderId="0" applyNumberFormat="0" applyBorder="0" applyAlignment="0" applyProtection="0"/>
    <xf numFmtId="183"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5" fontId="43" fillId="75" borderId="0" applyNumberFormat="0" applyBorder="0" applyAlignment="0" applyProtection="0"/>
    <xf numFmtId="184" fontId="43" fillId="75" borderId="0" applyNumberFormat="0" applyBorder="0" applyAlignment="0" applyProtection="0"/>
    <xf numFmtId="184" fontId="43" fillId="75" borderId="0" applyNumberFormat="0" applyBorder="0" applyAlignment="0" applyProtection="0"/>
    <xf numFmtId="184" fontId="8" fillId="59" borderId="0" applyNumberFormat="0" applyBorder="0" applyAlignment="0" applyProtection="0"/>
    <xf numFmtId="182" fontId="8" fillId="59" borderId="0" applyNumberFormat="0" applyBorder="0" applyAlignment="0" applyProtection="0"/>
    <xf numFmtId="0" fontId="40" fillId="3" borderId="0" applyNumberFormat="0" applyBorder="0" applyAlignment="0" applyProtection="0"/>
    <xf numFmtId="187" fontId="43" fillId="31" borderId="0" applyNumberFormat="0" applyBorder="0" applyAlignment="0" applyProtection="0"/>
    <xf numFmtId="184" fontId="43" fillId="31"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0" fontId="8" fillId="63" borderId="0" applyNumberFormat="0" applyBorder="0" applyAlignment="0" applyProtection="0"/>
    <xf numFmtId="183" fontId="8" fillId="63" borderId="0" applyNumberFormat="0" applyBorder="0" applyAlignment="0" applyProtection="0"/>
    <xf numFmtId="184" fontId="8" fillId="63" borderId="0" applyNumberFormat="0" applyBorder="0" applyAlignment="0" applyProtection="0"/>
    <xf numFmtId="185" fontId="8" fillId="63" borderId="0" applyNumberFormat="0" applyBorder="0" applyAlignment="0" applyProtection="0"/>
    <xf numFmtId="183" fontId="8" fillId="63" borderId="0" applyNumberFormat="0" applyBorder="0" applyAlignment="0" applyProtection="0"/>
    <xf numFmtId="184" fontId="8" fillId="63" borderId="0" applyNumberFormat="0" applyBorder="0" applyAlignment="0" applyProtection="0"/>
    <xf numFmtId="184" fontId="8" fillId="63" borderId="0" applyNumberFormat="0" applyBorder="0" applyAlignment="0" applyProtection="0"/>
    <xf numFmtId="184" fontId="8" fillId="6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0"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0"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0"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3" fontId="8" fillId="63" borderId="0" applyNumberFormat="0" applyBorder="0" applyAlignment="0" applyProtection="0"/>
    <xf numFmtId="184" fontId="8" fillId="63" borderId="0" applyNumberFormat="0" applyBorder="0" applyAlignment="0" applyProtection="0"/>
    <xf numFmtId="185" fontId="8" fillId="63" borderId="0" applyNumberFormat="0" applyBorder="0" applyAlignment="0" applyProtection="0"/>
    <xf numFmtId="183" fontId="8" fillId="63" borderId="0" applyNumberFormat="0" applyBorder="0" applyAlignment="0" applyProtection="0"/>
    <xf numFmtId="184" fontId="8" fillId="63" borderId="0" applyNumberFormat="0" applyBorder="0" applyAlignment="0" applyProtection="0"/>
    <xf numFmtId="184" fontId="8" fillId="63" borderId="0" applyNumberFormat="0" applyBorder="0" applyAlignment="0" applyProtection="0"/>
    <xf numFmtId="184" fontId="8" fillId="63" borderId="0" applyNumberFormat="0" applyBorder="0" applyAlignment="0" applyProtection="0"/>
    <xf numFmtId="0" fontId="40" fillId="3" borderId="0" applyNumberFormat="0" applyBorder="0" applyAlignment="0" applyProtection="0"/>
    <xf numFmtId="183" fontId="8" fillId="63" borderId="0" applyNumberFormat="0" applyBorder="0" applyAlignment="0" applyProtection="0"/>
    <xf numFmtId="184" fontId="8" fillId="63" borderId="0" applyNumberFormat="0" applyBorder="0" applyAlignment="0" applyProtection="0"/>
    <xf numFmtId="185" fontId="8" fillId="63" borderId="0" applyNumberFormat="0" applyBorder="0" applyAlignment="0" applyProtection="0"/>
    <xf numFmtId="183" fontId="8" fillId="63" borderId="0" applyNumberFormat="0" applyBorder="0" applyAlignment="0" applyProtection="0"/>
    <xf numFmtId="184" fontId="8" fillId="63" borderId="0" applyNumberFormat="0" applyBorder="0" applyAlignment="0" applyProtection="0"/>
    <xf numFmtId="184" fontId="8" fillId="63" borderId="0" applyNumberFormat="0" applyBorder="0" applyAlignment="0" applyProtection="0"/>
    <xf numFmtId="184" fontId="8" fillId="6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3" fillId="31" borderId="0" applyNumberFormat="0" applyBorder="0" applyAlignment="0" applyProtection="0"/>
    <xf numFmtId="183" fontId="43" fillId="31" borderId="0" applyNumberFormat="0" applyBorder="0" applyAlignment="0" applyProtection="0"/>
    <xf numFmtId="183"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5" fontId="43" fillId="31" borderId="0" applyNumberFormat="0" applyBorder="0" applyAlignment="0" applyProtection="0"/>
    <xf numFmtId="184" fontId="43" fillId="31" borderId="0" applyNumberFormat="0" applyBorder="0" applyAlignment="0" applyProtection="0"/>
    <xf numFmtId="184" fontId="43" fillId="31" borderId="0" applyNumberFormat="0" applyBorder="0" applyAlignment="0" applyProtection="0"/>
    <xf numFmtId="184" fontId="8" fillId="63" borderId="0" applyNumberFormat="0" applyBorder="0" applyAlignment="0" applyProtection="0"/>
    <xf numFmtId="182" fontId="8" fillId="63" borderId="0" applyNumberFormat="0" applyBorder="0" applyAlignment="0" applyProtection="0"/>
    <xf numFmtId="0" fontId="40" fillId="6" borderId="0" applyNumberFormat="0" applyBorder="0" applyAlignment="0" applyProtection="0"/>
    <xf numFmtId="187" fontId="43" fillId="74" borderId="0" applyNumberFormat="0" applyBorder="0" applyAlignment="0" applyProtection="0"/>
    <xf numFmtId="184" fontId="43" fillId="74" borderId="0" applyNumberFormat="0" applyBorder="0" applyAlignment="0" applyProtection="0"/>
    <xf numFmtId="184" fontId="40" fillId="6" borderId="0" applyNumberFormat="0" applyBorder="0" applyAlignment="0" applyProtection="0"/>
    <xf numFmtId="0" fontId="40" fillId="6" borderId="0" applyNumberFormat="0" applyBorder="0" applyAlignment="0" applyProtection="0"/>
    <xf numFmtId="0" fontId="8" fillId="67" borderId="0" applyNumberFormat="0" applyBorder="0" applyAlignment="0" applyProtection="0"/>
    <xf numFmtId="183" fontId="8" fillId="67" borderId="0" applyNumberFormat="0" applyBorder="0" applyAlignment="0" applyProtection="0"/>
    <xf numFmtId="184" fontId="8" fillId="67" borderId="0" applyNumberFormat="0" applyBorder="0" applyAlignment="0" applyProtection="0"/>
    <xf numFmtId="185" fontId="8" fillId="67" borderId="0" applyNumberFormat="0" applyBorder="0" applyAlignment="0" applyProtection="0"/>
    <xf numFmtId="183" fontId="8" fillId="67" borderId="0" applyNumberFormat="0" applyBorder="0" applyAlignment="0" applyProtection="0"/>
    <xf numFmtId="184" fontId="8" fillId="67" borderId="0" applyNumberFormat="0" applyBorder="0" applyAlignment="0" applyProtection="0"/>
    <xf numFmtId="184" fontId="8" fillId="67" borderId="0" applyNumberFormat="0" applyBorder="0" applyAlignment="0" applyProtection="0"/>
    <xf numFmtId="184" fontId="8" fillId="67" borderId="0" applyNumberFormat="0" applyBorder="0" applyAlignment="0" applyProtection="0"/>
    <xf numFmtId="183" fontId="40" fillId="6" borderId="0" applyNumberFormat="0" applyBorder="0" applyAlignment="0" applyProtection="0"/>
    <xf numFmtId="183"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185" fontId="40" fillId="6" borderId="0" applyNumberFormat="0" applyBorder="0" applyAlignment="0" applyProtection="0"/>
    <xf numFmtId="183" fontId="40" fillId="6" borderId="0" applyNumberFormat="0" applyBorder="0" applyAlignment="0" applyProtection="0"/>
    <xf numFmtId="183"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185"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0"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0" fontId="43" fillId="74" borderId="0" applyNumberFormat="0" applyBorder="0" applyAlignment="0" applyProtection="0"/>
    <xf numFmtId="183" fontId="43" fillId="74" borderId="0" applyNumberFormat="0" applyBorder="0" applyAlignment="0" applyProtection="0"/>
    <xf numFmtId="183"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5" fontId="43" fillId="74" borderId="0" applyNumberFormat="0" applyBorder="0" applyAlignment="0" applyProtection="0"/>
    <xf numFmtId="183" fontId="43" fillId="74" borderId="0" applyNumberFormat="0" applyBorder="0" applyAlignment="0" applyProtection="0"/>
    <xf numFmtId="183"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5"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0"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5" fontId="43" fillId="74" borderId="0" applyNumberFormat="0" applyBorder="0" applyAlignment="0" applyProtection="0"/>
    <xf numFmtId="183" fontId="43" fillId="74" borderId="0" applyNumberFormat="0" applyBorder="0" applyAlignment="0" applyProtection="0"/>
    <xf numFmtId="183"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5"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0" fontId="43" fillId="74" borderId="0" applyNumberFormat="0" applyBorder="0" applyAlignment="0" applyProtection="0"/>
    <xf numFmtId="183" fontId="43" fillId="74" borderId="0" applyNumberFormat="0" applyBorder="0" applyAlignment="0" applyProtection="0"/>
    <xf numFmtId="183"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5" fontId="43" fillId="74" borderId="0" applyNumberFormat="0" applyBorder="0" applyAlignment="0" applyProtection="0"/>
    <xf numFmtId="183" fontId="43" fillId="74" borderId="0" applyNumberFormat="0" applyBorder="0" applyAlignment="0" applyProtection="0"/>
    <xf numFmtId="183"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5"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0"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3" fontId="43" fillId="74" borderId="0" applyNumberFormat="0" applyBorder="0" applyAlignment="0" applyProtection="0"/>
    <xf numFmtId="183"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3" fontId="40" fillId="6" borderId="0" applyNumberFormat="0" applyBorder="0" applyAlignment="0" applyProtection="0"/>
    <xf numFmtId="183"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185" fontId="40" fillId="6" borderId="0" applyNumberFormat="0" applyBorder="0" applyAlignment="0" applyProtection="0"/>
    <xf numFmtId="183" fontId="40" fillId="6" borderId="0" applyNumberFormat="0" applyBorder="0" applyAlignment="0" applyProtection="0"/>
    <xf numFmtId="183"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185"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0" fontId="40" fillId="6" borderId="0" applyNumberFormat="0" applyBorder="0" applyAlignment="0" applyProtection="0"/>
    <xf numFmtId="184" fontId="40" fillId="6" borderId="0" applyNumberFormat="0" applyBorder="0" applyAlignment="0" applyProtection="0"/>
    <xf numFmtId="0" fontId="40" fillId="6" borderId="0" applyNumberFormat="0" applyBorder="0" applyAlignment="0" applyProtection="0"/>
    <xf numFmtId="183" fontId="43" fillId="74" borderId="0" applyNumberFormat="0" applyBorder="0" applyAlignment="0" applyProtection="0"/>
    <xf numFmtId="183"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3" fontId="8" fillId="67" borderId="0" applyNumberFormat="0" applyBorder="0" applyAlignment="0" applyProtection="0"/>
    <xf numFmtId="184" fontId="8" fillId="67" borderId="0" applyNumberFormat="0" applyBorder="0" applyAlignment="0" applyProtection="0"/>
    <xf numFmtId="185" fontId="8" fillId="67" borderId="0" applyNumberFormat="0" applyBorder="0" applyAlignment="0" applyProtection="0"/>
    <xf numFmtId="183" fontId="8" fillId="67" borderId="0" applyNumberFormat="0" applyBorder="0" applyAlignment="0" applyProtection="0"/>
    <xf numFmtId="184" fontId="8" fillId="67" borderId="0" applyNumberFormat="0" applyBorder="0" applyAlignment="0" applyProtection="0"/>
    <xf numFmtId="184" fontId="8" fillId="67" borderId="0" applyNumberFormat="0" applyBorder="0" applyAlignment="0" applyProtection="0"/>
    <xf numFmtId="184" fontId="8" fillId="67" borderId="0" applyNumberFormat="0" applyBorder="0" applyAlignment="0" applyProtection="0"/>
    <xf numFmtId="0" fontId="40" fillId="6" borderId="0" applyNumberFormat="0" applyBorder="0" applyAlignment="0" applyProtection="0"/>
    <xf numFmtId="183" fontId="8" fillId="67" borderId="0" applyNumberFormat="0" applyBorder="0" applyAlignment="0" applyProtection="0"/>
    <xf numFmtId="184" fontId="8" fillId="67" borderId="0" applyNumberFormat="0" applyBorder="0" applyAlignment="0" applyProtection="0"/>
    <xf numFmtId="185" fontId="8" fillId="67" borderId="0" applyNumberFormat="0" applyBorder="0" applyAlignment="0" applyProtection="0"/>
    <xf numFmtId="183" fontId="8" fillId="67" borderId="0" applyNumberFormat="0" applyBorder="0" applyAlignment="0" applyProtection="0"/>
    <xf numFmtId="184" fontId="8" fillId="67" borderId="0" applyNumberFormat="0" applyBorder="0" applyAlignment="0" applyProtection="0"/>
    <xf numFmtId="184" fontId="8" fillId="67" borderId="0" applyNumberFormat="0" applyBorder="0" applyAlignment="0" applyProtection="0"/>
    <xf numFmtId="184" fontId="8" fillId="67" borderId="0" applyNumberFormat="0" applyBorder="0" applyAlignment="0" applyProtection="0"/>
    <xf numFmtId="0" fontId="40" fillId="6" borderId="0" applyNumberFormat="0" applyBorder="0" applyAlignment="0" applyProtection="0"/>
    <xf numFmtId="183" fontId="40" fillId="6" borderId="0" applyNumberFormat="0" applyBorder="0" applyAlignment="0" applyProtection="0"/>
    <xf numFmtId="183"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185" fontId="40" fillId="6" borderId="0" applyNumberFormat="0" applyBorder="0" applyAlignment="0" applyProtection="0"/>
    <xf numFmtId="183" fontId="40" fillId="6" borderId="0" applyNumberFormat="0" applyBorder="0" applyAlignment="0" applyProtection="0"/>
    <xf numFmtId="183"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185"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0" fontId="40" fillId="6" borderId="0" applyNumberFormat="0" applyBorder="0" applyAlignment="0" applyProtection="0"/>
    <xf numFmtId="184" fontId="40" fillId="6" borderId="0" applyNumberFormat="0" applyBorder="0" applyAlignment="0" applyProtection="0"/>
    <xf numFmtId="184" fontId="40" fillId="6" borderId="0" applyNumberFormat="0" applyBorder="0" applyAlignment="0" applyProtection="0"/>
    <xf numFmtId="185" fontId="43" fillId="74" borderId="0" applyNumberFormat="0" applyBorder="0" applyAlignment="0" applyProtection="0"/>
    <xf numFmtId="183" fontId="43" fillId="74" borderId="0" applyNumberFormat="0" applyBorder="0" applyAlignment="0" applyProtection="0"/>
    <xf numFmtId="183"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5" fontId="43" fillId="74" borderId="0" applyNumberFormat="0" applyBorder="0" applyAlignment="0" applyProtection="0"/>
    <xf numFmtId="184" fontId="43" fillId="74" borderId="0" applyNumberFormat="0" applyBorder="0" applyAlignment="0" applyProtection="0"/>
    <xf numFmtId="184" fontId="43" fillId="74" borderId="0" applyNumberFormat="0" applyBorder="0" applyAlignment="0" applyProtection="0"/>
    <xf numFmtId="184" fontId="8" fillId="67" borderId="0" applyNumberFormat="0" applyBorder="0" applyAlignment="0" applyProtection="0"/>
    <xf numFmtId="182" fontId="8" fillId="67" borderId="0" applyNumberFormat="0" applyBorder="0" applyAlignment="0" applyProtection="0"/>
    <xf numFmtId="0" fontId="41" fillId="76" borderId="0" applyNumberFormat="0" applyBorder="0" applyAlignment="0" applyProtection="0"/>
    <xf numFmtId="184" fontId="41" fillId="76" borderId="0" applyNumberFormat="0" applyBorder="0" applyAlignment="0" applyProtection="0"/>
    <xf numFmtId="0"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41" fillId="76" borderId="0" applyNumberFormat="0" applyBorder="0" applyAlignment="0" applyProtection="0"/>
    <xf numFmtId="184" fontId="41" fillId="76" borderId="0" applyNumberFormat="0" applyBorder="0" applyAlignment="0" applyProtection="0"/>
    <xf numFmtId="185" fontId="41" fillId="76" borderId="0" applyNumberFormat="0" applyBorder="0" applyAlignment="0" applyProtection="0"/>
    <xf numFmtId="183" fontId="41" fillId="76" borderId="0" applyNumberFormat="0" applyBorder="0" applyAlignment="0" applyProtection="0"/>
    <xf numFmtId="184" fontId="41" fillId="76" borderId="0" applyNumberFormat="0" applyBorder="0" applyAlignment="0" applyProtection="0"/>
    <xf numFmtId="184" fontId="41" fillId="76" borderId="0" applyNumberFormat="0" applyBorder="0" applyAlignment="0" applyProtection="0"/>
    <xf numFmtId="187" fontId="95" fillId="31" borderId="0" applyNumberFormat="0" applyBorder="0" applyAlignment="0" applyProtection="0"/>
    <xf numFmtId="0" fontId="41" fillId="76" borderId="0" applyNumberFormat="0" applyBorder="0" applyAlignment="0" applyProtection="0"/>
    <xf numFmtId="184" fontId="41" fillId="76" borderId="0" applyNumberFormat="0" applyBorder="0" applyAlignment="0" applyProtection="0"/>
    <xf numFmtId="184" fontId="95" fillId="31" borderId="0" applyNumberFormat="0" applyBorder="0" applyAlignment="0" applyProtection="0"/>
    <xf numFmtId="0" fontId="41" fillId="76"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41" fillId="76"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41" fillId="76" borderId="0" applyNumberFormat="0" applyBorder="0" applyAlignment="0" applyProtection="0"/>
    <xf numFmtId="183" fontId="41" fillId="76" borderId="0" applyNumberFormat="0" applyBorder="0" applyAlignment="0" applyProtection="0"/>
    <xf numFmtId="184" fontId="41" fillId="76" borderId="0" applyNumberFormat="0" applyBorder="0" applyAlignment="0" applyProtection="0"/>
    <xf numFmtId="185" fontId="41" fillId="76" borderId="0" applyNumberFormat="0" applyBorder="0" applyAlignment="0" applyProtection="0"/>
    <xf numFmtId="183" fontId="41" fillId="76" borderId="0" applyNumberFormat="0" applyBorder="0" applyAlignment="0" applyProtection="0"/>
    <xf numFmtId="184" fontId="41" fillId="76" borderId="0" applyNumberFormat="0" applyBorder="0" applyAlignment="0" applyProtection="0"/>
    <xf numFmtId="184" fontId="41" fillId="76" borderId="0" applyNumberFormat="0" applyBorder="0" applyAlignment="0" applyProtection="0"/>
    <xf numFmtId="184" fontId="41" fillId="76"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48" borderId="0" applyNumberFormat="0" applyBorder="0" applyAlignment="0" applyProtection="0"/>
    <xf numFmtId="182" fontId="89" fillId="48"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0"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7" fontId="95"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95" fillId="4" borderId="0" applyNumberFormat="0" applyBorder="0" applyAlignment="0" applyProtection="0"/>
    <xf numFmtId="0" fontId="41"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41"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89" fillId="52" borderId="0" applyNumberFormat="0" applyBorder="0" applyAlignment="0" applyProtection="0"/>
    <xf numFmtId="182" fontId="89" fillId="52" borderId="0" applyNumberFormat="0" applyBorder="0" applyAlignment="0" applyProtection="0"/>
    <xf numFmtId="0" fontId="41" fillId="5" borderId="0" applyNumberFormat="0" applyBorder="0" applyAlignment="0" applyProtection="0"/>
    <xf numFmtId="184" fontId="41" fillId="5" borderId="0" applyNumberFormat="0" applyBorder="0" applyAlignment="0" applyProtection="0"/>
    <xf numFmtId="0"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41" fillId="5" borderId="0" applyNumberFormat="0" applyBorder="0" applyAlignment="0" applyProtection="0"/>
    <xf numFmtId="184" fontId="41" fillId="5" borderId="0" applyNumberFormat="0" applyBorder="0" applyAlignment="0" applyProtection="0"/>
    <xf numFmtId="185" fontId="41" fillId="5" borderId="0" applyNumberFormat="0" applyBorder="0" applyAlignment="0" applyProtection="0"/>
    <xf numFmtId="183" fontId="41" fillId="5" borderId="0" applyNumberFormat="0" applyBorder="0" applyAlignment="0" applyProtection="0"/>
    <xf numFmtId="184" fontId="41" fillId="5" borderId="0" applyNumberFormat="0" applyBorder="0" applyAlignment="0" applyProtection="0"/>
    <xf numFmtId="184" fontId="41" fillId="5" borderId="0" applyNumberFormat="0" applyBorder="0" applyAlignment="0" applyProtection="0"/>
    <xf numFmtId="187" fontId="95" fillId="15" borderId="0" applyNumberFormat="0" applyBorder="0" applyAlignment="0" applyProtection="0"/>
    <xf numFmtId="0" fontId="41" fillId="5" borderId="0" applyNumberFormat="0" applyBorder="0" applyAlignment="0" applyProtection="0"/>
    <xf numFmtId="184" fontId="41" fillId="5" borderId="0" applyNumberFormat="0" applyBorder="0" applyAlignment="0" applyProtection="0"/>
    <xf numFmtId="184" fontId="95" fillId="15" borderId="0" applyNumberFormat="0" applyBorder="0" applyAlignment="0" applyProtection="0"/>
    <xf numFmtId="0" fontId="41" fillId="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41" fillId="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41" fillId="5" borderId="0" applyNumberFormat="0" applyBorder="0" applyAlignment="0" applyProtection="0"/>
    <xf numFmtId="183" fontId="41" fillId="5" borderId="0" applyNumberFormat="0" applyBorder="0" applyAlignment="0" applyProtection="0"/>
    <xf numFmtId="184" fontId="41" fillId="5" borderId="0" applyNumberFormat="0" applyBorder="0" applyAlignment="0" applyProtection="0"/>
    <xf numFmtId="185" fontId="41" fillId="5" borderId="0" applyNumberFormat="0" applyBorder="0" applyAlignment="0" applyProtection="0"/>
    <xf numFmtId="183" fontId="41" fillId="5" borderId="0" applyNumberFormat="0" applyBorder="0" applyAlignment="0" applyProtection="0"/>
    <xf numFmtId="184" fontId="41" fillId="5" borderId="0" applyNumberFormat="0" applyBorder="0" applyAlignment="0" applyProtection="0"/>
    <xf numFmtId="184" fontId="41" fillId="5" borderId="0" applyNumberFormat="0" applyBorder="0" applyAlignment="0" applyProtection="0"/>
    <xf numFmtId="184" fontId="41" fillId="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89" fillId="56" borderId="0" applyNumberFormat="0" applyBorder="0" applyAlignment="0" applyProtection="0"/>
    <xf numFmtId="182" fontId="89" fillId="56" borderId="0" applyNumberFormat="0" applyBorder="0" applyAlignment="0" applyProtection="0"/>
    <xf numFmtId="0" fontId="41" fillId="77" borderId="0" applyNumberFormat="0" applyBorder="0" applyAlignment="0" applyProtection="0"/>
    <xf numFmtId="184" fontId="41" fillId="77" borderId="0" applyNumberFormat="0" applyBorder="0" applyAlignment="0" applyProtection="0"/>
    <xf numFmtId="0"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7" fontId="95" fillId="75" borderId="0" applyNumberFormat="0" applyBorder="0" applyAlignment="0" applyProtection="0"/>
    <xf numFmtId="0" fontId="41" fillId="77" borderId="0" applyNumberFormat="0" applyBorder="0" applyAlignment="0" applyProtection="0"/>
    <xf numFmtId="184" fontId="41" fillId="77" borderId="0" applyNumberFormat="0" applyBorder="0" applyAlignment="0" applyProtection="0"/>
    <xf numFmtId="184" fontId="95" fillId="75" borderId="0" applyNumberFormat="0" applyBorder="0" applyAlignment="0" applyProtection="0"/>
    <xf numFmtId="0" fontId="41" fillId="77"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41" fillId="77"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89" fillId="60" borderId="0" applyNumberFormat="0" applyBorder="0" applyAlignment="0" applyProtection="0"/>
    <xf numFmtId="182" fontId="89" fillId="60" borderId="0" applyNumberFormat="0" applyBorder="0" applyAlignment="0" applyProtection="0"/>
    <xf numFmtId="0" fontId="41" fillId="78" borderId="0" applyNumberFormat="0" applyBorder="0" applyAlignment="0" applyProtection="0"/>
    <xf numFmtId="184" fontId="41" fillId="78" borderId="0" applyNumberFormat="0" applyBorder="0" applyAlignment="0" applyProtection="0"/>
    <xf numFmtId="0"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7" fontId="95" fillId="31" borderId="0" applyNumberFormat="0" applyBorder="0" applyAlignment="0" applyProtection="0"/>
    <xf numFmtId="0" fontId="41" fillId="78" borderId="0" applyNumberFormat="0" applyBorder="0" applyAlignment="0" applyProtection="0"/>
    <xf numFmtId="184" fontId="41" fillId="78" borderId="0" applyNumberFormat="0" applyBorder="0" applyAlignment="0" applyProtection="0"/>
    <xf numFmtId="184" fontId="95" fillId="31" borderId="0" applyNumberFormat="0" applyBorder="0" applyAlignment="0" applyProtection="0"/>
    <xf numFmtId="0" fontId="41" fillId="78"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41" fillId="78"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64" borderId="0" applyNumberFormat="0" applyBorder="0" applyAlignment="0" applyProtection="0"/>
    <xf numFmtId="182" fontId="89" fillId="64" borderId="0" applyNumberFormat="0" applyBorder="0" applyAlignment="0" applyProtection="0"/>
    <xf numFmtId="0" fontId="41" fillId="7" borderId="0" applyNumberFormat="0" applyBorder="0" applyAlignment="0" applyProtection="0"/>
    <xf numFmtId="184" fontId="41" fillId="7" borderId="0" applyNumberFormat="0" applyBorder="0" applyAlignment="0" applyProtection="0"/>
    <xf numFmtId="0"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41" fillId="7" borderId="0" applyNumberFormat="0" applyBorder="0" applyAlignment="0" applyProtection="0"/>
    <xf numFmtId="184" fontId="41" fillId="7" borderId="0" applyNumberFormat="0" applyBorder="0" applyAlignment="0" applyProtection="0"/>
    <xf numFmtId="185" fontId="41" fillId="7" borderId="0" applyNumberFormat="0" applyBorder="0" applyAlignment="0" applyProtection="0"/>
    <xf numFmtId="183" fontId="41" fillId="7" borderId="0" applyNumberFormat="0" applyBorder="0" applyAlignment="0" applyProtection="0"/>
    <xf numFmtId="184" fontId="41" fillId="7" borderId="0" applyNumberFormat="0" applyBorder="0" applyAlignment="0" applyProtection="0"/>
    <xf numFmtId="184" fontId="41" fillId="7" borderId="0" applyNumberFormat="0" applyBorder="0" applyAlignment="0" applyProtection="0"/>
    <xf numFmtId="187" fontId="95" fillId="74" borderId="0" applyNumberFormat="0" applyBorder="0" applyAlignment="0" applyProtection="0"/>
    <xf numFmtId="0" fontId="41" fillId="7" borderId="0" applyNumberFormat="0" applyBorder="0" applyAlignment="0" applyProtection="0"/>
    <xf numFmtId="184" fontId="41" fillId="7" borderId="0" applyNumberFormat="0" applyBorder="0" applyAlignment="0" applyProtection="0"/>
    <xf numFmtId="184" fontId="95" fillId="74" borderId="0" applyNumberFormat="0" applyBorder="0" applyAlignment="0" applyProtection="0"/>
    <xf numFmtId="0" fontId="41" fillId="7"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41" fillId="7"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41" fillId="7" borderId="0" applyNumberFormat="0" applyBorder="0" applyAlignment="0" applyProtection="0"/>
    <xf numFmtId="183" fontId="41" fillId="7" borderId="0" applyNumberFormat="0" applyBorder="0" applyAlignment="0" applyProtection="0"/>
    <xf numFmtId="184" fontId="41" fillId="7" borderId="0" applyNumberFormat="0" applyBorder="0" applyAlignment="0" applyProtection="0"/>
    <xf numFmtId="185" fontId="41" fillId="7" borderId="0" applyNumberFormat="0" applyBorder="0" applyAlignment="0" applyProtection="0"/>
    <xf numFmtId="183" fontId="41" fillId="7" borderId="0" applyNumberFormat="0" applyBorder="0" applyAlignment="0" applyProtection="0"/>
    <xf numFmtId="184" fontId="41" fillId="7" borderId="0" applyNumberFormat="0" applyBorder="0" applyAlignment="0" applyProtection="0"/>
    <xf numFmtId="184" fontId="41" fillId="7" borderId="0" applyNumberFormat="0" applyBorder="0" applyAlignment="0" applyProtection="0"/>
    <xf numFmtId="184" fontId="41" fillId="7"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89" fillId="68" borderId="0" applyNumberFormat="0" applyBorder="0" applyAlignment="0" applyProtection="0"/>
    <xf numFmtId="182" fontId="89" fillId="68" borderId="0" applyNumberFormat="0" applyBorder="0" applyAlignment="0" applyProtection="0"/>
    <xf numFmtId="184" fontId="40" fillId="8" borderId="0" applyNumberFormat="0" applyBorder="0" applyAlignment="0" applyProtection="0"/>
    <xf numFmtId="182" fontId="40" fillId="79" borderId="0" applyNumberFormat="0" applyBorder="0" applyAlignment="0" applyProtection="0"/>
    <xf numFmtId="0" fontId="40" fillId="8" borderId="0" applyNumberFormat="0" applyBorder="0" applyAlignment="0" applyProtection="0"/>
    <xf numFmtId="183" fontId="40" fillId="8" borderId="0" applyNumberFormat="0" applyBorder="0" applyAlignment="0" applyProtection="0"/>
    <xf numFmtId="183"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5" fontId="40" fillId="8" borderId="0" applyNumberFormat="0" applyBorder="0" applyAlignment="0" applyProtection="0"/>
    <xf numFmtId="183" fontId="40" fillId="8" borderId="0" applyNumberFormat="0" applyBorder="0" applyAlignment="0" applyProtection="0"/>
    <xf numFmtId="183"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5"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0" fontId="40" fillId="79" borderId="0" applyNumberFormat="0" applyBorder="0" applyAlignment="0" applyProtection="0"/>
    <xf numFmtId="183" fontId="40" fillId="79" borderId="0" applyNumberFormat="0" applyBorder="0" applyAlignment="0" applyProtection="0"/>
    <xf numFmtId="183" fontId="40" fillId="79" borderId="0" applyNumberFormat="0" applyBorder="0" applyAlignment="0" applyProtection="0"/>
    <xf numFmtId="184" fontId="40" fillId="79" borderId="0" applyNumberFormat="0" applyBorder="0" applyAlignment="0" applyProtection="0"/>
    <xf numFmtId="184" fontId="40" fillId="79" borderId="0" applyNumberFormat="0" applyBorder="0" applyAlignment="0" applyProtection="0"/>
    <xf numFmtId="0" fontId="40" fillId="79" borderId="0" applyNumberFormat="0" applyBorder="0" applyAlignment="0" applyProtection="0"/>
    <xf numFmtId="184" fontId="40" fillId="79" borderId="0" applyNumberFormat="0" applyBorder="0" applyAlignment="0" applyProtection="0"/>
    <xf numFmtId="184" fontId="40" fillId="79"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187"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5" fontId="40" fillId="8" borderId="0" applyNumberFormat="0" applyBorder="0" applyAlignment="0" applyProtection="0"/>
    <xf numFmtId="183" fontId="40" fillId="8" borderId="0" applyNumberFormat="0" applyBorder="0" applyAlignment="0" applyProtection="0"/>
    <xf numFmtId="183"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5"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3" fontId="40" fillId="8" borderId="0" applyNumberFormat="0" applyBorder="0" applyAlignment="0" applyProtection="0"/>
    <xf numFmtId="183"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187" fontId="40" fillId="8" borderId="0" applyNumberFormat="0" applyBorder="0" applyAlignment="0" applyProtection="0"/>
    <xf numFmtId="184" fontId="40" fillId="8"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184" fontId="40" fillId="9" borderId="0" applyNumberFormat="0" applyBorder="0" applyAlignment="0" applyProtection="0"/>
    <xf numFmtId="182" fontId="40" fillId="18" borderId="0" applyNumberFormat="0" applyBorder="0" applyAlignment="0" applyProtection="0"/>
    <xf numFmtId="0" fontId="40" fillId="9" borderId="0" applyNumberFormat="0" applyBorder="0" applyAlignment="0" applyProtection="0"/>
    <xf numFmtId="183" fontId="40" fillId="9" borderId="0" applyNumberFormat="0" applyBorder="0" applyAlignment="0" applyProtection="0"/>
    <xf numFmtId="183"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5" fontId="40" fillId="9" borderId="0" applyNumberFormat="0" applyBorder="0" applyAlignment="0" applyProtection="0"/>
    <xf numFmtId="183" fontId="40" fillId="9" borderId="0" applyNumberFormat="0" applyBorder="0" applyAlignment="0" applyProtection="0"/>
    <xf numFmtId="183"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5"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0" fontId="40" fillId="18" borderId="0" applyNumberFormat="0" applyBorder="0" applyAlignment="0" applyProtection="0"/>
    <xf numFmtId="183" fontId="40" fillId="18" borderId="0" applyNumberFormat="0" applyBorder="0" applyAlignment="0" applyProtection="0"/>
    <xf numFmtId="183"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0"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0" fontId="40" fillId="9" borderId="0" applyNumberFormat="0" applyBorder="0" applyAlignment="0" applyProtection="0"/>
    <xf numFmtId="184" fontId="40" fillId="9" borderId="0" applyNumberFormat="0" applyBorder="0" applyAlignment="0" applyProtection="0"/>
    <xf numFmtId="187"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5" fontId="40" fillId="9" borderId="0" applyNumberFormat="0" applyBorder="0" applyAlignment="0" applyProtection="0"/>
    <xf numFmtId="183" fontId="40" fillId="9" borderId="0" applyNumberFormat="0" applyBorder="0" applyAlignment="0" applyProtection="0"/>
    <xf numFmtId="183"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5"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3" fontId="40" fillId="9" borderId="0" applyNumberFormat="0" applyBorder="0" applyAlignment="0" applyProtection="0"/>
    <xf numFmtId="183"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0" fontId="40" fillId="9" borderId="0" applyNumberFormat="0" applyBorder="0" applyAlignment="0" applyProtection="0"/>
    <xf numFmtId="184" fontId="40" fillId="9" borderId="0" applyNumberFormat="0" applyBorder="0" applyAlignment="0" applyProtection="0"/>
    <xf numFmtId="187" fontId="40" fillId="9" borderId="0" applyNumberFormat="0" applyBorder="0" applyAlignment="0" applyProtection="0"/>
    <xf numFmtId="184" fontId="40" fillId="9" borderId="0" applyNumberFormat="0" applyBorder="0" applyAlignment="0" applyProtection="0"/>
    <xf numFmtId="0" fontId="40" fillId="9" borderId="0" applyNumberFormat="0" applyBorder="0" applyAlignment="0" applyProtection="0"/>
    <xf numFmtId="184" fontId="40" fillId="9" borderId="0" applyNumberFormat="0" applyBorder="0" applyAlignment="0" applyProtection="0"/>
    <xf numFmtId="0" fontId="40" fillId="9" borderId="0" applyNumberFormat="0" applyBorder="0" applyAlignment="0" applyProtection="0"/>
    <xf numFmtId="184" fontId="40" fillId="9" borderId="0" applyNumberFormat="0" applyBorder="0" applyAlignment="0" applyProtection="0"/>
    <xf numFmtId="182" fontId="41" fillId="80" borderId="0" applyNumberFormat="0" applyBorder="0" applyAlignment="0" applyProtection="0"/>
    <xf numFmtId="0" fontId="41" fillId="10" borderId="0" applyNumberFormat="0" applyBorder="0" applyAlignment="0" applyProtection="0"/>
    <xf numFmtId="183" fontId="41" fillId="10" borderId="0" applyNumberFormat="0" applyBorder="0" applyAlignment="0" applyProtection="0"/>
    <xf numFmtId="184" fontId="41" fillId="10" borderId="0" applyNumberFormat="0" applyBorder="0" applyAlignment="0" applyProtection="0"/>
    <xf numFmtId="185" fontId="41" fillId="10" borderId="0" applyNumberFormat="0" applyBorder="0" applyAlignment="0" applyProtection="0"/>
    <xf numFmtId="183" fontId="41" fillId="10" borderId="0" applyNumberFormat="0" applyBorder="0" applyAlignment="0" applyProtection="0"/>
    <xf numFmtId="184" fontId="41" fillId="10" borderId="0" applyNumberFormat="0" applyBorder="0" applyAlignment="0" applyProtection="0"/>
    <xf numFmtId="184" fontId="41" fillId="10"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4" fontId="41" fillId="10" borderId="0" applyNumberFormat="0" applyBorder="0" applyAlignment="0" applyProtection="0"/>
    <xf numFmtId="185" fontId="41" fillId="10" borderId="0" applyNumberFormat="0" applyBorder="0" applyAlignment="0" applyProtection="0"/>
    <xf numFmtId="183" fontId="41" fillId="10" borderId="0" applyNumberFormat="0" applyBorder="0" applyAlignment="0" applyProtection="0"/>
    <xf numFmtId="184" fontId="41" fillId="10" borderId="0" applyNumberFormat="0" applyBorder="0" applyAlignment="0" applyProtection="0"/>
    <xf numFmtId="184" fontId="41" fillId="10" borderId="0" applyNumberFormat="0" applyBorder="0" applyAlignment="0" applyProtection="0"/>
    <xf numFmtId="183" fontId="41" fillId="10" borderId="0" applyNumberFormat="0" applyBorder="0" applyAlignment="0" applyProtection="0"/>
    <xf numFmtId="184" fontId="41" fillId="10" borderId="0" applyNumberFormat="0" applyBorder="0" applyAlignment="0" applyProtection="0"/>
    <xf numFmtId="0" fontId="41" fillId="10" borderId="0" applyNumberFormat="0" applyBorder="0" applyAlignment="0" applyProtection="0"/>
    <xf numFmtId="184" fontId="41" fillId="10" borderId="0" applyNumberFormat="0" applyBorder="0" applyAlignment="0" applyProtection="0"/>
    <xf numFmtId="187" fontId="41" fillId="10" borderId="0" applyNumberFormat="0" applyBorder="0" applyAlignment="0" applyProtection="0"/>
    <xf numFmtId="0" fontId="41" fillId="10" borderId="0" applyNumberFormat="0" applyBorder="0" applyAlignment="0" applyProtection="0"/>
    <xf numFmtId="184" fontId="41" fillId="10" borderId="0" applyNumberFormat="0" applyBorder="0" applyAlignment="0" applyProtection="0"/>
    <xf numFmtId="184" fontId="41" fillId="10" borderId="0" applyNumberFormat="0" applyBorder="0" applyAlignment="0" applyProtection="0"/>
    <xf numFmtId="0" fontId="41" fillId="10" borderId="0" applyNumberFormat="0" applyBorder="0" applyAlignment="0" applyProtection="0"/>
    <xf numFmtId="184" fontId="41" fillId="10" borderId="0" applyNumberFormat="0" applyBorder="0" applyAlignment="0" applyProtection="0"/>
    <xf numFmtId="0" fontId="41" fillId="10" borderId="0" applyNumberFormat="0" applyBorder="0" applyAlignment="0" applyProtection="0"/>
    <xf numFmtId="184" fontId="41" fillId="10" borderId="0" applyNumberFormat="0" applyBorder="0" applyAlignment="0" applyProtection="0"/>
    <xf numFmtId="184" fontId="41" fillId="10"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0" fontId="89" fillId="45" borderId="0" applyNumberFormat="0" applyBorder="0" applyAlignment="0" applyProtection="0"/>
    <xf numFmtId="184" fontId="89" fillId="45"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4" fontId="41" fillId="81" borderId="0" applyNumberFormat="0" applyBorder="0" applyAlignment="0" applyProtection="0"/>
    <xf numFmtId="184"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0"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2" fontId="41" fillId="81"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7" fontId="41" fillId="81" borderId="0" applyNumberFormat="0" applyBorder="0" applyAlignment="0" applyProtection="0"/>
    <xf numFmtId="0" fontId="41" fillId="82" borderId="0" applyNumberFormat="0" applyBorder="0" applyAlignment="0" applyProtection="0"/>
    <xf numFmtId="184" fontId="41" fillId="82"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0"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7" fontId="41" fillId="81" borderId="0" applyNumberFormat="0" applyBorder="0" applyAlignment="0" applyProtection="0"/>
    <xf numFmtId="0" fontId="41" fillId="82" borderId="0" applyNumberFormat="0" applyBorder="0" applyAlignment="0" applyProtection="0"/>
    <xf numFmtId="184" fontId="41" fillId="82"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7"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2"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5"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5" fontId="41" fillId="81" borderId="0" applyNumberFormat="0" applyBorder="0" applyAlignment="0" applyProtection="0"/>
    <xf numFmtId="0"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5"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185" fontId="41" fillId="81" borderId="0" applyNumberFormat="0" applyBorder="0" applyAlignment="0" applyProtection="0"/>
    <xf numFmtId="183" fontId="41" fillId="81" borderId="0" applyNumberFormat="0" applyBorder="0" applyAlignment="0" applyProtection="0"/>
    <xf numFmtId="184" fontId="41" fillId="81" borderId="0" applyNumberFormat="0" applyBorder="0" applyAlignment="0" applyProtection="0"/>
    <xf numFmtId="184" fontId="41" fillId="81"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0" fontId="41" fillId="82" borderId="0" applyNumberFormat="0" applyBorder="0" applyAlignment="0" applyProtection="0"/>
    <xf numFmtId="183" fontId="41" fillId="82" borderId="0" applyNumberFormat="0" applyBorder="0" applyAlignment="0" applyProtection="0"/>
    <xf numFmtId="184" fontId="41" fillId="82" borderId="0" applyNumberFormat="0" applyBorder="0" applyAlignment="0" applyProtection="0"/>
    <xf numFmtId="184" fontId="41" fillId="82" borderId="0" applyNumberFormat="0" applyBorder="0" applyAlignment="0" applyProtection="0"/>
    <xf numFmtId="184" fontId="40" fillId="12" borderId="0" applyNumberFormat="0" applyBorder="0" applyAlignment="0" applyProtection="0"/>
    <xf numFmtId="182" fontId="40" fillId="83" borderId="0" applyNumberFormat="0" applyBorder="0" applyAlignment="0" applyProtection="0"/>
    <xf numFmtId="0" fontId="40" fillId="12" borderId="0" applyNumberFormat="0" applyBorder="0" applyAlignment="0" applyProtection="0"/>
    <xf numFmtId="183" fontId="40" fillId="12" borderId="0" applyNumberFormat="0" applyBorder="0" applyAlignment="0" applyProtection="0"/>
    <xf numFmtId="183" fontId="40" fillId="12" borderId="0" applyNumberFormat="0" applyBorder="0" applyAlignment="0" applyProtection="0"/>
    <xf numFmtId="184" fontId="40" fillId="12" borderId="0" applyNumberFormat="0" applyBorder="0" applyAlignment="0" applyProtection="0"/>
    <xf numFmtId="184" fontId="40" fillId="12" borderId="0" applyNumberFormat="0" applyBorder="0" applyAlignment="0" applyProtection="0"/>
    <xf numFmtId="185" fontId="40" fillId="12" borderId="0" applyNumberFormat="0" applyBorder="0" applyAlignment="0" applyProtection="0"/>
    <xf numFmtId="183" fontId="40" fillId="12" borderId="0" applyNumberFormat="0" applyBorder="0" applyAlignment="0" applyProtection="0"/>
    <xf numFmtId="183" fontId="40" fillId="12" borderId="0" applyNumberFormat="0" applyBorder="0" applyAlignment="0" applyProtection="0"/>
    <xf numFmtId="184" fontId="40" fillId="12" borderId="0" applyNumberFormat="0" applyBorder="0" applyAlignment="0" applyProtection="0"/>
    <xf numFmtId="184" fontId="40" fillId="12" borderId="0" applyNumberFormat="0" applyBorder="0" applyAlignment="0" applyProtection="0"/>
    <xf numFmtId="185" fontId="40" fillId="12" borderId="0" applyNumberFormat="0" applyBorder="0" applyAlignment="0" applyProtection="0"/>
    <xf numFmtId="184" fontId="40" fillId="12" borderId="0" applyNumberFormat="0" applyBorder="0" applyAlignment="0" applyProtection="0"/>
    <xf numFmtId="184" fontId="40" fillId="12" borderId="0" applyNumberFormat="0" applyBorder="0" applyAlignment="0" applyProtection="0"/>
    <xf numFmtId="0" fontId="40" fillId="83" borderId="0" applyNumberFormat="0" applyBorder="0" applyAlignment="0" applyProtection="0"/>
    <xf numFmtId="183" fontId="40" fillId="83" borderId="0" applyNumberFormat="0" applyBorder="0" applyAlignment="0" applyProtection="0"/>
    <xf numFmtId="183" fontId="40" fillId="83" borderId="0" applyNumberFormat="0" applyBorder="0" applyAlignment="0" applyProtection="0"/>
    <xf numFmtId="184" fontId="40" fillId="83" borderId="0" applyNumberFormat="0" applyBorder="0" applyAlignment="0" applyProtection="0"/>
    <xf numFmtId="184" fontId="40" fillId="83" borderId="0" applyNumberFormat="0" applyBorder="0" applyAlignment="0" applyProtection="0"/>
    <xf numFmtId="0" fontId="40" fillId="83" borderId="0" applyNumberFormat="0" applyBorder="0" applyAlignment="0" applyProtection="0"/>
    <xf numFmtId="184" fontId="40" fillId="83" borderId="0" applyNumberFormat="0" applyBorder="0" applyAlignment="0" applyProtection="0"/>
    <xf numFmtId="184" fontId="40" fillId="83" borderId="0" applyNumberFormat="0" applyBorder="0" applyAlignment="0" applyProtection="0"/>
    <xf numFmtId="0" fontId="40" fillId="12" borderId="0" applyNumberFormat="0" applyBorder="0" applyAlignment="0" applyProtection="0"/>
    <xf numFmtId="184" fontId="40" fillId="12" borderId="0" applyNumberFormat="0" applyBorder="0" applyAlignment="0" applyProtection="0"/>
    <xf numFmtId="187" fontId="40" fillId="12" borderId="0" applyNumberFormat="0" applyBorder="0" applyAlignment="0" applyProtection="0"/>
    <xf numFmtId="184" fontId="40" fillId="12" borderId="0" applyNumberFormat="0" applyBorder="0" applyAlignment="0" applyProtection="0"/>
    <xf numFmtId="184" fontId="40" fillId="12" borderId="0" applyNumberFormat="0" applyBorder="0" applyAlignment="0" applyProtection="0"/>
    <xf numFmtId="185" fontId="40" fillId="12" borderId="0" applyNumberFormat="0" applyBorder="0" applyAlignment="0" applyProtection="0"/>
    <xf numFmtId="183" fontId="40" fillId="12" borderId="0" applyNumberFormat="0" applyBorder="0" applyAlignment="0" applyProtection="0"/>
    <xf numFmtId="183" fontId="40" fillId="12" borderId="0" applyNumberFormat="0" applyBorder="0" applyAlignment="0" applyProtection="0"/>
    <xf numFmtId="184" fontId="40" fillId="12" borderId="0" applyNumberFormat="0" applyBorder="0" applyAlignment="0" applyProtection="0"/>
    <xf numFmtId="184" fontId="40" fillId="12" borderId="0" applyNumberFormat="0" applyBorder="0" applyAlignment="0" applyProtection="0"/>
    <xf numFmtId="185" fontId="40" fillId="12" borderId="0" applyNumberFormat="0" applyBorder="0" applyAlignment="0" applyProtection="0"/>
    <xf numFmtId="184" fontId="40" fillId="12" borderId="0" applyNumberFormat="0" applyBorder="0" applyAlignment="0" applyProtection="0"/>
    <xf numFmtId="184" fontId="40" fillId="12" borderId="0" applyNumberFormat="0" applyBorder="0" applyAlignment="0" applyProtection="0"/>
    <xf numFmtId="183" fontId="40" fillId="12" borderId="0" applyNumberFormat="0" applyBorder="0" applyAlignment="0" applyProtection="0"/>
    <xf numFmtId="183" fontId="40" fillId="12" borderId="0" applyNumberFormat="0" applyBorder="0" applyAlignment="0" applyProtection="0"/>
    <xf numFmtId="184" fontId="40" fillId="12" borderId="0" applyNumberFormat="0" applyBorder="0" applyAlignment="0" applyProtection="0"/>
    <xf numFmtId="184"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184" fontId="40" fillId="12" borderId="0" applyNumberFormat="0" applyBorder="0" applyAlignment="0" applyProtection="0"/>
    <xf numFmtId="184" fontId="40" fillId="12" borderId="0" applyNumberFormat="0" applyBorder="0" applyAlignment="0" applyProtection="0"/>
    <xf numFmtId="0" fontId="40" fillId="12" borderId="0" applyNumberFormat="0" applyBorder="0" applyAlignment="0" applyProtection="0"/>
    <xf numFmtId="184" fontId="40" fillId="12" borderId="0" applyNumberFormat="0" applyBorder="0" applyAlignment="0" applyProtection="0"/>
    <xf numFmtId="187" fontId="40" fillId="12" borderId="0" applyNumberFormat="0" applyBorder="0" applyAlignment="0" applyProtection="0"/>
    <xf numFmtId="184" fontId="40" fillId="12" borderId="0" applyNumberFormat="0" applyBorder="0" applyAlignment="0" applyProtection="0"/>
    <xf numFmtId="0" fontId="40" fillId="12" borderId="0" applyNumberFormat="0" applyBorder="0" applyAlignment="0" applyProtection="0"/>
    <xf numFmtId="184" fontId="40" fillId="12" borderId="0" applyNumberFormat="0" applyBorder="0" applyAlignment="0" applyProtection="0"/>
    <xf numFmtId="0" fontId="40" fillId="12" borderId="0" applyNumberFormat="0" applyBorder="0" applyAlignment="0" applyProtection="0"/>
    <xf numFmtId="184" fontId="40" fillId="12" borderId="0" applyNumberFormat="0" applyBorder="0" applyAlignment="0" applyProtection="0"/>
    <xf numFmtId="184" fontId="40" fillId="13" borderId="0" applyNumberFormat="0" applyBorder="0" applyAlignment="0" applyProtection="0"/>
    <xf numFmtId="182" fontId="40" fillId="17" borderId="0" applyNumberFormat="0" applyBorder="0" applyAlignment="0" applyProtection="0"/>
    <xf numFmtId="0" fontId="40" fillId="13" borderId="0" applyNumberFormat="0" applyBorder="0" applyAlignment="0" applyProtection="0"/>
    <xf numFmtId="183" fontId="40" fillId="13" borderId="0" applyNumberFormat="0" applyBorder="0" applyAlignment="0" applyProtection="0"/>
    <xf numFmtId="183"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5" fontId="40" fillId="13" borderId="0" applyNumberFormat="0" applyBorder="0" applyAlignment="0" applyProtection="0"/>
    <xf numFmtId="183" fontId="40" fillId="13" borderId="0" applyNumberFormat="0" applyBorder="0" applyAlignment="0" applyProtection="0"/>
    <xf numFmtId="183"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5"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0" fontId="40" fillId="17" borderId="0" applyNumberFormat="0" applyBorder="0" applyAlignment="0" applyProtection="0"/>
    <xf numFmtId="183" fontId="40" fillId="17" borderId="0" applyNumberFormat="0" applyBorder="0" applyAlignment="0" applyProtection="0"/>
    <xf numFmtId="183"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187"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5" fontId="40" fillId="13" borderId="0" applyNumberFormat="0" applyBorder="0" applyAlignment="0" applyProtection="0"/>
    <xf numFmtId="183" fontId="40" fillId="13" borderId="0" applyNumberFormat="0" applyBorder="0" applyAlignment="0" applyProtection="0"/>
    <xf numFmtId="183"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5"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3" fontId="40" fillId="13" borderId="0" applyNumberFormat="0" applyBorder="0" applyAlignment="0" applyProtection="0"/>
    <xf numFmtId="183"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187" fontId="40" fillId="13" borderId="0" applyNumberFormat="0" applyBorder="0" applyAlignment="0" applyProtection="0"/>
    <xf numFmtId="184" fontId="40" fillId="13"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182" fontId="41" fillId="13" borderId="0" applyNumberFormat="0" applyBorder="0" applyAlignment="0" applyProtection="0"/>
    <xf numFmtId="0"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3" borderId="0" applyNumberFormat="0" applyBorder="0" applyAlignment="0" applyProtection="0"/>
    <xf numFmtId="183" fontId="41" fillId="13" borderId="0" applyNumberFormat="0" applyBorder="0" applyAlignment="0" applyProtection="0"/>
    <xf numFmtId="184" fontId="41" fillId="13" borderId="0" applyNumberFormat="0" applyBorder="0" applyAlignment="0" applyProtection="0"/>
    <xf numFmtId="184" fontId="41" fillId="13"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0" fontId="41" fillId="14" borderId="0" applyNumberFormat="0" applyBorder="0" applyAlignment="0" applyProtection="0"/>
    <xf numFmtId="184" fontId="41" fillId="14" borderId="0" applyNumberFormat="0" applyBorder="0" applyAlignment="0" applyProtection="0"/>
    <xf numFmtId="187" fontId="41" fillId="14" borderId="0" applyNumberFormat="0" applyBorder="0" applyAlignment="0" applyProtection="0"/>
    <xf numFmtId="0"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4" borderId="0" applyNumberFormat="0" applyBorder="0" applyAlignment="0" applyProtection="0"/>
    <xf numFmtId="184" fontId="41" fillId="14" borderId="0" applyNumberFormat="0" applyBorder="0" applyAlignment="0" applyProtection="0"/>
    <xf numFmtId="0"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0" fontId="89" fillId="49" borderId="0" applyNumberFormat="0" applyBorder="0" applyAlignment="0" applyProtection="0"/>
    <xf numFmtId="184" fontId="89" fillId="49"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4" fontId="41" fillId="84" borderId="0" applyNumberFormat="0" applyBorder="0" applyAlignment="0" applyProtection="0"/>
    <xf numFmtId="184"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2" fontId="41" fillId="84"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7" fontId="41" fillId="84" borderId="0" applyNumberFormat="0" applyBorder="0" applyAlignment="0" applyProtection="0"/>
    <xf numFmtId="0" fontId="41" fillId="11" borderId="0" applyNumberFormat="0" applyBorder="0" applyAlignment="0" applyProtection="0"/>
    <xf numFmtId="184" fontId="41" fillId="11"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7" fontId="41" fillId="84" borderId="0" applyNumberFormat="0" applyBorder="0" applyAlignment="0" applyProtection="0"/>
    <xf numFmtId="0" fontId="41" fillId="11" borderId="0" applyNumberFormat="0" applyBorder="0" applyAlignment="0" applyProtection="0"/>
    <xf numFmtId="184" fontId="41" fillId="11"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7"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2"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5"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5" fontId="41" fillId="84" borderId="0" applyNumberFormat="0" applyBorder="0" applyAlignment="0" applyProtection="0"/>
    <xf numFmtId="0"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5"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185" fontId="41" fillId="84" borderId="0" applyNumberFormat="0" applyBorder="0" applyAlignment="0" applyProtection="0"/>
    <xf numFmtId="183" fontId="41" fillId="84" borderId="0" applyNumberFormat="0" applyBorder="0" applyAlignment="0" applyProtection="0"/>
    <xf numFmtId="184" fontId="41" fillId="84" borderId="0" applyNumberFormat="0" applyBorder="0" applyAlignment="0" applyProtection="0"/>
    <xf numFmtId="184" fontId="41" fillId="84"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0" fontId="41" fillId="11" borderId="0" applyNumberFormat="0" applyBorder="0" applyAlignment="0" applyProtection="0"/>
    <xf numFmtId="183" fontId="41" fillId="11" borderId="0" applyNumberFormat="0" applyBorder="0" applyAlignment="0" applyProtection="0"/>
    <xf numFmtId="184" fontId="41" fillId="11" borderId="0" applyNumberFormat="0" applyBorder="0" applyAlignment="0" applyProtection="0"/>
    <xf numFmtId="184" fontId="41" fillId="11" borderId="0" applyNumberFormat="0" applyBorder="0" applyAlignment="0" applyProtection="0"/>
    <xf numFmtId="184" fontId="40" fillId="16" borderId="0" applyNumberFormat="0" applyBorder="0" applyAlignment="0" applyProtection="0"/>
    <xf numFmtId="182" fontId="40" fillId="85" borderId="0" applyNumberFormat="0" applyBorder="0" applyAlignment="0" applyProtection="0"/>
    <xf numFmtId="0" fontId="40" fillId="16" borderId="0" applyNumberFormat="0" applyBorder="0" applyAlignment="0" applyProtection="0"/>
    <xf numFmtId="183" fontId="40" fillId="16" borderId="0" applyNumberFormat="0" applyBorder="0" applyAlignment="0" applyProtection="0"/>
    <xf numFmtId="183"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185" fontId="40" fillId="16" borderId="0" applyNumberFormat="0" applyBorder="0" applyAlignment="0" applyProtection="0"/>
    <xf numFmtId="183" fontId="40" fillId="16" borderId="0" applyNumberFormat="0" applyBorder="0" applyAlignment="0" applyProtection="0"/>
    <xf numFmtId="183"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185"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0" fontId="40" fillId="85" borderId="0" applyNumberFormat="0" applyBorder="0" applyAlignment="0" applyProtection="0"/>
    <xf numFmtId="183" fontId="40" fillId="85" borderId="0" applyNumberFormat="0" applyBorder="0" applyAlignment="0" applyProtection="0"/>
    <xf numFmtId="183" fontId="40" fillId="85" borderId="0" applyNumberFormat="0" applyBorder="0" applyAlignment="0" applyProtection="0"/>
    <xf numFmtId="184" fontId="40" fillId="85" borderId="0" applyNumberFormat="0" applyBorder="0" applyAlignment="0" applyProtection="0"/>
    <xf numFmtId="184" fontId="40" fillId="85" borderId="0" applyNumberFormat="0" applyBorder="0" applyAlignment="0" applyProtection="0"/>
    <xf numFmtId="0" fontId="40" fillId="85" borderId="0" applyNumberFormat="0" applyBorder="0" applyAlignment="0" applyProtection="0"/>
    <xf numFmtId="184" fontId="40" fillId="85" borderId="0" applyNumberFormat="0" applyBorder="0" applyAlignment="0" applyProtection="0"/>
    <xf numFmtId="184" fontId="40" fillId="85" borderId="0" applyNumberFormat="0" applyBorder="0" applyAlignment="0" applyProtection="0"/>
    <xf numFmtId="0" fontId="40" fillId="16" borderId="0" applyNumberFormat="0" applyBorder="0" applyAlignment="0" applyProtection="0"/>
    <xf numFmtId="184" fontId="40" fillId="16" borderId="0" applyNumberFormat="0" applyBorder="0" applyAlignment="0" applyProtection="0"/>
    <xf numFmtId="187"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185" fontId="40" fillId="16" borderId="0" applyNumberFormat="0" applyBorder="0" applyAlignment="0" applyProtection="0"/>
    <xf numFmtId="183" fontId="40" fillId="16" borderId="0" applyNumberFormat="0" applyBorder="0" applyAlignment="0" applyProtection="0"/>
    <xf numFmtId="183"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185"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183" fontId="40" fillId="16" borderId="0" applyNumberFormat="0" applyBorder="0" applyAlignment="0" applyProtection="0"/>
    <xf numFmtId="183"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0" fontId="40" fillId="16" borderId="0" applyNumberFormat="0" applyBorder="0" applyAlignment="0" applyProtection="0"/>
    <xf numFmtId="184" fontId="40" fillId="16" borderId="0" applyNumberFormat="0" applyBorder="0" applyAlignment="0" applyProtection="0"/>
    <xf numFmtId="187" fontId="40" fillId="16" borderId="0" applyNumberFormat="0" applyBorder="0" applyAlignment="0" applyProtection="0"/>
    <xf numFmtId="184" fontId="40" fillId="16" borderId="0" applyNumberFormat="0" applyBorder="0" applyAlignment="0" applyProtection="0"/>
    <xf numFmtId="0" fontId="40" fillId="16" borderId="0" applyNumberFormat="0" applyBorder="0" applyAlignment="0" applyProtection="0"/>
    <xf numFmtId="184" fontId="40" fillId="16" borderId="0" applyNumberFormat="0" applyBorder="0" applyAlignment="0" applyProtection="0"/>
    <xf numFmtId="0" fontId="40" fillId="16" borderId="0" applyNumberFormat="0" applyBorder="0" applyAlignment="0" applyProtection="0"/>
    <xf numFmtId="184" fontId="40" fillId="16" borderId="0" applyNumberFormat="0" applyBorder="0" applyAlignment="0" applyProtection="0"/>
    <xf numFmtId="184" fontId="40" fillId="17" borderId="0" applyNumberFormat="0" applyBorder="0" applyAlignment="0" applyProtection="0"/>
    <xf numFmtId="182" fontId="40" fillId="86" borderId="0" applyNumberFormat="0" applyBorder="0" applyAlignment="0" applyProtection="0"/>
    <xf numFmtId="0" fontId="40" fillId="17" borderId="0" applyNumberFormat="0" applyBorder="0" applyAlignment="0" applyProtection="0"/>
    <xf numFmtId="183" fontId="40" fillId="17" borderId="0" applyNumberFormat="0" applyBorder="0" applyAlignment="0" applyProtection="0"/>
    <xf numFmtId="183"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5" fontId="40" fillId="17" borderId="0" applyNumberFormat="0" applyBorder="0" applyAlignment="0" applyProtection="0"/>
    <xf numFmtId="183" fontId="40" fillId="17" borderId="0" applyNumberFormat="0" applyBorder="0" applyAlignment="0" applyProtection="0"/>
    <xf numFmtId="183"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5"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0" fontId="40" fillId="86" borderId="0" applyNumberFormat="0" applyBorder="0" applyAlignment="0" applyProtection="0"/>
    <xf numFmtId="183" fontId="40" fillId="86" borderId="0" applyNumberFormat="0" applyBorder="0" applyAlignment="0" applyProtection="0"/>
    <xf numFmtId="183" fontId="40" fillId="86" borderId="0" applyNumberFormat="0" applyBorder="0" applyAlignment="0" applyProtection="0"/>
    <xf numFmtId="184" fontId="40" fillId="86" borderId="0" applyNumberFormat="0" applyBorder="0" applyAlignment="0" applyProtection="0"/>
    <xf numFmtId="184" fontId="40" fillId="86" borderId="0" applyNumberFormat="0" applyBorder="0" applyAlignment="0" applyProtection="0"/>
    <xf numFmtId="0" fontId="40" fillId="86" borderId="0" applyNumberFormat="0" applyBorder="0" applyAlignment="0" applyProtection="0"/>
    <xf numFmtId="184" fontId="40" fillId="86" borderId="0" applyNumberFormat="0" applyBorder="0" applyAlignment="0" applyProtection="0"/>
    <xf numFmtId="184" fontId="40" fillId="86"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187"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5" fontId="40" fillId="17" borderId="0" applyNumberFormat="0" applyBorder="0" applyAlignment="0" applyProtection="0"/>
    <xf numFmtId="183" fontId="40" fillId="17" borderId="0" applyNumberFormat="0" applyBorder="0" applyAlignment="0" applyProtection="0"/>
    <xf numFmtId="183"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5"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3" fontId="40" fillId="17" borderId="0" applyNumberFormat="0" applyBorder="0" applyAlignment="0" applyProtection="0"/>
    <xf numFmtId="183"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187" fontId="40" fillId="17" borderId="0" applyNumberFormat="0" applyBorder="0" applyAlignment="0" applyProtection="0"/>
    <xf numFmtId="184" fontId="40" fillId="17"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182" fontId="41" fillId="87" borderId="0" applyNumberFormat="0" applyBorder="0" applyAlignment="0" applyProtection="0"/>
    <xf numFmtId="0" fontId="41" fillId="18" borderId="0" applyNumberFormat="0" applyBorder="0" applyAlignment="0" applyProtection="0"/>
    <xf numFmtId="183" fontId="41" fillId="18" borderId="0" applyNumberFormat="0" applyBorder="0" applyAlignment="0" applyProtection="0"/>
    <xf numFmtId="184" fontId="41" fillId="18" borderId="0" applyNumberFormat="0" applyBorder="0" applyAlignment="0" applyProtection="0"/>
    <xf numFmtId="185" fontId="41" fillId="18" borderId="0" applyNumberFormat="0" applyBorder="0" applyAlignment="0" applyProtection="0"/>
    <xf numFmtId="183" fontId="41" fillId="18" borderId="0" applyNumberFormat="0" applyBorder="0" applyAlignment="0" applyProtection="0"/>
    <xf numFmtId="184" fontId="41" fillId="18" borderId="0" applyNumberFormat="0" applyBorder="0" applyAlignment="0" applyProtection="0"/>
    <xf numFmtId="184" fontId="41" fillId="18" borderId="0" applyNumberFormat="0" applyBorder="0" applyAlignment="0" applyProtection="0"/>
    <xf numFmtId="0" fontId="41" fillId="87" borderId="0" applyNumberFormat="0" applyBorder="0" applyAlignment="0" applyProtection="0"/>
    <xf numFmtId="183" fontId="41" fillId="87" borderId="0" applyNumberFormat="0" applyBorder="0" applyAlignment="0" applyProtection="0"/>
    <xf numFmtId="184" fontId="41" fillId="87" borderId="0" applyNumberFormat="0" applyBorder="0" applyAlignment="0" applyProtection="0"/>
    <xf numFmtId="184" fontId="41" fillId="87" borderId="0" applyNumberFormat="0" applyBorder="0" applyAlignment="0" applyProtection="0"/>
    <xf numFmtId="184" fontId="41" fillId="18" borderId="0" applyNumberFormat="0" applyBorder="0" applyAlignment="0" applyProtection="0"/>
    <xf numFmtId="185" fontId="41" fillId="18" borderId="0" applyNumberFormat="0" applyBorder="0" applyAlignment="0" applyProtection="0"/>
    <xf numFmtId="183" fontId="41" fillId="18" borderId="0" applyNumberFormat="0" applyBorder="0" applyAlignment="0" applyProtection="0"/>
    <xf numFmtId="184" fontId="41" fillId="18" borderId="0" applyNumberFormat="0" applyBorder="0" applyAlignment="0" applyProtection="0"/>
    <xf numFmtId="184" fontId="41" fillId="18" borderId="0" applyNumberFormat="0" applyBorder="0" applyAlignment="0" applyProtection="0"/>
    <xf numFmtId="183" fontId="41" fillId="18" borderId="0" applyNumberFormat="0" applyBorder="0" applyAlignment="0" applyProtection="0"/>
    <xf numFmtId="184" fontId="41" fillId="18" borderId="0" applyNumberFormat="0" applyBorder="0" applyAlignment="0" applyProtection="0"/>
    <xf numFmtId="0" fontId="41" fillId="18" borderId="0" applyNumberFormat="0" applyBorder="0" applyAlignment="0" applyProtection="0"/>
    <xf numFmtId="184" fontId="41" fillId="18" borderId="0" applyNumberFormat="0" applyBorder="0" applyAlignment="0" applyProtection="0"/>
    <xf numFmtId="187" fontId="41" fillId="18" borderId="0" applyNumberFormat="0" applyBorder="0" applyAlignment="0" applyProtection="0"/>
    <xf numFmtId="0" fontId="41" fillId="18" borderId="0" applyNumberFormat="0" applyBorder="0" applyAlignment="0" applyProtection="0"/>
    <xf numFmtId="184" fontId="41" fillId="18" borderId="0" applyNumberFormat="0" applyBorder="0" applyAlignment="0" applyProtection="0"/>
    <xf numFmtId="184" fontId="41" fillId="18" borderId="0" applyNumberFormat="0" applyBorder="0" applyAlignment="0" applyProtection="0"/>
    <xf numFmtId="0" fontId="41" fillId="18" borderId="0" applyNumberFormat="0" applyBorder="0" applyAlignment="0" applyProtection="0"/>
    <xf numFmtId="184" fontId="41" fillId="18" borderId="0" applyNumberFormat="0" applyBorder="0" applyAlignment="0" applyProtection="0"/>
    <xf numFmtId="0" fontId="41" fillId="18" borderId="0" applyNumberFormat="0" applyBorder="0" applyAlignment="0" applyProtection="0"/>
    <xf numFmtId="184" fontId="41" fillId="18" borderId="0" applyNumberFormat="0" applyBorder="0" applyAlignment="0" applyProtection="0"/>
    <xf numFmtId="184" fontId="41" fillId="18"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0" fontId="89" fillId="53" borderId="0" applyNumberFormat="0" applyBorder="0" applyAlignment="0" applyProtection="0"/>
    <xf numFmtId="184" fontId="89" fillId="53"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0" fontId="41" fillId="88" borderId="0" applyNumberFormat="0" applyBorder="0" applyAlignment="0" applyProtection="0"/>
    <xf numFmtId="184" fontId="41" fillId="88" borderId="0" applyNumberFormat="0" applyBorder="0" applyAlignment="0" applyProtection="0"/>
    <xf numFmtId="184"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2" fontId="41" fillId="88"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88"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7" fontId="41" fillId="14"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7" fontId="41" fillId="14"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187" fontId="41" fillId="14" borderId="0" applyNumberFormat="0" applyBorder="0" applyAlignment="0" applyProtection="0"/>
    <xf numFmtId="0"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2" fontId="41" fillId="88" borderId="0" applyNumberFormat="0" applyBorder="0" applyAlignment="0" applyProtection="0"/>
    <xf numFmtId="0"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185"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4" borderId="0" applyNumberFormat="0" applyBorder="0" applyAlignment="0" applyProtection="0"/>
    <xf numFmtId="0"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4" borderId="0" applyNumberFormat="0" applyBorder="0" applyAlignment="0" applyProtection="0"/>
    <xf numFmtId="0"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0" fontId="41" fillId="88" borderId="0" applyNumberFormat="0" applyBorder="0" applyAlignment="0" applyProtection="0"/>
    <xf numFmtId="183" fontId="41" fillId="88" borderId="0" applyNumberFormat="0" applyBorder="0" applyAlignment="0" applyProtection="0"/>
    <xf numFmtId="184" fontId="41" fillId="88" borderId="0" applyNumberFormat="0" applyBorder="0" applyAlignment="0" applyProtection="0"/>
    <xf numFmtId="184" fontId="41" fillId="88"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185" fontId="41" fillId="14" borderId="0" applyNumberFormat="0" applyBorder="0" applyAlignment="0" applyProtection="0"/>
    <xf numFmtId="183" fontId="41" fillId="14" borderId="0" applyNumberFormat="0" applyBorder="0" applyAlignment="0" applyProtection="0"/>
    <xf numFmtId="184" fontId="41" fillId="14" borderId="0" applyNumberFormat="0" applyBorder="0" applyAlignment="0" applyProtection="0"/>
    <xf numFmtId="184" fontId="41" fillId="14"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40" fillId="17" borderId="0" applyNumberFormat="0" applyBorder="0" applyAlignment="0" applyProtection="0"/>
    <xf numFmtId="182" fontId="40" fillId="83" borderId="0" applyNumberFormat="0" applyBorder="0" applyAlignment="0" applyProtection="0"/>
    <xf numFmtId="0" fontId="40" fillId="17" borderId="0" applyNumberFormat="0" applyBorder="0" applyAlignment="0" applyProtection="0"/>
    <xf numFmtId="183" fontId="40" fillId="17" borderId="0" applyNumberFormat="0" applyBorder="0" applyAlignment="0" applyProtection="0"/>
    <xf numFmtId="183"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5" fontId="40" fillId="17" borderId="0" applyNumberFormat="0" applyBorder="0" applyAlignment="0" applyProtection="0"/>
    <xf numFmtId="183" fontId="40" fillId="17" borderId="0" applyNumberFormat="0" applyBorder="0" applyAlignment="0" applyProtection="0"/>
    <xf numFmtId="183"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5"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0" fontId="40" fillId="83" borderId="0" applyNumberFormat="0" applyBorder="0" applyAlignment="0" applyProtection="0"/>
    <xf numFmtId="183" fontId="40" fillId="83" borderId="0" applyNumberFormat="0" applyBorder="0" applyAlignment="0" applyProtection="0"/>
    <xf numFmtId="183" fontId="40" fillId="83" borderId="0" applyNumberFormat="0" applyBorder="0" applyAlignment="0" applyProtection="0"/>
    <xf numFmtId="184" fontId="40" fillId="83" borderId="0" applyNumberFormat="0" applyBorder="0" applyAlignment="0" applyProtection="0"/>
    <xf numFmtId="184" fontId="40" fillId="83" borderId="0" applyNumberFormat="0" applyBorder="0" applyAlignment="0" applyProtection="0"/>
    <xf numFmtId="0" fontId="40" fillId="83" borderId="0" applyNumberFormat="0" applyBorder="0" applyAlignment="0" applyProtection="0"/>
    <xf numFmtId="184" fontId="40" fillId="83" borderId="0" applyNumberFormat="0" applyBorder="0" applyAlignment="0" applyProtection="0"/>
    <xf numFmtId="184" fontId="40" fillId="83"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187"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5" fontId="40" fillId="17" borderId="0" applyNumberFormat="0" applyBorder="0" applyAlignment="0" applyProtection="0"/>
    <xf numFmtId="183" fontId="40" fillId="17" borderId="0" applyNumberFormat="0" applyBorder="0" applyAlignment="0" applyProtection="0"/>
    <xf numFmtId="183"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5"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183" fontId="40" fillId="17" borderId="0" applyNumberFormat="0" applyBorder="0" applyAlignment="0" applyProtection="0"/>
    <xf numFmtId="183"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184" fontId="40" fillId="17"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187" fontId="40" fillId="17" borderId="0" applyNumberFormat="0" applyBorder="0" applyAlignment="0" applyProtection="0"/>
    <xf numFmtId="184" fontId="40" fillId="17"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0" fontId="40" fillId="17" borderId="0" applyNumberFormat="0" applyBorder="0" applyAlignment="0" applyProtection="0"/>
    <xf numFmtId="184" fontId="40" fillId="17" borderId="0" applyNumberFormat="0" applyBorder="0" applyAlignment="0" applyProtection="0"/>
    <xf numFmtId="184" fontId="40" fillId="18" borderId="0" applyNumberFormat="0" applyBorder="0" applyAlignment="0" applyProtection="0"/>
    <xf numFmtId="182" fontId="40" fillId="14" borderId="0" applyNumberFormat="0" applyBorder="0" applyAlignment="0" applyProtection="0"/>
    <xf numFmtId="0" fontId="40" fillId="18" borderId="0" applyNumberFormat="0" applyBorder="0" applyAlignment="0" applyProtection="0"/>
    <xf numFmtId="183" fontId="40" fillId="18" borderId="0" applyNumberFormat="0" applyBorder="0" applyAlignment="0" applyProtection="0"/>
    <xf numFmtId="183"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185" fontId="40" fillId="18" borderId="0" applyNumberFormat="0" applyBorder="0" applyAlignment="0" applyProtection="0"/>
    <xf numFmtId="183" fontId="40" fillId="18" borderId="0" applyNumberFormat="0" applyBorder="0" applyAlignment="0" applyProtection="0"/>
    <xf numFmtId="183"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185"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0" fontId="40" fillId="14" borderId="0" applyNumberFormat="0" applyBorder="0" applyAlignment="0" applyProtection="0"/>
    <xf numFmtId="183" fontId="40" fillId="14" borderId="0" applyNumberFormat="0" applyBorder="0" applyAlignment="0" applyProtection="0"/>
    <xf numFmtId="183" fontId="40" fillId="14" borderId="0" applyNumberFormat="0" applyBorder="0" applyAlignment="0" applyProtection="0"/>
    <xf numFmtId="184" fontId="40" fillId="14" borderId="0" applyNumberFormat="0" applyBorder="0" applyAlignment="0" applyProtection="0"/>
    <xf numFmtId="184" fontId="40" fillId="14" borderId="0" applyNumberFormat="0" applyBorder="0" applyAlignment="0" applyProtection="0"/>
    <xf numFmtId="0" fontId="40" fillId="14" borderId="0" applyNumberFormat="0" applyBorder="0" applyAlignment="0" applyProtection="0"/>
    <xf numFmtId="184" fontId="40" fillId="14" borderId="0" applyNumberFormat="0" applyBorder="0" applyAlignment="0" applyProtection="0"/>
    <xf numFmtId="184" fontId="40" fillId="14" borderId="0" applyNumberFormat="0" applyBorder="0" applyAlignment="0" applyProtection="0"/>
    <xf numFmtId="0" fontId="40" fillId="18" borderId="0" applyNumberFormat="0" applyBorder="0" applyAlignment="0" applyProtection="0"/>
    <xf numFmtId="184" fontId="40" fillId="18" borderId="0" applyNumberFormat="0" applyBorder="0" applyAlignment="0" applyProtection="0"/>
    <xf numFmtId="187"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185" fontId="40" fillId="18" borderId="0" applyNumberFormat="0" applyBorder="0" applyAlignment="0" applyProtection="0"/>
    <xf numFmtId="183" fontId="40" fillId="18" borderId="0" applyNumberFormat="0" applyBorder="0" applyAlignment="0" applyProtection="0"/>
    <xf numFmtId="183"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185"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183" fontId="40" fillId="18" borderId="0" applyNumberFormat="0" applyBorder="0" applyAlignment="0" applyProtection="0"/>
    <xf numFmtId="183"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184" fontId="40" fillId="18" borderId="0" applyNumberFormat="0" applyBorder="0" applyAlignment="0" applyProtection="0"/>
    <xf numFmtId="184" fontId="40" fillId="18" borderId="0" applyNumberFormat="0" applyBorder="0" applyAlignment="0" applyProtection="0"/>
    <xf numFmtId="0" fontId="40" fillId="18" borderId="0" applyNumberFormat="0" applyBorder="0" applyAlignment="0" applyProtection="0"/>
    <xf numFmtId="184" fontId="40" fillId="18" borderId="0" applyNumberFormat="0" applyBorder="0" applyAlignment="0" applyProtection="0"/>
    <xf numFmtId="187" fontId="40" fillId="18" borderId="0" applyNumberFormat="0" applyBorder="0" applyAlignment="0" applyProtection="0"/>
    <xf numFmtId="184" fontId="40" fillId="18" borderId="0" applyNumberFormat="0" applyBorder="0" applyAlignment="0" applyProtection="0"/>
    <xf numFmtId="0" fontId="40" fillId="18" borderId="0" applyNumberFormat="0" applyBorder="0" applyAlignment="0" applyProtection="0"/>
    <xf numFmtId="184" fontId="40" fillId="18" borderId="0" applyNumberFormat="0" applyBorder="0" applyAlignment="0" applyProtection="0"/>
    <xf numFmtId="0" fontId="40" fillId="18" borderId="0" applyNumberFormat="0" applyBorder="0" applyAlignment="0" applyProtection="0"/>
    <xf numFmtId="184" fontId="40" fillId="18" borderId="0" applyNumberFormat="0" applyBorder="0" applyAlignment="0" applyProtection="0"/>
    <xf numFmtId="182" fontId="41" fillId="17" borderId="0" applyNumberFormat="0" applyBorder="0" applyAlignment="0" applyProtection="0"/>
    <xf numFmtId="0" fontId="41" fillId="18" borderId="0" applyNumberFormat="0" applyBorder="0" applyAlignment="0" applyProtection="0"/>
    <xf numFmtId="183" fontId="41" fillId="18" borderId="0" applyNumberFormat="0" applyBorder="0" applyAlignment="0" applyProtection="0"/>
    <xf numFmtId="184" fontId="41" fillId="18" borderId="0" applyNumberFormat="0" applyBorder="0" applyAlignment="0" applyProtection="0"/>
    <xf numFmtId="185" fontId="41" fillId="18" borderId="0" applyNumberFormat="0" applyBorder="0" applyAlignment="0" applyProtection="0"/>
    <xf numFmtId="183" fontId="41" fillId="18" borderId="0" applyNumberFormat="0" applyBorder="0" applyAlignment="0" applyProtection="0"/>
    <xf numFmtId="184" fontId="41" fillId="18" borderId="0" applyNumberFormat="0" applyBorder="0" applyAlignment="0" applyProtection="0"/>
    <xf numFmtId="184" fontId="41" fillId="18" borderId="0" applyNumberFormat="0" applyBorder="0" applyAlignment="0" applyProtection="0"/>
    <xf numFmtId="0" fontId="41" fillId="17" borderId="0" applyNumberFormat="0" applyBorder="0" applyAlignment="0" applyProtection="0"/>
    <xf numFmtId="183" fontId="41" fillId="17" borderId="0" applyNumberFormat="0" applyBorder="0" applyAlignment="0" applyProtection="0"/>
    <xf numFmtId="184" fontId="41" fillId="17" borderId="0" applyNumberFormat="0" applyBorder="0" applyAlignment="0" applyProtection="0"/>
    <xf numFmtId="184" fontId="41" fillId="17" borderId="0" applyNumberFormat="0" applyBorder="0" applyAlignment="0" applyProtection="0"/>
    <xf numFmtId="184" fontId="41" fillId="18" borderId="0" applyNumberFormat="0" applyBorder="0" applyAlignment="0" applyProtection="0"/>
    <xf numFmtId="185" fontId="41" fillId="18" borderId="0" applyNumberFormat="0" applyBorder="0" applyAlignment="0" applyProtection="0"/>
    <xf numFmtId="183" fontId="41" fillId="18" borderId="0" applyNumberFormat="0" applyBorder="0" applyAlignment="0" applyProtection="0"/>
    <xf numFmtId="184" fontId="41" fillId="18" borderId="0" applyNumberFormat="0" applyBorder="0" applyAlignment="0" applyProtection="0"/>
    <xf numFmtId="184" fontId="41" fillId="18" borderId="0" applyNumberFormat="0" applyBorder="0" applyAlignment="0" applyProtection="0"/>
    <xf numFmtId="183" fontId="41" fillId="18" borderId="0" applyNumberFormat="0" applyBorder="0" applyAlignment="0" applyProtection="0"/>
    <xf numFmtId="184" fontId="41" fillId="18" borderId="0" applyNumberFormat="0" applyBorder="0" applyAlignment="0" applyProtection="0"/>
    <xf numFmtId="0" fontId="41" fillId="18" borderId="0" applyNumberFormat="0" applyBorder="0" applyAlignment="0" applyProtection="0"/>
    <xf numFmtId="184" fontId="41" fillId="18" borderId="0" applyNumberFormat="0" applyBorder="0" applyAlignment="0" applyProtection="0"/>
    <xf numFmtId="187" fontId="41" fillId="18" borderId="0" applyNumberFormat="0" applyBorder="0" applyAlignment="0" applyProtection="0"/>
    <xf numFmtId="0" fontId="41" fillId="18" borderId="0" applyNumberFormat="0" applyBorder="0" applyAlignment="0" applyProtection="0"/>
    <xf numFmtId="184" fontId="41" fillId="18" borderId="0" applyNumberFormat="0" applyBorder="0" applyAlignment="0" applyProtection="0"/>
    <xf numFmtId="184" fontId="41" fillId="18" borderId="0" applyNumberFormat="0" applyBorder="0" applyAlignment="0" applyProtection="0"/>
    <xf numFmtId="0" fontId="41" fillId="18" borderId="0" applyNumberFormat="0" applyBorder="0" applyAlignment="0" applyProtection="0"/>
    <xf numFmtId="184" fontId="41" fillId="18" borderId="0" applyNumberFormat="0" applyBorder="0" applyAlignment="0" applyProtection="0"/>
    <xf numFmtId="0" fontId="41" fillId="18" borderId="0" applyNumberFormat="0" applyBorder="0" applyAlignment="0" applyProtection="0"/>
    <xf numFmtId="184" fontId="41" fillId="18" borderId="0" applyNumberFormat="0" applyBorder="0" applyAlignment="0" applyProtection="0"/>
    <xf numFmtId="184" fontId="41" fillId="18"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0" fontId="89" fillId="57" borderId="0" applyNumberFormat="0" applyBorder="0" applyAlignment="0" applyProtection="0"/>
    <xf numFmtId="184" fontId="89" fillId="57"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0" fontId="41" fillId="90" borderId="0" applyNumberFormat="0" applyBorder="0" applyAlignment="0" applyProtection="0"/>
    <xf numFmtId="184" fontId="41" fillId="90" borderId="0" applyNumberFormat="0" applyBorder="0" applyAlignment="0" applyProtection="0"/>
    <xf numFmtId="184"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2" fontId="41" fillId="90"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90"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7" fontId="41" fillId="89" borderId="0" applyNumberFormat="0" applyBorder="0" applyAlignment="0" applyProtection="0"/>
    <xf numFmtId="0" fontId="41" fillId="77" borderId="0" applyNumberFormat="0" applyBorder="0" applyAlignment="0" applyProtection="0"/>
    <xf numFmtId="184" fontId="41" fillId="77"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7" fontId="41" fillId="89" borderId="0" applyNumberFormat="0" applyBorder="0" applyAlignment="0" applyProtection="0"/>
    <xf numFmtId="0" fontId="41" fillId="77" borderId="0" applyNumberFormat="0" applyBorder="0" applyAlignment="0" applyProtection="0"/>
    <xf numFmtId="184" fontId="41" fillId="77"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187" fontId="41" fillId="89" borderId="0" applyNumberFormat="0" applyBorder="0" applyAlignment="0" applyProtection="0"/>
    <xf numFmtId="0"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2" fontId="41" fillId="90" borderId="0" applyNumberFormat="0" applyBorder="0" applyAlignment="0" applyProtection="0"/>
    <xf numFmtId="0"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185"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5" fontId="41" fillId="89" borderId="0" applyNumberFormat="0" applyBorder="0" applyAlignment="0" applyProtection="0"/>
    <xf numFmtId="0"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5" fontId="41" fillId="89" borderId="0" applyNumberFormat="0" applyBorder="0" applyAlignment="0" applyProtection="0"/>
    <xf numFmtId="0"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0" fontId="41" fillId="90" borderId="0" applyNumberFormat="0" applyBorder="0" applyAlignment="0" applyProtection="0"/>
    <xf numFmtId="183" fontId="41" fillId="90" borderId="0" applyNumberFormat="0" applyBorder="0" applyAlignment="0" applyProtection="0"/>
    <xf numFmtId="184" fontId="41" fillId="90" borderId="0" applyNumberFormat="0" applyBorder="0" applyAlignment="0" applyProtection="0"/>
    <xf numFmtId="184" fontId="41" fillId="90"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5"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185" fontId="41" fillId="89" borderId="0" applyNumberFormat="0" applyBorder="0" applyAlignment="0" applyProtection="0"/>
    <xf numFmtId="183" fontId="41" fillId="89" borderId="0" applyNumberFormat="0" applyBorder="0" applyAlignment="0" applyProtection="0"/>
    <xf numFmtId="184" fontId="41" fillId="89" borderId="0" applyNumberFormat="0" applyBorder="0" applyAlignment="0" applyProtection="0"/>
    <xf numFmtId="184" fontId="41" fillId="89"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0" fontId="41" fillId="77" borderId="0" applyNumberFormat="0" applyBorder="0" applyAlignment="0" applyProtection="0"/>
    <xf numFmtId="183" fontId="41" fillId="77" borderId="0" applyNumberFormat="0" applyBorder="0" applyAlignment="0" applyProtection="0"/>
    <xf numFmtId="184" fontId="41" fillId="77" borderId="0" applyNumberFormat="0" applyBorder="0" applyAlignment="0" applyProtection="0"/>
    <xf numFmtId="184" fontId="41" fillId="77" borderId="0" applyNumberFormat="0" applyBorder="0" applyAlignment="0" applyProtection="0"/>
    <xf numFmtId="184" fontId="40" fillId="8" borderId="0" applyNumberFormat="0" applyBorder="0" applyAlignment="0" applyProtection="0"/>
    <xf numFmtId="182" fontId="40" fillId="16" borderId="0" applyNumberFormat="0" applyBorder="0" applyAlignment="0" applyProtection="0"/>
    <xf numFmtId="0" fontId="40" fillId="8" borderId="0" applyNumberFormat="0" applyBorder="0" applyAlignment="0" applyProtection="0"/>
    <xf numFmtId="183" fontId="40" fillId="8" borderId="0" applyNumberFormat="0" applyBorder="0" applyAlignment="0" applyProtection="0"/>
    <xf numFmtId="183"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5" fontId="40" fillId="8" borderId="0" applyNumberFormat="0" applyBorder="0" applyAlignment="0" applyProtection="0"/>
    <xf numFmtId="183" fontId="40" fillId="8" borderId="0" applyNumberFormat="0" applyBorder="0" applyAlignment="0" applyProtection="0"/>
    <xf numFmtId="183"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5"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0" fontId="40" fillId="16" borderId="0" applyNumberFormat="0" applyBorder="0" applyAlignment="0" applyProtection="0"/>
    <xf numFmtId="183" fontId="40" fillId="16" borderId="0" applyNumberFormat="0" applyBorder="0" applyAlignment="0" applyProtection="0"/>
    <xf numFmtId="183"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0" fontId="40" fillId="16" borderId="0" applyNumberFormat="0" applyBorder="0" applyAlignment="0" applyProtection="0"/>
    <xf numFmtId="184" fontId="40" fillId="16" borderId="0" applyNumberFormat="0" applyBorder="0" applyAlignment="0" applyProtection="0"/>
    <xf numFmtId="184" fontId="40" fillId="16"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187"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5" fontId="40" fillId="8" borderId="0" applyNumberFormat="0" applyBorder="0" applyAlignment="0" applyProtection="0"/>
    <xf numFmtId="183" fontId="40" fillId="8" borderId="0" applyNumberFormat="0" applyBorder="0" applyAlignment="0" applyProtection="0"/>
    <xf numFmtId="183"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5"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183" fontId="40" fillId="8" borderId="0" applyNumberFormat="0" applyBorder="0" applyAlignment="0" applyProtection="0"/>
    <xf numFmtId="183"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184" fontId="40" fillId="8"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187" fontId="40" fillId="8" borderId="0" applyNumberFormat="0" applyBorder="0" applyAlignment="0" applyProtection="0"/>
    <xf numFmtId="184" fontId="40" fillId="8"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0" fontId="40" fillId="8" borderId="0" applyNumberFormat="0" applyBorder="0" applyAlignment="0" applyProtection="0"/>
    <xf numFmtId="184" fontId="40" fillId="8" borderId="0" applyNumberFormat="0" applyBorder="0" applyAlignment="0" applyProtection="0"/>
    <xf numFmtId="0" fontId="40" fillId="9" borderId="0" applyNumberFormat="0" applyBorder="0" applyAlignment="0" applyProtection="0"/>
    <xf numFmtId="183" fontId="40" fillId="9" borderId="0" applyNumberFormat="0" applyBorder="0" applyAlignment="0" applyProtection="0"/>
    <xf numFmtId="183"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5" fontId="40" fillId="9" borderId="0" applyNumberFormat="0" applyBorder="0" applyAlignment="0" applyProtection="0"/>
    <xf numFmtId="183" fontId="40" fillId="9" borderId="0" applyNumberFormat="0" applyBorder="0" applyAlignment="0" applyProtection="0"/>
    <xf numFmtId="183"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5"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0" fontId="40" fillId="9" borderId="0" applyNumberFormat="0" applyBorder="0" applyAlignment="0" applyProtection="0"/>
    <xf numFmtId="184" fontId="40" fillId="9" borderId="0" applyNumberFormat="0" applyBorder="0" applyAlignment="0" applyProtection="0"/>
    <xf numFmtId="187"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5" fontId="40" fillId="9" borderId="0" applyNumberFormat="0" applyBorder="0" applyAlignment="0" applyProtection="0"/>
    <xf numFmtId="183" fontId="40" fillId="9" borderId="0" applyNumberFormat="0" applyBorder="0" applyAlignment="0" applyProtection="0"/>
    <xf numFmtId="183"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5"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3" fontId="40" fillId="9" borderId="0" applyNumberFormat="0" applyBorder="0" applyAlignment="0" applyProtection="0"/>
    <xf numFmtId="183"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0" fontId="40" fillId="9" borderId="0" applyNumberFormat="0" applyBorder="0" applyAlignment="0" applyProtection="0"/>
    <xf numFmtId="184" fontId="40" fillId="9" borderId="0" applyNumberFormat="0" applyBorder="0" applyAlignment="0" applyProtection="0"/>
    <xf numFmtId="187" fontId="40" fillId="9" borderId="0" applyNumberFormat="0" applyBorder="0" applyAlignment="0" applyProtection="0"/>
    <xf numFmtId="184" fontId="40" fillId="9" borderId="0" applyNumberFormat="0" applyBorder="0" applyAlignment="0" applyProtection="0"/>
    <xf numFmtId="184" fontId="40" fillId="9" borderId="0" applyNumberFormat="0" applyBorder="0" applyAlignment="0" applyProtection="0"/>
    <xf numFmtId="182" fontId="40" fillId="9" borderId="0" applyNumberFormat="0" applyBorder="0" applyAlignment="0" applyProtection="0"/>
    <xf numFmtId="182" fontId="41" fillId="80" borderId="0" applyNumberFormat="0" applyBorder="0" applyAlignment="0" applyProtection="0"/>
    <xf numFmtId="0" fontId="41" fillId="9" borderId="0" applyNumberFormat="0" applyBorder="0" applyAlignment="0" applyProtection="0"/>
    <xf numFmtId="183" fontId="41" fillId="9" borderId="0" applyNumberFormat="0" applyBorder="0" applyAlignment="0" applyProtection="0"/>
    <xf numFmtId="184" fontId="41" fillId="9" borderId="0" applyNumberFormat="0" applyBorder="0" applyAlignment="0" applyProtection="0"/>
    <xf numFmtId="185" fontId="41" fillId="9" borderId="0" applyNumberFormat="0" applyBorder="0" applyAlignment="0" applyProtection="0"/>
    <xf numFmtId="183" fontId="41" fillId="9" borderId="0" applyNumberFormat="0" applyBorder="0" applyAlignment="0" applyProtection="0"/>
    <xf numFmtId="184" fontId="41" fillId="9" borderId="0" applyNumberFormat="0" applyBorder="0" applyAlignment="0" applyProtection="0"/>
    <xf numFmtId="184" fontId="41" fillId="9"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4" fontId="41" fillId="9" borderId="0" applyNumberFormat="0" applyBorder="0" applyAlignment="0" applyProtection="0"/>
    <xf numFmtId="185" fontId="41" fillId="9" borderId="0" applyNumberFormat="0" applyBorder="0" applyAlignment="0" applyProtection="0"/>
    <xf numFmtId="183" fontId="41" fillId="9" borderId="0" applyNumberFormat="0" applyBorder="0" applyAlignment="0" applyProtection="0"/>
    <xf numFmtId="184" fontId="41" fillId="9" borderId="0" applyNumberFormat="0" applyBorder="0" applyAlignment="0" applyProtection="0"/>
    <xf numFmtId="184" fontId="41" fillId="9" borderId="0" applyNumberFormat="0" applyBorder="0" applyAlignment="0" applyProtection="0"/>
    <xf numFmtId="183" fontId="41" fillId="9" borderId="0" applyNumberFormat="0" applyBorder="0" applyAlignment="0" applyProtection="0"/>
    <xf numFmtId="184" fontId="41" fillId="9" borderId="0" applyNumberFormat="0" applyBorder="0" applyAlignment="0" applyProtection="0"/>
    <xf numFmtId="0" fontId="41" fillId="9" borderId="0" applyNumberFormat="0" applyBorder="0" applyAlignment="0" applyProtection="0"/>
    <xf numFmtId="184" fontId="41" fillId="9" borderId="0" applyNumberFormat="0" applyBorder="0" applyAlignment="0" applyProtection="0"/>
    <xf numFmtId="187" fontId="41" fillId="9" borderId="0" applyNumberFormat="0" applyBorder="0" applyAlignment="0" applyProtection="0"/>
    <xf numFmtId="0" fontId="41" fillId="9" borderId="0" applyNumberFormat="0" applyBorder="0" applyAlignment="0" applyProtection="0"/>
    <xf numFmtId="184" fontId="41" fillId="9" borderId="0" applyNumberFormat="0" applyBorder="0" applyAlignment="0" applyProtection="0"/>
    <xf numFmtId="184" fontId="41" fillId="9" borderId="0" applyNumberFormat="0" applyBorder="0" applyAlignment="0" applyProtection="0"/>
    <xf numFmtId="0" fontId="41" fillId="9" borderId="0" applyNumberFormat="0" applyBorder="0" applyAlignment="0" applyProtection="0"/>
    <xf numFmtId="184" fontId="41" fillId="9" borderId="0" applyNumberFormat="0" applyBorder="0" applyAlignment="0" applyProtection="0"/>
    <xf numFmtId="0" fontId="41" fillId="9" borderId="0" applyNumberFormat="0" applyBorder="0" applyAlignment="0" applyProtection="0"/>
    <xf numFmtId="184" fontId="41" fillId="9" borderId="0" applyNumberFormat="0" applyBorder="0" applyAlignment="0" applyProtection="0"/>
    <xf numFmtId="184" fontId="41" fillId="9"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0" fontId="89" fillId="61" borderId="0" applyNumberFormat="0" applyBorder="0" applyAlignment="0" applyProtection="0"/>
    <xf numFmtId="184" fontId="89" fillId="61"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0" fontId="41" fillId="80" borderId="0" applyNumberFormat="0" applyBorder="0" applyAlignment="0" applyProtection="0"/>
    <xf numFmtId="184" fontId="41" fillId="80" borderId="0" applyNumberFormat="0" applyBorder="0" applyAlignment="0" applyProtection="0"/>
    <xf numFmtId="184"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2" fontId="41" fillId="80"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7" fontId="41" fillId="91" borderId="0" applyNumberFormat="0" applyBorder="0" applyAlignment="0" applyProtection="0"/>
    <xf numFmtId="184" fontId="41" fillId="91" borderId="0" applyNumberFormat="0" applyBorder="0" applyAlignment="0" applyProtection="0"/>
    <xf numFmtId="184" fontId="89" fillId="61" borderId="0" applyNumberFormat="0" applyBorder="0" applyAlignment="0" applyProtection="0"/>
    <xf numFmtId="0"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80"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7" fontId="41" fillId="91" borderId="0" applyNumberFormat="0" applyBorder="0" applyAlignment="0" applyProtection="0"/>
    <xf numFmtId="0" fontId="41" fillId="78" borderId="0" applyNumberFormat="0" applyBorder="0" applyAlignment="0" applyProtection="0"/>
    <xf numFmtId="184" fontId="41" fillId="78"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7" fontId="41" fillId="91" borderId="0" applyNumberFormat="0" applyBorder="0" applyAlignment="0" applyProtection="0"/>
    <xf numFmtId="0" fontId="41" fillId="78" borderId="0" applyNumberFormat="0" applyBorder="0" applyAlignment="0" applyProtection="0"/>
    <xf numFmtId="184" fontId="41" fillId="78"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7" fontId="41" fillId="91" borderId="0" applyNumberFormat="0" applyBorder="0" applyAlignment="0" applyProtection="0"/>
    <xf numFmtId="0"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2" fontId="41" fillId="80" borderId="0" applyNumberFormat="0" applyBorder="0" applyAlignment="0" applyProtection="0"/>
    <xf numFmtId="0"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5"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5" fontId="41" fillId="91" borderId="0" applyNumberFormat="0" applyBorder="0" applyAlignment="0" applyProtection="0"/>
    <xf numFmtId="0"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5" fontId="41" fillId="91" borderId="0" applyNumberFormat="0" applyBorder="0" applyAlignment="0" applyProtection="0"/>
    <xf numFmtId="0"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0" fontId="41" fillId="80" borderId="0" applyNumberFormat="0" applyBorder="0" applyAlignment="0" applyProtection="0"/>
    <xf numFmtId="183" fontId="41" fillId="80" borderId="0" applyNumberFormat="0" applyBorder="0" applyAlignment="0" applyProtection="0"/>
    <xf numFmtId="184" fontId="41" fillId="80" borderId="0" applyNumberFormat="0" applyBorder="0" applyAlignment="0" applyProtection="0"/>
    <xf numFmtId="184" fontId="41" fillId="80"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5"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185" fontId="41" fillId="91" borderId="0" applyNumberFormat="0" applyBorder="0" applyAlignment="0" applyProtection="0"/>
    <xf numFmtId="183" fontId="41" fillId="91" borderId="0" applyNumberFormat="0" applyBorder="0" applyAlignment="0" applyProtection="0"/>
    <xf numFmtId="184" fontId="41" fillId="91" borderId="0" applyNumberFormat="0" applyBorder="0" applyAlignment="0" applyProtection="0"/>
    <xf numFmtId="184" fontId="41" fillId="91"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1" fillId="78" borderId="0" applyNumberFormat="0" applyBorder="0" applyAlignment="0" applyProtection="0"/>
    <xf numFmtId="183" fontId="41" fillId="78" borderId="0" applyNumberFormat="0" applyBorder="0" applyAlignment="0" applyProtection="0"/>
    <xf numFmtId="184" fontId="41" fillId="78" borderId="0" applyNumberFormat="0" applyBorder="0" applyAlignment="0" applyProtection="0"/>
    <xf numFmtId="184" fontId="41" fillId="78" borderId="0" applyNumberFormat="0" applyBorder="0" applyAlignment="0" applyProtection="0"/>
    <xf numFmtId="0" fontId="40" fillId="20" borderId="0" applyNumberFormat="0" applyBorder="0" applyAlignment="0" applyProtection="0"/>
    <xf numFmtId="183" fontId="40" fillId="20" borderId="0" applyNumberFormat="0" applyBorder="0" applyAlignment="0" applyProtection="0"/>
    <xf numFmtId="183" fontId="40" fillId="20" borderId="0" applyNumberFormat="0" applyBorder="0" applyAlignment="0" applyProtection="0"/>
    <xf numFmtId="184" fontId="40" fillId="20" borderId="0" applyNumberFormat="0" applyBorder="0" applyAlignment="0" applyProtection="0"/>
    <xf numFmtId="184" fontId="40" fillId="20" borderId="0" applyNumberFormat="0" applyBorder="0" applyAlignment="0" applyProtection="0"/>
    <xf numFmtId="185" fontId="40" fillId="20" borderId="0" applyNumberFormat="0" applyBorder="0" applyAlignment="0" applyProtection="0"/>
    <xf numFmtId="183" fontId="40" fillId="20" borderId="0" applyNumberFormat="0" applyBorder="0" applyAlignment="0" applyProtection="0"/>
    <xf numFmtId="183" fontId="40" fillId="20" borderId="0" applyNumberFormat="0" applyBorder="0" applyAlignment="0" applyProtection="0"/>
    <xf numFmtId="184" fontId="40" fillId="20" borderId="0" applyNumberFormat="0" applyBorder="0" applyAlignment="0" applyProtection="0"/>
    <xf numFmtId="184" fontId="40" fillId="20" borderId="0" applyNumberFormat="0" applyBorder="0" applyAlignment="0" applyProtection="0"/>
    <xf numFmtId="185" fontId="40" fillId="20" borderId="0" applyNumberFormat="0" applyBorder="0" applyAlignment="0" applyProtection="0"/>
    <xf numFmtId="184" fontId="40" fillId="20" borderId="0" applyNumberFormat="0" applyBorder="0" applyAlignment="0" applyProtection="0"/>
    <xf numFmtId="184" fontId="40" fillId="20" borderId="0" applyNumberFormat="0" applyBorder="0" applyAlignment="0" applyProtection="0"/>
    <xf numFmtId="0" fontId="40" fillId="20" borderId="0" applyNumberFormat="0" applyBorder="0" applyAlignment="0" applyProtection="0"/>
    <xf numFmtId="184" fontId="40" fillId="20" borderId="0" applyNumberFormat="0" applyBorder="0" applyAlignment="0" applyProtection="0"/>
    <xf numFmtId="187" fontId="40" fillId="20" borderId="0" applyNumberFormat="0" applyBorder="0" applyAlignment="0" applyProtection="0"/>
    <xf numFmtId="184" fontId="40" fillId="20" borderId="0" applyNumberFormat="0" applyBorder="0" applyAlignment="0" applyProtection="0"/>
    <xf numFmtId="184" fontId="40" fillId="20" borderId="0" applyNumberFormat="0" applyBorder="0" applyAlignment="0" applyProtection="0"/>
    <xf numFmtId="185" fontId="40" fillId="20" borderId="0" applyNumberFormat="0" applyBorder="0" applyAlignment="0" applyProtection="0"/>
    <xf numFmtId="183" fontId="40" fillId="20" borderId="0" applyNumberFormat="0" applyBorder="0" applyAlignment="0" applyProtection="0"/>
    <xf numFmtId="183" fontId="40" fillId="20" borderId="0" applyNumberFormat="0" applyBorder="0" applyAlignment="0" applyProtection="0"/>
    <xf numFmtId="184" fontId="40" fillId="20" borderId="0" applyNumberFormat="0" applyBorder="0" applyAlignment="0" applyProtection="0"/>
    <xf numFmtId="184" fontId="40" fillId="20" borderId="0" applyNumberFormat="0" applyBorder="0" applyAlignment="0" applyProtection="0"/>
    <xf numFmtId="185" fontId="40" fillId="20" borderId="0" applyNumberFormat="0" applyBorder="0" applyAlignment="0" applyProtection="0"/>
    <xf numFmtId="184" fontId="40" fillId="20" borderId="0" applyNumberFormat="0" applyBorder="0" applyAlignment="0" applyProtection="0"/>
    <xf numFmtId="184" fontId="40" fillId="20" borderId="0" applyNumberFormat="0" applyBorder="0" applyAlignment="0" applyProtection="0"/>
    <xf numFmtId="183" fontId="40" fillId="20" borderId="0" applyNumberFormat="0" applyBorder="0" applyAlignment="0" applyProtection="0"/>
    <xf numFmtId="183" fontId="40" fillId="20" borderId="0" applyNumberFormat="0" applyBorder="0" applyAlignment="0" applyProtection="0"/>
    <xf numFmtId="184" fontId="40" fillId="20" borderId="0" applyNumberFormat="0" applyBorder="0" applyAlignment="0" applyProtection="0"/>
    <xf numFmtId="184" fontId="40" fillId="20" borderId="0" applyNumberFormat="0" applyBorder="0" applyAlignment="0" applyProtection="0"/>
    <xf numFmtId="0" fontId="40" fillId="20" borderId="0" applyNumberFormat="0" applyBorder="0" applyAlignment="0" applyProtection="0"/>
    <xf numFmtId="184" fontId="40" fillId="20" borderId="0" applyNumberFormat="0" applyBorder="0" applyAlignment="0" applyProtection="0"/>
    <xf numFmtId="187" fontId="40" fillId="20" borderId="0" applyNumberFormat="0" applyBorder="0" applyAlignment="0" applyProtection="0"/>
    <xf numFmtId="184" fontId="40" fillId="20" borderId="0" applyNumberFormat="0" applyBorder="0" applyAlignment="0" applyProtection="0"/>
    <xf numFmtId="184" fontId="40" fillId="20" borderId="0" applyNumberFormat="0" applyBorder="0" applyAlignment="0" applyProtection="0"/>
    <xf numFmtId="182" fontId="40" fillId="20" borderId="0" applyNumberFormat="0" applyBorder="0" applyAlignment="0" applyProtection="0"/>
    <xf numFmtId="184" fontId="40" fillId="13" borderId="0" applyNumberFormat="0" applyBorder="0" applyAlignment="0" applyProtection="0"/>
    <xf numFmtId="182" fontId="40" fillId="21" borderId="0" applyNumberFormat="0" applyBorder="0" applyAlignment="0" applyProtection="0"/>
    <xf numFmtId="0" fontId="40" fillId="13" borderId="0" applyNumberFormat="0" applyBorder="0" applyAlignment="0" applyProtection="0"/>
    <xf numFmtId="183" fontId="40" fillId="13" borderId="0" applyNumberFormat="0" applyBorder="0" applyAlignment="0" applyProtection="0"/>
    <xf numFmtId="183"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5" fontId="40" fillId="13" borderId="0" applyNumberFormat="0" applyBorder="0" applyAlignment="0" applyProtection="0"/>
    <xf numFmtId="183" fontId="40" fillId="13" borderId="0" applyNumberFormat="0" applyBorder="0" applyAlignment="0" applyProtection="0"/>
    <xf numFmtId="183"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5"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0" fontId="40" fillId="21" borderId="0" applyNumberFormat="0" applyBorder="0" applyAlignment="0" applyProtection="0"/>
    <xf numFmtId="183" fontId="40" fillId="21" borderId="0" applyNumberFormat="0" applyBorder="0" applyAlignment="0" applyProtection="0"/>
    <xf numFmtId="183" fontId="40" fillId="21" borderId="0" applyNumberFormat="0" applyBorder="0" applyAlignment="0" applyProtection="0"/>
    <xf numFmtId="184" fontId="40" fillId="21" borderId="0" applyNumberFormat="0" applyBorder="0" applyAlignment="0" applyProtection="0"/>
    <xf numFmtId="184" fontId="40" fillId="21" borderId="0" applyNumberFormat="0" applyBorder="0" applyAlignment="0" applyProtection="0"/>
    <xf numFmtId="0" fontId="40" fillId="21" borderId="0" applyNumberFormat="0" applyBorder="0" applyAlignment="0" applyProtection="0"/>
    <xf numFmtId="184" fontId="40" fillId="21" borderId="0" applyNumberFormat="0" applyBorder="0" applyAlignment="0" applyProtection="0"/>
    <xf numFmtId="184" fontId="40" fillId="21"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187"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5" fontId="40" fillId="13" borderId="0" applyNumberFormat="0" applyBorder="0" applyAlignment="0" applyProtection="0"/>
    <xf numFmtId="183" fontId="40" fillId="13" borderId="0" applyNumberFormat="0" applyBorder="0" applyAlignment="0" applyProtection="0"/>
    <xf numFmtId="183"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5"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183" fontId="40" fillId="13" borderId="0" applyNumberFormat="0" applyBorder="0" applyAlignment="0" applyProtection="0"/>
    <xf numFmtId="183"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184" fontId="40" fillId="13"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187" fontId="40" fillId="13" borderId="0" applyNumberFormat="0" applyBorder="0" applyAlignment="0" applyProtection="0"/>
    <xf numFmtId="184" fontId="40" fillId="13"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0" fontId="40" fillId="13" borderId="0" applyNumberFormat="0" applyBorder="0" applyAlignment="0" applyProtection="0"/>
    <xf numFmtId="184" fontId="40" fillId="13" borderId="0" applyNumberFormat="0" applyBorder="0" applyAlignment="0" applyProtection="0"/>
    <xf numFmtId="182" fontId="41" fillId="92" borderId="0" applyNumberFormat="0" applyBorder="0" applyAlignment="0" applyProtection="0"/>
    <xf numFmtId="0" fontId="41" fillId="21" borderId="0" applyNumberFormat="0" applyBorder="0" applyAlignment="0" applyProtection="0"/>
    <xf numFmtId="183" fontId="41" fillId="21" borderId="0" applyNumberFormat="0" applyBorder="0" applyAlignment="0" applyProtection="0"/>
    <xf numFmtId="184" fontId="41" fillId="21" borderId="0" applyNumberFormat="0" applyBorder="0" applyAlignment="0" applyProtection="0"/>
    <xf numFmtId="185" fontId="41" fillId="21" borderId="0" applyNumberFormat="0" applyBorder="0" applyAlignment="0" applyProtection="0"/>
    <xf numFmtId="183" fontId="41" fillId="21" borderId="0" applyNumberFormat="0" applyBorder="0" applyAlignment="0" applyProtection="0"/>
    <xf numFmtId="184" fontId="41" fillId="21" borderId="0" applyNumberFormat="0" applyBorder="0" applyAlignment="0" applyProtection="0"/>
    <xf numFmtId="184" fontId="41" fillId="21" borderId="0" applyNumberFormat="0" applyBorder="0" applyAlignment="0" applyProtection="0"/>
    <xf numFmtId="0" fontId="41" fillId="92" borderId="0" applyNumberFormat="0" applyBorder="0" applyAlignment="0" applyProtection="0"/>
    <xf numFmtId="183" fontId="41" fillId="92" borderId="0" applyNumberFormat="0" applyBorder="0" applyAlignment="0" applyProtection="0"/>
    <xf numFmtId="184" fontId="41" fillId="92" borderId="0" applyNumberFormat="0" applyBorder="0" applyAlignment="0" applyProtection="0"/>
    <xf numFmtId="184" fontId="41" fillId="92" borderId="0" applyNumberFormat="0" applyBorder="0" applyAlignment="0" applyProtection="0"/>
    <xf numFmtId="184" fontId="41" fillId="21" borderId="0" applyNumberFormat="0" applyBorder="0" applyAlignment="0" applyProtection="0"/>
    <xf numFmtId="185" fontId="41" fillId="21" borderId="0" applyNumberFormat="0" applyBorder="0" applyAlignment="0" applyProtection="0"/>
    <xf numFmtId="183" fontId="41" fillId="21" borderId="0" applyNumberFormat="0" applyBorder="0" applyAlignment="0" applyProtection="0"/>
    <xf numFmtId="184" fontId="41" fillId="21" borderId="0" applyNumberFormat="0" applyBorder="0" applyAlignment="0" applyProtection="0"/>
    <xf numFmtId="184" fontId="41" fillId="21" borderId="0" applyNumberFormat="0" applyBorder="0" applyAlignment="0" applyProtection="0"/>
    <xf numFmtId="183" fontId="41" fillId="21" borderId="0" applyNumberFormat="0" applyBorder="0" applyAlignment="0" applyProtection="0"/>
    <xf numFmtId="184" fontId="41" fillId="21" borderId="0" applyNumberFormat="0" applyBorder="0" applyAlignment="0" applyProtection="0"/>
    <xf numFmtId="0" fontId="41" fillId="21" borderId="0" applyNumberFormat="0" applyBorder="0" applyAlignment="0" applyProtection="0"/>
    <xf numFmtId="184" fontId="41" fillId="21" borderId="0" applyNumberFormat="0" applyBorder="0" applyAlignment="0" applyProtection="0"/>
    <xf numFmtId="187" fontId="41" fillId="21" borderId="0" applyNumberFormat="0" applyBorder="0" applyAlignment="0" applyProtection="0"/>
    <xf numFmtId="0" fontId="41" fillId="21" borderId="0" applyNumberFormat="0" applyBorder="0" applyAlignment="0" applyProtection="0"/>
    <xf numFmtId="184" fontId="41" fillId="21" borderId="0" applyNumberFormat="0" applyBorder="0" applyAlignment="0" applyProtection="0"/>
    <xf numFmtId="184" fontId="41" fillId="21" borderId="0" applyNumberFormat="0" applyBorder="0" applyAlignment="0" applyProtection="0"/>
    <xf numFmtId="0" fontId="41" fillId="21" borderId="0" applyNumberFormat="0" applyBorder="0" applyAlignment="0" applyProtection="0"/>
    <xf numFmtId="184" fontId="41" fillId="21" borderId="0" applyNumberFormat="0" applyBorder="0" applyAlignment="0" applyProtection="0"/>
    <xf numFmtId="0" fontId="41" fillId="21" borderId="0" applyNumberFormat="0" applyBorder="0" applyAlignment="0" applyProtection="0"/>
    <xf numFmtId="184" fontId="41" fillId="21" borderId="0" applyNumberFormat="0" applyBorder="0" applyAlignment="0" applyProtection="0"/>
    <xf numFmtId="184" fontId="41" fillId="21"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0" fontId="89" fillId="65" borderId="0" applyNumberFormat="0" applyBorder="0" applyAlignment="0" applyProtection="0"/>
    <xf numFmtId="184" fontId="89" fillId="65"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0" fontId="41" fillId="94" borderId="0" applyNumberFormat="0" applyBorder="0" applyAlignment="0" applyProtection="0"/>
    <xf numFmtId="184" fontId="41" fillId="94" borderId="0" applyNumberFormat="0" applyBorder="0" applyAlignment="0" applyProtection="0"/>
    <xf numFmtId="184"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2" fontId="41" fillId="94"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94"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7" fontId="41" fillId="93" borderId="0" applyNumberFormat="0" applyBorder="0" applyAlignment="0" applyProtection="0"/>
    <xf numFmtId="0" fontId="41" fillId="19" borderId="0" applyNumberFormat="0" applyBorder="0" applyAlignment="0" applyProtection="0"/>
    <xf numFmtId="184" fontId="41" fillId="19"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7" fontId="41" fillId="93" borderId="0" applyNumberFormat="0" applyBorder="0" applyAlignment="0" applyProtection="0"/>
    <xf numFmtId="0" fontId="41" fillId="19" borderId="0" applyNumberFormat="0" applyBorder="0" applyAlignment="0" applyProtection="0"/>
    <xf numFmtId="184" fontId="41" fillId="19"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187" fontId="41" fillId="93" borderId="0" applyNumberFormat="0" applyBorder="0" applyAlignment="0" applyProtection="0"/>
    <xf numFmtId="0"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2" fontId="41" fillId="94" borderId="0" applyNumberFormat="0" applyBorder="0" applyAlignment="0" applyProtection="0"/>
    <xf numFmtId="0"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185"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5" fontId="41" fillId="93" borderId="0" applyNumberFormat="0" applyBorder="0" applyAlignment="0" applyProtection="0"/>
    <xf numFmtId="0"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5" fontId="41" fillId="93" borderId="0" applyNumberFormat="0" applyBorder="0" applyAlignment="0" applyProtection="0"/>
    <xf numFmtId="0"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0" fontId="41" fillId="94" borderId="0" applyNumberFormat="0" applyBorder="0" applyAlignment="0" applyProtection="0"/>
    <xf numFmtId="183" fontId="41" fillId="94" borderId="0" applyNumberFormat="0" applyBorder="0" applyAlignment="0" applyProtection="0"/>
    <xf numFmtId="184" fontId="41" fillId="94" borderId="0" applyNumberFormat="0" applyBorder="0" applyAlignment="0" applyProtection="0"/>
    <xf numFmtId="184" fontId="41" fillId="94"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5"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185" fontId="41" fillId="93" borderId="0" applyNumberFormat="0" applyBorder="0" applyAlignment="0" applyProtection="0"/>
    <xf numFmtId="183" fontId="41" fillId="93" borderId="0" applyNumberFormat="0" applyBorder="0" applyAlignment="0" applyProtection="0"/>
    <xf numFmtId="184" fontId="41" fillId="93" borderId="0" applyNumberFormat="0" applyBorder="0" applyAlignment="0" applyProtection="0"/>
    <xf numFmtId="184" fontId="41" fillId="93"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41" fillId="19" borderId="0" applyNumberFormat="0" applyBorder="0" applyAlignment="0" applyProtection="0"/>
    <xf numFmtId="183" fontId="41" fillId="19" borderId="0" applyNumberFormat="0" applyBorder="0" applyAlignment="0" applyProtection="0"/>
    <xf numFmtId="184" fontId="41" fillId="19" borderId="0" applyNumberFormat="0" applyBorder="0" applyAlignment="0" applyProtection="0"/>
    <xf numFmtId="184" fontId="41" fillId="19" borderId="0" applyNumberFormat="0" applyBorder="0" applyAlignment="0" applyProtection="0"/>
    <xf numFmtId="0" fontId="26" fillId="0" borderId="0" applyNumberFormat="0" applyAlignment="0"/>
    <xf numFmtId="0" fontId="26" fillId="0" borderId="0" applyNumberFormat="0" applyAlignment="0"/>
    <xf numFmtId="183" fontId="26" fillId="0" borderId="0" applyNumberFormat="0" applyAlignment="0"/>
    <xf numFmtId="184" fontId="26" fillId="0" borderId="0" applyNumberFormat="0" applyAlignment="0"/>
    <xf numFmtId="185" fontId="26" fillId="0" borderId="0" applyNumberFormat="0" applyAlignment="0"/>
    <xf numFmtId="183" fontId="26" fillId="0" borderId="0" applyNumberFormat="0" applyAlignment="0"/>
    <xf numFmtId="184" fontId="26" fillId="0" borderId="0" applyNumberFormat="0" applyAlignment="0"/>
    <xf numFmtId="184" fontId="26" fillId="0" borderId="0" applyNumberFormat="0" applyAlignment="0"/>
    <xf numFmtId="184" fontId="26" fillId="0" borderId="0" applyNumberFormat="0" applyAlignment="0"/>
    <xf numFmtId="185" fontId="26" fillId="0" borderId="0" applyNumberFormat="0" applyAlignment="0"/>
    <xf numFmtId="183" fontId="26" fillId="0" borderId="0" applyNumberFormat="0" applyAlignment="0"/>
    <xf numFmtId="184" fontId="26" fillId="0" borderId="0" applyNumberFormat="0" applyAlignment="0"/>
    <xf numFmtId="184" fontId="26" fillId="0" borderId="0" applyNumberFormat="0" applyAlignment="0"/>
    <xf numFmtId="183" fontId="26" fillId="0" borderId="0" applyNumberFormat="0" applyAlignment="0"/>
    <xf numFmtId="184" fontId="26" fillId="0" borderId="0" applyNumberFormat="0" applyAlignment="0"/>
    <xf numFmtId="187" fontId="26" fillId="0" borderId="0" applyNumberFormat="0" applyAlignment="0"/>
    <xf numFmtId="184" fontId="26" fillId="0" borderId="0" applyNumberFormat="0" applyAlignment="0"/>
    <xf numFmtId="184" fontId="26" fillId="0" borderId="0" applyNumberFormat="0" applyAlignment="0"/>
    <xf numFmtId="188" fontId="25" fillId="95" borderId="27">
      <alignment horizontal="center" vertical="center"/>
    </xf>
    <xf numFmtId="189" fontId="90" fillId="95" borderId="27">
      <alignment horizontal="center" vertical="center"/>
    </xf>
    <xf numFmtId="188" fontId="25" fillId="95" borderId="27">
      <alignment horizontal="center" vertical="center"/>
    </xf>
    <xf numFmtId="0" fontId="33" fillId="0" borderId="0">
      <alignment horizontal="center" wrapText="1"/>
      <protection locked="0"/>
    </xf>
    <xf numFmtId="0" fontId="33" fillId="0" borderId="0">
      <alignment horizontal="center" wrapText="1"/>
      <protection locked="0"/>
    </xf>
    <xf numFmtId="183" fontId="33" fillId="0" borderId="0">
      <alignment horizontal="center" wrapText="1"/>
      <protection locked="0"/>
    </xf>
    <xf numFmtId="184" fontId="33" fillId="0" borderId="0">
      <alignment horizontal="center" wrapText="1"/>
      <protection locked="0"/>
    </xf>
    <xf numFmtId="185" fontId="33" fillId="0" borderId="0">
      <alignment horizontal="center" wrapText="1"/>
      <protection locked="0"/>
    </xf>
    <xf numFmtId="183" fontId="33" fillId="0" borderId="0">
      <alignment horizontal="center" wrapText="1"/>
      <protection locked="0"/>
    </xf>
    <xf numFmtId="184" fontId="33" fillId="0" borderId="0">
      <alignment horizontal="center" wrapText="1"/>
      <protection locked="0"/>
    </xf>
    <xf numFmtId="184" fontId="33" fillId="0" borderId="0">
      <alignment horizontal="center" wrapText="1"/>
      <protection locked="0"/>
    </xf>
    <xf numFmtId="184" fontId="33" fillId="0" borderId="0">
      <alignment horizontal="center" wrapText="1"/>
      <protection locked="0"/>
    </xf>
    <xf numFmtId="185" fontId="33" fillId="0" borderId="0">
      <alignment horizontal="center" wrapText="1"/>
      <protection locked="0"/>
    </xf>
    <xf numFmtId="183" fontId="33" fillId="0" borderId="0">
      <alignment horizontal="center" wrapText="1"/>
      <protection locked="0"/>
    </xf>
    <xf numFmtId="184" fontId="33" fillId="0" borderId="0">
      <alignment horizontal="center" wrapText="1"/>
      <protection locked="0"/>
    </xf>
    <xf numFmtId="184" fontId="33" fillId="0" borderId="0">
      <alignment horizontal="center" wrapText="1"/>
      <protection locked="0"/>
    </xf>
    <xf numFmtId="185" fontId="33" fillId="0" borderId="0">
      <alignment horizontal="center" wrapText="1"/>
      <protection locked="0"/>
    </xf>
    <xf numFmtId="183" fontId="33" fillId="0" borderId="0">
      <alignment horizontal="center" wrapText="1"/>
      <protection locked="0"/>
    </xf>
    <xf numFmtId="184" fontId="33" fillId="0" borderId="0">
      <alignment horizontal="center" wrapText="1"/>
      <protection locked="0"/>
    </xf>
    <xf numFmtId="184" fontId="33" fillId="0" borderId="0">
      <alignment horizontal="center" wrapText="1"/>
      <protection locked="0"/>
    </xf>
    <xf numFmtId="183" fontId="33" fillId="0" borderId="0">
      <alignment horizontal="center" wrapText="1"/>
      <protection locked="0"/>
    </xf>
    <xf numFmtId="184" fontId="33" fillId="0" borderId="0">
      <alignment horizontal="center" wrapText="1"/>
      <protection locked="0"/>
    </xf>
    <xf numFmtId="187" fontId="33" fillId="0" borderId="0">
      <alignment horizontal="center" wrapText="1"/>
      <protection locked="0"/>
    </xf>
    <xf numFmtId="184" fontId="33" fillId="0" borderId="0">
      <alignment horizontal="center" wrapText="1"/>
      <protection locked="0"/>
    </xf>
    <xf numFmtId="184" fontId="33" fillId="0" borderId="0">
      <alignment horizontal="center" wrapText="1"/>
      <protection locked="0"/>
    </xf>
    <xf numFmtId="0" fontId="96" fillId="2"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2" fontId="97" fillId="20" borderId="0" applyNumberFormat="0" applyBorder="0" applyAlignment="0" applyProtection="0"/>
    <xf numFmtId="0"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7" fontId="98" fillId="13" borderId="0" applyNumberFormat="0" applyBorder="0" applyAlignment="0" applyProtection="0"/>
    <xf numFmtId="184" fontId="98" fillId="13" borderId="0" applyNumberFormat="0" applyBorder="0" applyAlignment="0" applyProtection="0"/>
    <xf numFmtId="184" fontId="80" fillId="39"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7" fillId="20"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97" fillId="20" borderId="0" applyNumberFormat="0" applyBorder="0" applyAlignment="0" applyProtection="0"/>
    <xf numFmtId="184" fontId="97" fillId="20" borderId="0" applyNumberFormat="0" applyBorder="0" applyAlignment="0" applyProtection="0"/>
    <xf numFmtId="184" fontId="97" fillId="20"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7" fontId="98" fillId="13"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8" fillId="13" borderId="0" applyNumberFormat="0" applyBorder="0" applyAlignment="0" applyProtection="0"/>
    <xf numFmtId="0"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0" fontId="98" fillId="13" borderId="0" applyNumberFormat="0" applyBorder="0" applyAlignment="0" applyProtection="0"/>
    <xf numFmtId="0"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2" fontId="80" fillId="39" borderId="0" applyNumberFormat="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7"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71" fontId="100" fillId="0" borderId="3" applyFont="0"/>
    <xf numFmtId="1" fontId="100" fillId="0" borderId="3"/>
    <xf numFmtId="9" fontId="101" fillId="0" borderId="26" applyNumberFormat="0" applyBorder="0">
      <alignment horizontal="right"/>
    </xf>
    <xf numFmtId="165" fontId="24" fillId="0" borderId="0" applyFill="0" applyBorder="0" applyAlignment="0"/>
    <xf numFmtId="165" fontId="24" fillId="0" borderId="0" applyFill="0" applyBorder="0" applyAlignment="0"/>
    <xf numFmtId="165" fontId="24" fillId="0" borderId="0" applyFill="0" applyBorder="0" applyAlignment="0"/>
    <xf numFmtId="165" fontId="24" fillId="0" borderId="0" applyFill="0" applyBorder="0" applyAlignment="0"/>
    <xf numFmtId="182" fontId="84" fillId="42" borderId="20" applyNumberFormat="0" applyAlignment="0" applyProtection="0"/>
    <xf numFmtId="0" fontId="102" fillId="75" borderId="28" applyNumberFormat="0" applyAlignment="0" applyProtection="0"/>
    <xf numFmtId="0" fontId="102" fillId="75" borderId="28" applyNumberFormat="0" applyAlignment="0" applyProtection="0"/>
    <xf numFmtId="0" fontId="102" fillId="75" borderId="28" applyNumberFormat="0" applyAlignment="0" applyProtection="0"/>
    <xf numFmtId="184" fontId="102" fillId="75" borderId="28" applyNumberFormat="0" applyAlignment="0" applyProtection="0"/>
    <xf numFmtId="0" fontId="103" fillId="96" borderId="29" applyNumberFormat="0" applyAlignment="0" applyProtection="0"/>
    <xf numFmtId="184" fontId="103" fillId="96" borderId="29" applyNumberFormat="0" applyAlignment="0" applyProtection="0"/>
    <xf numFmtId="184" fontId="102" fillId="75" borderId="28" applyNumberFormat="0" applyAlignment="0" applyProtection="0"/>
    <xf numFmtId="182" fontId="103" fillId="96" borderId="29" applyNumberFormat="0" applyAlignment="0" applyProtection="0"/>
    <xf numFmtId="0" fontId="84" fillId="42" borderId="20" applyNumberFormat="0" applyAlignment="0" applyProtection="0"/>
    <xf numFmtId="183" fontId="84" fillId="42" borderId="20" applyNumberFormat="0" applyAlignment="0" applyProtection="0"/>
    <xf numFmtId="184" fontId="84" fillId="42" borderId="20" applyNumberFormat="0" applyAlignment="0" applyProtection="0"/>
    <xf numFmtId="185" fontId="84" fillId="42" borderId="20" applyNumberFormat="0" applyAlignment="0" applyProtection="0"/>
    <xf numFmtId="183" fontId="84" fillId="42" borderId="20" applyNumberFormat="0" applyAlignment="0" applyProtection="0"/>
    <xf numFmtId="184" fontId="84" fillId="42" borderId="20" applyNumberFormat="0" applyAlignment="0" applyProtection="0"/>
    <xf numFmtId="184" fontId="84" fillId="42" borderId="20" applyNumberFormat="0" applyAlignment="0" applyProtection="0"/>
    <xf numFmtId="184" fontId="84" fillId="42" borderId="20" applyNumberFormat="0" applyAlignment="0" applyProtection="0"/>
    <xf numFmtId="0" fontId="104" fillId="97" borderId="28" applyNumberFormat="0" applyAlignment="0" applyProtection="0"/>
    <xf numFmtId="183" fontId="104" fillId="97" borderId="28" applyNumberFormat="0" applyAlignment="0" applyProtection="0"/>
    <xf numFmtId="183"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185" fontId="104" fillId="97" borderId="28" applyNumberFormat="0" applyAlignment="0" applyProtection="0"/>
    <xf numFmtId="183" fontId="104" fillId="97" borderId="28" applyNumberFormat="0" applyAlignment="0" applyProtection="0"/>
    <xf numFmtId="183"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185"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0"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185" fontId="104" fillId="97" borderId="28" applyNumberFormat="0" applyAlignment="0" applyProtection="0"/>
    <xf numFmtId="183" fontId="104" fillId="97" borderId="28" applyNumberFormat="0" applyAlignment="0" applyProtection="0"/>
    <xf numFmtId="183"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185"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0" fontId="104" fillId="97" borderId="28" applyNumberFormat="0" applyAlignment="0" applyProtection="0"/>
    <xf numFmtId="183" fontId="104" fillId="97" borderId="28" applyNumberFormat="0" applyAlignment="0" applyProtection="0"/>
    <xf numFmtId="183"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185" fontId="104" fillId="97" borderId="28" applyNumberFormat="0" applyAlignment="0" applyProtection="0"/>
    <xf numFmtId="183" fontId="104" fillId="97" borderId="28" applyNumberFormat="0" applyAlignment="0" applyProtection="0"/>
    <xf numFmtId="183"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185"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0"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0" fontId="103" fillId="96" borderId="29" applyNumberFormat="0" applyAlignment="0" applyProtection="0"/>
    <xf numFmtId="183" fontId="104" fillId="97" borderId="28" applyNumberFormat="0" applyAlignment="0" applyProtection="0"/>
    <xf numFmtId="183"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183" fontId="103" fillId="96" borderId="29" applyNumberFormat="0" applyAlignment="0" applyProtection="0"/>
    <xf numFmtId="183" fontId="103" fillId="96" borderId="29" applyNumberFormat="0" applyAlignment="0" applyProtection="0"/>
    <xf numFmtId="183" fontId="103" fillId="96" borderId="29" applyNumberFormat="0" applyAlignment="0" applyProtection="0"/>
    <xf numFmtId="183" fontId="103" fillId="96" borderId="29" applyNumberFormat="0" applyAlignment="0" applyProtection="0"/>
    <xf numFmtId="184" fontId="103" fillId="96" borderId="29" applyNumberFormat="0" applyAlignment="0" applyProtection="0"/>
    <xf numFmtId="184" fontId="103" fillId="96" borderId="29" applyNumberFormat="0" applyAlignment="0" applyProtection="0"/>
    <xf numFmtId="183" fontId="103" fillId="96" borderId="29" applyNumberFormat="0" applyAlignment="0" applyProtection="0"/>
    <xf numFmtId="184" fontId="103" fillId="96" borderId="29" applyNumberFormat="0" applyAlignment="0" applyProtection="0"/>
    <xf numFmtId="184" fontId="103" fillId="96" borderId="29" applyNumberFormat="0" applyAlignment="0" applyProtection="0"/>
    <xf numFmtId="183" fontId="103" fillId="96" borderId="29" applyNumberFormat="0" applyAlignment="0" applyProtection="0"/>
    <xf numFmtId="183" fontId="103" fillId="96" borderId="29" applyNumberFormat="0" applyAlignment="0" applyProtection="0"/>
    <xf numFmtId="184" fontId="103" fillId="96" borderId="29" applyNumberFormat="0" applyAlignment="0" applyProtection="0"/>
    <xf numFmtId="184" fontId="103" fillId="96" borderId="29" applyNumberFormat="0" applyAlignment="0" applyProtection="0"/>
    <xf numFmtId="183" fontId="103" fillId="96" borderId="29" applyNumberFormat="0" applyAlignment="0" applyProtection="0"/>
    <xf numFmtId="184" fontId="103" fillId="96" borderId="29" applyNumberFormat="0" applyAlignment="0" applyProtection="0"/>
    <xf numFmtId="184" fontId="103" fillId="96" borderId="29" applyNumberFormat="0" applyAlignment="0" applyProtection="0"/>
    <xf numFmtId="0" fontId="103" fillId="96" borderId="29" applyNumberFormat="0" applyAlignment="0" applyProtection="0"/>
    <xf numFmtId="0" fontId="103" fillId="96" borderId="29" applyNumberFormat="0" applyAlignment="0" applyProtection="0"/>
    <xf numFmtId="0" fontId="103" fillId="96" borderId="29" applyNumberFormat="0" applyAlignment="0" applyProtection="0"/>
    <xf numFmtId="184" fontId="103" fillId="96" borderId="29" applyNumberFormat="0" applyAlignment="0" applyProtection="0"/>
    <xf numFmtId="184" fontId="103" fillId="96" borderId="29" applyNumberFormat="0" applyAlignment="0" applyProtection="0"/>
    <xf numFmtId="0" fontId="103" fillId="96" borderId="29" applyNumberFormat="0" applyAlignment="0" applyProtection="0"/>
    <xf numFmtId="184" fontId="103" fillId="96" borderId="29" applyNumberFormat="0" applyAlignment="0" applyProtection="0"/>
    <xf numFmtId="184" fontId="103" fillId="96" borderId="29" applyNumberFormat="0" applyAlignment="0" applyProtection="0"/>
    <xf numFmtId="0" fontId="103" fillId="96" borderId="29" applyNumberFormat="0" applyAlignment="0" applyProtection="0"/>
    <xf numFmtId="0" fontId="103" fillId="96" borderId="29" applyNumberFormat="0" applyAlignment="0" applyProtection="0"/>
    <xf numFmtId="184" fontId="103" fillId="96" borderId="29" applyNumberFormat="0" applyAlignment="0" applyProtection="0"/>
    <xf numFmtId="184" fontId="103" fillId="96" borderId="29" applyNumberFormat="0" applyAlignment="0" applyProtection="0"/>
    <xf numFmtId="0" fontId="103" fillId="96" borderId="29" applyNumberFormat="0" applyAlignment="0" applyProtection="0"/>
    <xf numFmtId="184" fontId="103" fillId="96" borderId="29" applyNumberFormat="0" applyAlignment="0" applyProtection="0"/>
    <xf numFmtId="184" fontId="103" fillId="96" borderId="29" applyNumberFormat="0" applyAlignment="0" applyProtection="0"/>
    <xf numFmtId="183" fontId="102" fillId="75" borderId="28" applyNumberFormat="0" applyAlignment="0" applyProtection="0"/>
    <xf numFmtId="183" fontId="102" fillId="75" borderId="28" applyNumberFormat="0" applyAlignment="0" applyProtection="0"/>
    <xf numFmtId="184" fontId="102" fillId="75" borderId="28" applyNumberFormat="0" applyAlignment="0" applyProtection="0"/>
    <xf numFmtId="184" fontId="102" fillId="75" borderId="28" applyNumberFormat="0" applyAlignment="0" applyProtection="0"/>
    <xf numFmtId="185" fontId="102" fillId="75" borderId="28" applyNumberFormat="0" applyAlignment="0" applyProtection="0"/>
    <xf numFmtId="183" fontId="102" fillId="75" borderId="28" applyNumberFormat="0" applyAlignment="0" applyProtection="0"/>
    <xf numFmtId="183" fontId="102" fillId="75" borderId="28" applyNumberFormat="0" applyAlignment="0" applyProtection="0"/>
    <xf numFmtId="184" fontId="102" fillId="75" borderId="28" applyNumberFormat="0" applyAlignment="0" applyProtection="0"/>
    <xf numFmtId="184" fontId="102" fillId="75" borderId="28" applyNumberFormat="0" applyAlignment="0" applyProtection="0"/>
    <xf numFmtId="185" fontId="102" fillId="75" borderId="28" applyNumberFormat="0" applyAlignment="0" applyProtection="0"/>
    <xf numFmtId="184" fontId="102" fillId="75" borderId="28" applyNumberFormat="0" applyAlignment="0" applyProtection="0"/>
    <xf numFmtId="184" fontId="102" fillId="75" borderId="28" applyNumberFormat="0" applyAlignment="0" applyProtection="0"/>
    <xf numFmtId="187" fontId="104" fillId="97" borderId="28" applyNumberFormat="0" applyAlignment="0" applyProtection="0"/>
    <xf numFmtId="0" fontId="102" fillId="75" borderId="28" applyNumberFormat="0" applyAlignment="0" applyProtection="0"/>
    <xf numFmtId="0" fontId="102" fillId="75" borderId="28" applyNumberFormat="0" applyAlignment="0" applyProtection="0"/>
    <xf numFmtId="184" fontId="102" fillId="75" borderId="28" applyNumberFormat="0" applyAlignment="0" applyProtection="0"/>
    <xf numFmtId="184" fontId="102" fillId="75" borderId="28" applyNumberFormat="0" applyAlignment="0" applyProtection="0"/>
    <xf numFmtId="0" fontId="102" fillId="75" borderId="28" applyNumberFormat="0" applyAlignment="0" applyProtection="0"/>
    <xf numFmtId="184" fontId="102" fillId="75" borderId="28" applyNumberFormat="0" applyAlignment="0" applyProtection="0"/>
    <xf numFmtId="187"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0" fontId="102" fillId="75" borderId="28" applyNumberFormat="0" applyAlignment="0" applyProtection="0"/>
    <xf numFmtId="183" fontId="104" fillId="97" borderId="28" applyNumberFormat="0" applyAlignment="0" applyProtection="0"/>
    <xf numFmtId="183"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183" fontId="84" fillId="42" borderId="20" applyNumberFormat="0" applyAlignment="0" applyProtection="0"/>
    <xf numFmtId="184" fontId="84" fillId="42" borderId="20" applyNumberFormat="0" applyAlignment="0" applyProtection="0"/>
    <xf numFmtId="185" fontId="84" fillId="42" borderId="20" applyNumberFormat="0" applyAlignment="0" applyProtection="0"/>
    <xf numFmtId="183" fontId="84" fillId="42" borderId="20" applyNumberFormat="0" applyAlignment="0" applyProtection="0"/>
    <xf numFmtId="184" fontId="84" fillId="42" borderId="20" applyNumberFormat="0" applyAlignment="0" applyProtection="0"/>
    <xf numFmtId="184" fontId="84" fillId="42" borderId="20" applyNumberFormat="0" applyAlignment="0" applyProtection="0"/>
    <xf numFmtId="184" fontId="84" fillId="42" borderId="20" applyNumberFormat="0" applyAlignment="0" applyProtection="0"/>
    <xf numFmtId="0" fontId="102" fillId="75" borderId="28" applyNumberFormat="0" applyAlignment="0" applyProtection="0"/>
    <xf numFmtId="183" fontId="84" fillId="42" borderId="20" applyNumberFormat="0" applyAlignment="0" applyProtection="0"/>
    <xf numFmtId="184" fontId="84" fillId="42" borderId="20" applyNumberFormat="0" applyAlignment="0" applyProtection="0"/>
    <xf numFmtId="185" fontId="84" fillId="42" borderId="20" applyNumberFormat="0" applyAlignment="0" applyProtection="0"/>
    <xf numFmtId="183" fontId="84" fillId="42" borderId="20" applyNumberFormat="0" applyAlignment="0" applyProtection="0"/>
    <xf numFmtId="184" fontId="84" fillId="42" borderId="20" applyNumberFormat="0" applyAlignment="0" applyProtection="0"/>
    <xf numFmtId="184" fontId="84" fillId="42" borderId="20" applyNumberFormat="0" applyAlignment="0" applyProtection="0"/>
    <xf numFmtId="184" fontId="84" fillId="42" borderId="20" applyNumberFormat="0" applyAlignment="0" applyProtection="0"/>
    <xf numFmtId="0" fontId="102" fillId="75" borderId="28" applyNumberFormat="0" applyAlignment="0" applyProtection="0"/>
    <xf numFmtId="183" fontId="102" fillId="75" borderId="28" applyNumberFormat="0" applyAlignment="0" applyProtection="0"/>
    <xf numFmtId="183" fontId="102" fillId="75" borderId="28" applyNumberFormat="0" applyAlignment="0" applyProtection="0"/>
    <xf numFmtId="184" fontId="102" fillId="75" borderId="28" applyNumberFormat="0" applyAlignment="0" applyProtection="0"/>
    <xf numFmtId="184" fontId="102" fillId="75" borderId="28" applyNumberFormat="0" applyAlignment="0" applyProtection="0"/>
    <xf numFmtId="185" fontId="102" fillId="75" borderId="28" applyNumberFormat="0" applyAlignment="0" applyProtection="0"/>
    <xf numFmtId="183" fontId="102" fillId="75" borderId="28" applyNumberFormat="0" applyAlignment="0" applyProtection="0"/>
    <xf numFmtId="183" fontId="102" fillId="75" borderId="28" applyNumberFormat="0" applyAlignment="0" applyProtection="0"/>
    <xf numFmtId="184" fontId="102" fillId="75" borderId="28" applyNumberFormat="0" applyAlignment="0" applyProtection="0"/>
    <xf numFmtId="184" fontId="102" fillId="75" borderId="28" applyNumberFormat="0" applyAlignment="0" applyProtection="0"/>
    <xf numFmtId="185" fontId="102" fillId="75" borderId="28" applyNumberFormat="0" applyAlignment="0" applyProtection="0"/>
    <xf numFmtId="184" fontId="102" fillId="75" borderId="28" applyNumberFormat="0" applyAlignment="0" applyProtection="0"/>
    <xf numFmtId="184" fontId="102" fillId="75" borderId="28" applyNumberFormat="0" applyAlignment="0" applyProtection="0"/>
    <xf numFmtId="0" fontId="102" fillId="75" borderId="28" applyNumberFormat="0" applyAlignment="0" applyProtection="0"/>
    <xf numFmtId="184" fontId="102" fillId="75" borderId="28" applyNumberFormat="0" applyAlignment="0" applyProtection="0"/>
    <xf numFmtId="184" fontId="102" fillId="75" borderId="28" applyNumberFormat="0" applyAlignment="0" applyProtection="0"/>
    <xf numFmtId="185" fontId="104" fillId="97" borderId="28" applyNumberFormat="0" applyAlignment="0" applyProtection="0"/>
    <xf numFmtId="183" fontId="104" fillId="97" borderId="28" applyNumberFormat="0" applyAlignment="0" applyProtection="0"/>
    <xf numFmtId="183"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185" fontId="104" fillId="97" borderId="28" applyNumberFormat="0" applyAlignment="0" applyProtection="0"/>
    <xf numFmtId="184" fontId="104" fillId="97" borderId="28" applyNumberFormat="0" applyAlignment="0" applyProtection="0"/>
    <xf numFmtId="184" fontId="104" fillId="97" borderId="28" applyNumberFormat="0" applyAlignment="0" applyProtection="0"/>
    <xf numFmtId="0" fontId="84" fillId="42" borderId="20" applyNumberFormat="0" applyAlignment="0" applyProtection="0"/>
    <xf numFmtId="184" fontId="84" fillId="42" borderId="20" applyNumberFormat="0" applyAlignment="0" applyProtection="0"/>
    <xf numFmtId="0" fontId="103" fillId="96" borderId="29" applyNumberFormat="0" applyAlignment="0" applyProtection="0"/>
    <xf numFmtId="184" fontId="103" fillId="96" borderId="29" applyNumberFormat="0" applyAlignment="0" applyProtection="0"/>
    <xf numFmtId="184" fontId="84" fillId="42" borderId="20" applyNumberFormat="0" applyAlignment="0" applyProtection="0"/>
    <xf numFmtId="0"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5"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90" fontId="105" fillId="0" borderId="0" applyNumberFormat="0" applyFont="0" applyFill="0" applyBorder="0" applyProtection="0">
      <alignment horizontal="centerContinuous" wrapText="1"/>
    </xf>
    <xf numFmtId="191" fontId="24" fillId="0" borderId="0"/>
    <xf numFmtId="0" fontId="106" fillId="98" borderId="30" applyNumberFormat="0" applyAlignment="0" applyProtection="0"/>
    <xf numFmtId="0" fontId="106" fillId="98" borderId="30" applyNumberFormat="0" applyAlignment="0" applyProtection="0"/>
    <xf numFmtId="184" fontId="106" fillId="98" borderId="30" applyNumberFormat="0" applyAlignment="0" applyProtection="0"/>
    <xf numFmtId="184" fontId="106" fillId="98" borderId="30" applyNumberFormat="0" applyAlignment="0" applyProtection="0"/>
    <xf numFmtId="182" fontId="106" fillId="90" borderId="30" applyNumberFormat="0" applyAlignment="0" applyProtection="0"/>
    <xf numFmtId="0" fontId="86" fillId="43" borderId="23" applyNumberFormat="0" applyAlignment="0" applyProtection="0"/>
    <xf numFmtId="183" fontId="86" fillId="43" borderId="23" applyNumberFormat="0" applyAlignment="0" applyProtection="0"/>
    <xf numFmtId="184" fontId="86" fillId="43" borderId="23" applyNumberFormat="0" applyAlignment="0" applyProtection="0"/>
    <xf numFmtId="185" fontId="86" fillId="43" borderId="23" applyNumberFormat="0" applyAlignment="0" applyProtection="0"/>
    <xf numFmtId="183" fontId="86" fillId="43" borderId="23" applyNumberFormat="0" applyAlignment="0" applyProtection="0"/>
    <xf numFmtId="184" fontId="86" fillId="43" borderId="23" applyNumberFormat="0" applyAlignment="0" applyProtection="0"/>
    <xf numFmtId="184" fontId="86" fillId="43" borderId="23" applyNumberFormat="0" applyAlignment="0" applyProtection="0"/>
    <xf numFmtId="184" fontId="86" fillId="43" borderId="23" applyNumberFormat="0" applyAlignment="0" applyProtection="0"/>
    <xf numFmtId="0" fontId="106" fillId="14" borderId="30" applyNumberFormat="0" applyAlignment="0" applyProtection="0"/>
    <xf numFmtId="183" fontId="106" fillId="14" borderId="30" applyNumberFormat="0" applyAlignment="0" applyProtection="0"/>
    <xf numFmtId="184" fontId="106" fillId="14" borderId="30" applyNumberFormat="0" applyAlignment="0" applyProtection="0"/>
    <xf numFmtId="185" fontId="106" fillId="14" borderId="30" applyNumberFormat="0" applyAlignment="0" applyProtection="0"/>
    <xf numFmtId="183" fontId="106" fillId="14" borderId="30" applyNumberFormat="0" applyAlignment="0" applyProtection="0"/>
    <xf numFmtId="184" fontId="106" fillId="14" borderId="30" applyNumberFormat="0" applyAlignment="0" applyProtection="0"/>
    <xf numFmtId="184" fontId="106" fillId="14" borderId="30" applyNumberFormat="0" applyAlignment="0" applyProtection="0"/>
    <xf numFmtId="184" fontId="106" fillId="14" borderId="30" applyNumberFormat="0" applyAlignment="0" applyProtection="0"/>
    <xf numFmtId="185" fontId="106" fillId="14" borderId="30" applyNumberFormat="0" applyAlignment="0" applyProtection="0"/>
    <xf numFmtId="183" fontId="106" fillId="14" borderId="30" applyNumberFormat="0" applyAlignment="0" applyProtection="0"/>
    <xf numFmtId="184" fontId="106" fillId="14" borderId="30" applyNumberFormat="0" applyAlignment="0" applyProtection="0"/>
    <xf numFmtId="184" fontId="106" fillId="14" borderId="30" applyNumberFormat="0" applyAlignment="0" applyProtection="0"/>
    <xf numFmtId="0" fontId="106" fillId="14" borderId="30" applyNumberFormat="0" applyAlignment="0" applyProtection="0"/>
    <xf numFmtId="183" fontId="106" fillId="14" borderId="30" applyNumberFormat="0" applyAlignment="0" applyProtection="0"/>
    <xf numFmtId="184" fontId="106" fillId="14" borderId="30" applyNumberFormat="0" applyAlignment="0" applyProtection="0"/>
    <xf numFmtId="185" fontId="106" fillId="14" borderId="30" applyNumberFormat="0" applyAlignment="0" applyProtection="0"/>
    <xf numFmtId="183" fontId="106" fillId="14" borderId="30" applyNumberFormat="0" applyAlignment="0" applyProtection="0"/>
    <xf numFmtId="184" fontId="106" fillId="14" borderId="30" applyNumberFormat="0" applyAlignment="0" applyProtection="0"/>
    <xf numFmtId="184" fontId="106" fillId="14" borderId="30" applyNumberFormat="0" applyAlignment="0" applyProtection="0"/>
    <xf numFmtId="184" fontId="106" fillId="14" borderId="30" applyNumberFormat="0" applyAlignment="0" applyProtection="0"/>
    <xf numFmtId="0" fontId="106" fillId="90" borderId="30" applyNumberFormat="0" applyAlignment="0" applyProtection="0"/>
    <xf numFmtId="183" fontId="106" fillId="14" borderId="30" applyNumberFormat="0" applyAlignment="0" applyProtection="0"/>
    <xf numFmtId="184" fontId="106" fillId="14" borderId="30" applyNumberFormat="0" applyAlignment="0" applyProtection="0"/>
    <xf numFmtId="183" fontId="106" fillId="90" borderId="30" applyNumberFormat="0" applyAlignment="0" applyProtection="0"/>
    <xf numFmtId="184" fontId="106" fillId="90" borderId="30" applyNumberFormat="0" applyAlignment="0" applyProtection="0"/>
    <xf numFmtId="184" fontId="106" fillId="90" borderId="30" applyNumberFormat="0" applyAlignment="0" applyProtection="0"/>
    <xf numFmtId="183" fontId="106" fillId="98" borderId="30" applyNumberFormat="0" applyAlignment="0" applyProtection="0"/>
    <xf numFmtId="184" fontId="106" fillId="98" borderId="30" applyNumberFormat="0" applyAlignment="0" applyProtection="0"/>
    <xf numFmtId="185" fontId="106" fillId="98" borderId="30" applyNumberFormat="0" applyAlignment="0" applyProtection="0"/>
    <xf numFmtId="183" fontId="106" fillId="98" borderId="30" applyNumberFormat="0" applyAlignment="0" applyProtection="0"/>
    <xf numFmtId="184" fontId="106" fillId="98" borderId="30" applyNumberFormat="0" applyAlignment="0" applyProtection="0"/>
    <xf numFmtId="184" fontId="106" fillId="98" borderId="30" applyNumberFormat="0" applyAlignment="0" applyProtection="0"/>
    <xf numFmtId="187" fontId="106" fillId="14" borderId="30" applyNumberFormat="0" applyAlignment="0" applyProtection="0"/>
    <xf numFmtId="0" fontId="106" fillId="98" borderId="30" applyNumberFormat="0" applyAlignment="0" applyProtection="0"/>
    <xf numFmtId="184" fontId="106" fillId="98" borderId="30" applyNumberFormat="0" applyAlignment="0" applyProtection="0"/>
    <xf numFmtId="184" fontId="106" fillId="14" borderId="30" applyNumberFormat="0" applyAlignment="0" applyProtection="0"/>
    <xf numFmtId="0" fontId="106" fillId="98" borderId="30" applyNumberFormat="0" applyAlignment="0" applyProtection="0"/>
    <xf numFmtId="183" fontId="106" fillId="14" borderId="30" applyNumberFormat="0" applyAlignment="0" applyProtection="0"/>
    <xf numFmtId="184" fontId="106" fillId="14" borderId="30" applyNumberFormat="0" applyAlignment="0" applyProtection="0"/>
    <xf numFmtId="183" fontId="86" fillId="43" borderId="23" applyNumberFormat="0" applyAlignment="0" applyProtection="0"/>
    <xf numFmtId="184" fontId="86" fillId="43" borderId="23" applyNumberFormat="0" applyAlignment="0" applyProtection="0"/>
    <xf numFmtId="185" fontId="86" fillId="43" borderId="23" applyNumberFormat="0" applyAlignment="0" applyProtection="0"/>
    <xf numFmtId="183" fontId="86" fillId="43" borderId="23" applyNumberFormat="0" applyAlignment="0" applyProtection="0"/>
    <xf numFmtId="184" fontId="86" fillId="43" borderId="23" applyNumberFormat="0" applyAlignment="0" applyProtection="0"/>
    <xf numFmtId="184" fontId="86" fillId="43" borderId="23" applyNumberFormat="0" applyAlignment="0" applyProtection="0"/>
    <xf numFmtId="184" fontId="86" fillId="43" borderId="23" applyNumberFormat="0" applyAlignment="0" applyProtection="0"/>
    <xf numFmtId="0" fontId="106" fillId="98" borderId="30" applyNumberFormat="0" applyAlignment="0" applyProtection="0"/>
    <xf numFmtId="183" fontId="86" fillId="43" borderId="23" applyNumberFormat="0" applyAlignment="0" applyProtection="0"/>
    <xf numFmtId="184" fontId="86" fillId="43" borderId="23" applyNumberFormat="0" applyAlignment="0" applyProtection="0"/>
    <xf numFmtId="185" fontId="86" fillId="43" borderId="23" applyNumberFormat="0" applyAlignment="0" applyProtection="0"/>
    <xf numFmtId="183" fontId="86" fillId="43" borderId="23" applyNumberFormat="0" applyAlignment="0" applyProtection="0"/>
    <xf numFmtId="184" fontId="86" fillId="43" borderId="23" applyNumberFormat="0" applyAlignment="0" applyProtection="0"/>
    <xf numFmtId="184" fontId="86" fillId="43" borderId="23" applyNumberFormat="0" applyAlignment="0" applyProtection="0"/>
    <xf numFmtId="184" fontId="86" fillId="43" borderId="23" applyNumberFormat="0" applyAlignment="0" applyProtection="0"/>
    <xf numFmtId="0" fontId="106" fillId="98" borderId="30" applyNumberFormat="0" applyAlignment="0" applyProtection="0"/>
    <xf numFmtId="183" fontId="106" fillId="98" borderId="30" applyNumberFormat="0" applyAlignment="0" applyProtection="0"/>
    <xf numFmtId="184" fontId="106" fillId="98" borderId="30" applyNumberFormat="0" applyAlignment="0" applyProtection="0"/>
    <xf numFmtId="185" fontId="106" fillId="98" borderId="30" applyNumberFormat="0" applyAlignment="0" applyProtection="0"/>
    <xf numFmtId="183" fontId="106" fillId="98" borderId="30" applyNumberFormat="0" applyAlignment="0" applyProtection="0"/>
    <xf numFmtId="184" fontId="106" fillId="98" borderId="30" applyNumberFormat="0" applyAlignment="0" applyProtection="0"/>
    <xf numFmtId="184" fontId="106" fillId="98" borderId="30" applyNumberFormat="0" applyAlignment="0" applyProtection="0"/>
    <xf numFmtId="184" fontId="106" fillId="98" borderId="30" applyNumberFormat="0" applyAlignment="0" applyProtection="0"/>
    <xf numFmtId="185" fontId="106" fillId="14" borderId="30" applyNumberFormat="0" applyAlignment="0" applyProtection="0"/>
    <xf numFmtId="183" fontId="106" fillId="14" borderId="30" applyNumberFormat="0" applyAlignment="0" applyProtection="0"/>
    <xf numFmtId="184" fontId="106" fillId="14" borderId="30" applyNumberFormat="0" applyAlignment="0" applyProtection="0"/>
    <xf numFmtId="184" fontId="106" fillId="14" borderId="30" applyNumberFormat="0" applyAlignment="0" applyProtection="0"/>
    <xf numFmtId="0" fontId="86" fillId="43" borderId="23" applyNumberFormat="0" applyAlignment="0" applyProtection="0"/>
    <xf numFmtId="184" fontId="86" fillId="43" borderId="23" applyNumberFormat="0" applyAlignment="0" applyProtection="0"/>
    <xf numFmtId="184" fontId="86" fillId="43" borderId="23" applyNumberFormat="0" applyAlignment="0" applyProtection="0"/>
    <xf numFmtId="182" fontId="86" fillId="43" borderId="23" applyNumberFormat="0" applyAlignment="0" applyProtection="0"/>
    <xf numFmtId="41" fontId="24" fillId="0" borderId="0" applyFont="0" applyFill="0" applyBorder="0" applyAlignment="0" applyProtection="0"/>
    <xf numFmtId="41"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107" fillId="0" borderId="0" applyNumberFormat="0" applyAlignment="0">
      <alignment horizontal="left"/>
    </xf>
    <xf numFmtId="0"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7"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92" fontId="100" fillId="0" borderId="3"/>
    <xf numFmtId="44" fontId="40" fillId="0" borderId="0" applyFont="0" applyFill="0" applyBorder="0" applyAlignment="0" applyProtection="0"/>
    <xf numFmtId="44" fontId="2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40"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4" fillId="0" borderId="0" applyFont="0" applyFill="0" applyBorder="0" applyAlignment="0" applyProtection="0"/>
    <xf numFmtId="44" fontId="40"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44" fontId="40"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24"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4" fontId="108" fillId="0" borderId="0" applyFont="0" applyFill="0" applyBorder="0" applyAlignment="0" applyProtection="0"/>
    <xf numFmtId="6" fontId="109" fillId="0" borderId="0">
      <protection locked="0"/>
    </xf>
    <xf numFmtId="14" fontId="24" fillId="0" borderId="0" applyFont="0" applyFill="0" applyBorder="0" applyAlignment="0" applyProtection="0"/>
    <xf numFmtId="14" fontId="24" fillId="0" borderId="0" applyFont="0" applyFill="0" applyBorder="0" applyAlignment="0" applyProtection="0"/>
    <xf numFmtId="6" fontId="110" fillId="0" borderId="0">
      <protection locked="0"/>
    </xf>
    <xf numFmtId="4" fontId="111" fillId="0" borderId="0" applyFont="0" applyFill="0" applyBorder="0" applyAlignment="0" applyProtection="0"/>
    <xf numFmtId="182" fontId="42" fillId="99" borderId="0" applyNumberFormat="0" applyBorder="0" applyAlignment="0" applyProtection="0"/>
    <xf numFmtId="0" fontId="42" fillId="22" borderId="0" applyNumberFormat="0" applyBorder="0" applyAlignment="0" applyProtection="0"/>
    <xf numFmtId="183" fontId="42" fillId="22" borderId="0" applyNumberFormat="0" applyBorder="0" applyAlignment="0" applyProtection="0"/>
    <xf numFmtId="184" fontId="42" fillId="22" borderId="0" applyNumberFormat="0" applyBorder="0" applyAlignment="0" applyProtection="0"/>
    <xf numFmtId="185" fontId="42" fillId="22" borderId="0" applyNumberFormat="0" applyBorder="0" applyAlignment="0" applyProtection="0"/>
    <xf numFmtId="183" fontId="42" fillId="22" borderId="0" applyNumberFormat="0" applyBorder="0" applyAlignment="0" applyProtection="0"/>
    <xf numFmtId="184" fontId="42" fillId="22" borderId="0" applyNumberFormat="0" applyBorder="0" applyAlignment="0" applyProtection="0"/>
    <xf numFmtId="184" fontId="42" fillId="22" borderId="0" applyNumberFormat="0" applyBorder="0" applyAlignment="0" applyProtection="0"/>
    <xf numFmtId="0" fontId="42" fillId="99" borderId="0" applyNumberFormat="0" applyBorder="0" applyAlignment="0" applyProtection="0"/>
    <xf numFmtId="183" fontId="42" fillId="99" borderId="0" applyNumberFormat="0" applyBorder="0" applyAlignment="0" applyProtection="0"/>
    <xf numFmtId="184" fontId="42" fillId="99" borderId="0" applyNumberFormat="0" applyBorder="0" applyAlignment="0" applyProtection="0"/>
    <xf numFmtId="184" fontId="42" fillId="99" borderId="0" applyNumberFormat="0" applyBorder="0" applyAlignment="0" applyProtection="0"/>
    <xf numFmtId="184" fontId="42" fillId="22" borderId="0" applyNumberFormat="0" applyBorder="0" applyAlignment="0" applyProtection="0"/>
    <xf numFmtId="185" fontId="42" fillId="22" borderId="0" applyNumberFormat="0" applyBorder="0" applyAlignment="0" applyProtection="0"/>
    <xf numFmtId="183" fontId="42" fillId="22" borderId="0" applyNumberFormat="0" applyBorder="0" applyAlignment="0" applyProtection="0"/>
    <xf numFmtId="184" fontId="42" fillId="22" borderId="0" applyNumberFormat="0" applyBorder="0" applyAlignment="0" applyProtection="0"/>
    <xf numFmtId="184" fontId="42" fillId="22" borderId="0" applyNumberFormat="0" applyBorder="0" applyAlignment="0" applyProtection="0"/>
    <xf numFmtId="183" fontId="42" fillId="22" borderId="0" applyNumberFormat="0" applyBorder="0" applyAlignment="0" applyProtection="0"/>
    <xf numFmtId="184" fontId="42" fillId="22" borderId="0" applyNumberFormat="0" applyBorder="0" applyAlignment="0" applyProtection="0"/>
    <xf numFmtId="0" fontId="42" fillId="22" borderId="0" applyNumberFormat="0" applyBorder="0" applyAlignment="0" applyProtection="0"/>
    <xf numFmtId="184" fontId="42" fillId="22" borderId="0" applyNumberFormat="0" applyBorder="0" applyAlignment="0" applyProtection="0"/>
    <xf numFmtId="187" fontId="42" fillId="22" borderId="0" applyNumberFormat="0" applyBorder="0" applyAlignment="0" applyProtection="0"/>
    <xf numFmtId="0" fontId="42" fillId="22" borderId="0" applyNumberFormat="0" applyBorder="0" applyAlignment="0" applyProtection="0"/>
    <xf numFmtId="184" fontId="42" fillId="22" borderId="0" applyNumberFormat="0" applyBorder="0" applyAlignment="0" applyProtection="0"/>
    <xf numFmtId="184" fontId="42" fillId="22" borderId="0" applyNumberFormat="0" applyBorder="0" applyAlignment="0" applyProtection="0"/>
    <xf numFmtId="0" fontId="42" fillId="22" borderId="0" applyNumberFormat="0" applyBorder="0" applyAlignment="0" applyProtection="0"/>
    <xf numFmtId="184" fontId="42" fillId="22" borderId="0" applyNumberFormat="0" applyBorder="0" applyAlignment="0" applyProtection="0"/>
    <xf numFmtId="0" fontId="42" fillId="22" borderId="0" applyNumberFormat="0" applyBorder="0" applyAlignment="0" applyProtection="0"/>
    <xf numFmtId="184" fontId="42" fillId="22" borderId="0" applyNumberFormat="0" applyBorder="0" applyAlignment="0" applyProtection="0"/>
    <xf numFmtId="184" fontId="42" fillId="22" borderId="0" applyNumberFormat="0" applyBorder="0" applyAlignment="0" applyProtection="0"/>
    <xf numFmtId="182" fontId="42" fillId="100" borderId="0" applyNumberFormat="0" applyBorder="0" applyAlignment="0" applyProtection="0"/>
    <xf numFmtId="0" fontId="42" fillId="23" borderId="0" applyNumberFormat="0" applyBorder="0" applyAlignment="0" applyProtection="0"/>
    <xf numFmtId="183" fontId="42" fillId="23" borderId="0" applyNumberFormat="0" applyBorder="0" applyAlignment="0" applyProtection="0"/>
    <xf numFmtId="184" fontId="42" fillId="23" borderId="0" applyNumberFormat="0" applyBorder="0" applyAlignment="0" applyProtection="0"/>
    <xf numFmtId="185" fontId="42" fillId="23" borderId="0" applyNumberFormat="0" applyBorder="0" applyAlignment="0" applyProtection="0"/>
    <xf numFmtId="183" fontId="42" fillId="23" borderId="0" applyNumberFormat="0" applyBorder="0" applyAlignment="0" applyProtection="0"/>
    <xf numFmtId="184" fontId="42" fillId="23" borderId="0" applyNumberFormat="0" applyBorder="0" applyAlignment="0" applyProtection="0"/>
    <xf numFmtId="184" fontId="42" fillId="23" borderId="0" applyNumberFormat="0" applyBorder="0" applyAlignment="0" applyProtection="0"/>
    <xf numFmtId="0" fontId="42" fillId="100" borderId="0" applyNumberFormat="0" applyBorder="0" applyAlignment="0" applyProtection="0"/>
    <xf numFmtId="183" fontId="42" fillId="100" borderId="0" applyNumberFormat="0" applyBorder="0" applyAlignment="0" applyProtection="0"/>
    <xf numFmtId="184" fontId="42" fillId="100" borderId="0" applyNumberFormat="0" applyBorder="0" applyAlignment="0" applyProtection="0"/>
    <xf numFmtId="184" fontId="42" fillId="100" borderId="0" applyNumberFormat="0" applyBorder="0" applyAlignment="0" applyProtection="0"/>
    <xf numFmtId="184" fontId="42" fillId="23" borderId="0" applyNumberFormat="0" applyBorder="0" applyAlignment="0" applyProtection="0"/>
    <xf numFmtId="185" fontId="42" fillId="23" borderId="0" applyNumberFormat="0" applyBorder="0" applyAlignment="0" applyProtection="0"/>
    <xf numFmtId="183" fontId="42" fillId="23" borderId="0" applyNumberFormat="0" applyBorder="0" applyAlignment="0" applyProtection="0"/>
    <xf numFmtId="184" fontId="42" fillId="23" borderId="0" applyNumberFormat="0" applyBorder="0" applyAlignment="0" applyProtection="0"/>
    <xf numFmtId="184" fontId="42" fillId="23" borderId="0" applyNumberFormat="0" applyBorder="0" applyAlignment="0" applyProtection="0"/>
    <xf numFmtId="183" fontId="42" fillId="23" borderId="0" applyNumberFormat="0" applyBorder="0" applyAlignment="0" applyProtection="0"/>
    <xf numFmtId="184" fontId="42" fillId="23" borderId="0" applyNumberFormat="0" applyBorder="0" applyAlignment="0" applyProtection="0"/>
    <xf numFmtId="0" fontId="42" fillId="23" borderId="0" applyNumberFormat="0" applyBorder="0" applyAlignment="0" applyProtection="0"/>
    <xf numFmtId="184" fontId="42" fillId="23" borderId="0" applyNumberFormat="0" applyBorder="0" applyAlignment="0" applyProtection="0"/>
    <xf numFmtId="187" fontId="42" fillId="23" borderId="0" applyNumberFormat="0" applyBorder="0" applyAlignment="0" applyProtection="0"/>
    <xf numFmtId="0" fontId="42" fillId="23" borderId="0" applyNumberFormat="0" applyBorder="0" applyAlignment="0" applyProtection="0"/>
    <xf numFmtId="184" fontId="42" fillId="23" borderId="0" applyNumberFormat="0" applyBorder="0" applyAlignment="0" applyProtection="0"/>
    <xf numFmtId="184" fontId="42" fillId="23" borderId="0" applyNumberFormat="0" applyBorder="0" applyAlignment="0" applyProtection="0"/>
    <xf numFmtId="0" fontId="42" fillId="23" borderId="0" applyNumberFormat="0" applyBorder="0" applyAlignment="0" applyProtection="0"/>
    <xf numFmtId="184" fontId="42" fillId="23" borderId="0" applyNumberFormat="0" applyBorder="0" applyAlignment="0" applyProtection="0"/>
    <xf numFmtId="0" fontId="42" fillId="23" borderId="0" applyNumberFormat="0" applyBorder="0" applyAlignment="0" applyProtection="0"/>
    <xf numFmtId="184" fontId="42" fillId="23" borderId="0" applyNumberFormat="0" applyBorder="0" applyAlignment="0" applyProtection="0"/>
    <xf numFmtId="184" fontId="42" fillId="23" borderId="0" applyNumberFormat="0" applyBorder="0" applyAlignment="0" applyProtection="0"/>
    <xf numFmtId="0" fontId="42" fillId="24" borderId="0" applyNumberFormat="0" applyBorder="0" applyAlignment="0" applyProtection="0"/>
    <xf numFmtId="183" fontId="42" fillId="24" borderId="0" applyNumberFormat="0" applyBorder="0" applyAlignment="0" applyProtection="0"/>
    <xf numFmtId="184" fontId="42" fillId="24" borderId="0" applyNumberFormat="0" applyBorder="0" applyAlignment="0" applyProtection="0"/>
    <xf numFmtId="185" fontId="42" fillId="24" borderId="0" applyNumberFormat="0" applyBorder="0" applyAlignment="0" applyProtection="0"/>
    <xf numFmtId="183" fontId="42" fillId="24" borderId="0" applyNumberFormat="0" applyBorder="0" applyAlignment="0" applyProtection="0"/>
    <xf numFmtId="184" fontId="42" fillId="24" borderId="0" applyNumberFormat="0" applyBorder="0" applyAlignment="0" applyProtection="0"/>
    <xf numFmtId="184" fontId="42" fillId="24" borderId="0" applyNumberFormat="0" applyBorder="0" applyAlignment="0" applyProtection="0"/>
    <xf numFmtId="184" fontId="42" fillId="24" borderId="0" applyNumberFormat="0" applyBorder="0" applyAlignment="0" applyProtection="0"/>
    <xf numFmtId="185" fontId="42" fillId="24" borderId="0" applyNumberFormat="0" applyBorder="0" applyAlignment="0" applyProtection="0"/>
    <xf numFmtId="183" fontId="42" fillId="24" borderId="0" applyNumberFormat="0" applyBorder="0" applyAlignment="0" applyProtection="0"/>
    <xf numFmtId="184" fontId="42" fillId="24" borderId="0" applyNumberFormat="0" applyBorder="0" applyAlignment="0" applyProtection="0"/>
    <xf numFmtId="184" fontId="42" fillId="24" borderId="0" applyNumberFormat="0" applyBorder="0" applyAlignment="0" applyProtection="0"/>
    <xf numFmtId="183" fontId="42" fillId="24" borderId="0" applyNumberFormat="0" applyBorder="0" applyAlignment="0" applyProtection="0"/>
    <xf numFmtId="184" fontId="42" fillId="24" borderId="0" applyNumberFormat="0" applyBorder="0" applyAlignment="0" applyProtection="0"/>
    <xf numFmtId="187" fontId="42" fillId="24" borderId="0" applyNumberFormat="0" applyBorder="0" applyAlignment="0" applyProtection="0"/>
    <xf numFmtId="184" fontId="42" fillId="24" borderId="0" applyNumberFormat="0" applyBorder="0" applyAlignment="0" applyProtection="0"/>
    <xf numFmtId="184" fontId="42" fillId="24" borderId="0" applyNumberFormat="0" applyBorder="0" applyAlignment="0" applyProtection="0"/>
    <xf numFmtId="182" fontId="42" fillId="24" borderId="0" applyNumberFormat="0" applyBorder="0" applyAlignment="0" applyProtection="0"/>
    <xf numFmtId="0" fontId="112" fillId="0" borderId="0" applyNumberFormat="0" applyAlignment="0">
      <alignment horizontal="left"/>
    </xf>
    <xf numFmtId="0"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7"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24" fillId="0" borderId="0" applyFont="0" applyFill="0" applyBorder="0" applyAlignment="0" applyProtection="0"/>
    <xf numFmtId="185"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5" fontId="24"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5" fontId="24"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7"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7" fontId="114" fillId="0" borderId="0" applyNumberForma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184" fontId="114" fillId="0" borderId="0" applyNumberFormat="0" applyFill="0" applyBorder="0" applyAlignment="0" applyProtection="0"/>
    <xf numFmtId="0" fontId="113"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88" fillId="0" borderId="0" applyNumberFormat="0" applyFill="0" applyBorder="0" applyAlignment="0" applyProtection="0"/>
    <xf numFmtId="182" fontId="88" fillId="0" borderId="0" applyNumberFormat="0" applyFill="0" applyBorder="0" applyAlignment="0" applyProtection="0"/>
    <xf numFmtId="195" fontId="24" fillId="0" borderId="0">
      <protection locked="0"/>
    </xf>
    <xf numFmtId="195" fontId="24" fillId="0" borderId="0">
      <protection locked="0"/>
    </xf>
    <xf numFmtId="195" fontId="24" fillId="0" borderId="0">
      <protection locked="0"/>
    </xf>
    <xf numFmtId="195" fontId="24" fillId="0" borderId="0">
      <protection locked="0"/>
    </xf>
    <xf numFmtId="0" fontId="111" fillId="0" borderId="0" applyFont="0" applyFill="0" applyBorder="0" applyAlignment="0" applyProtection="0"/>
    <xf numFmtId="0"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5" fontId="24"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185" fontId="24"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0" fontId="24"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96" fontId="36" fillId="0" borderId="0"/>
    <xf numFmtId="0" fontId="115" fillId="7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2" fontId="40" fillId="86" borderId="0" applyNumberFormat="0" applyBorder="0" applyAlignment="0" applyProtection="0"/>
    <xf numFmtId="0"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7" fontId="115" fillId="101" borderId="0" applyNumberFormat="0" applyBorder="0" applyAlignment="0" applyProtection="0"/>
    <xf numFmtId="184" fontId="115" fillId="101" borderId="0" applyNumberFormat="0" applyBorder="0" applyAlignment="0" applyProtection="0"/>
    <xf numFmtId="184" fontId="79" fillId="38"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40" fillId="86"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40" fillId="86" borderId="0" applyNumberFormat="0" applyBorder="0" applyAlignment="0" applyProtection="0"/>
    <xf numFmtId="183" fontId="40" fillId="86" borderId="0" applyNumberFormat="0" applyBorder="0" applyAlignment="0" applyProtection="0"/>
    <xf numFmtId="184" fontId="40" fillId="86" borderId="0" applyNumberFormat="0" applyBorder="0" applyAlignment="0" applyProtection="0"/>
    <xf numFmtId="184" fontId="40" fillId="86" borderId="0" applyNumberFormat="0" applyBorder="0" applyAlignment="0" applyProtection="0"/>
    <xf numFmtId="0" fontId="40" fillId="86" borderId="0" applyNumberFormat="0" applyBorder="0" applyAlignment="0" applyProtection="0"/>
    <xf numFmtId="184" fontId="40" fillId="86" borderId="0" applyNumberFormat="0" applyBorder="0" applyAlignment="0" applyProtection="0"/>
    <xf numFmtId="184" fontId="40" fillId="86"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7" fontId="115" fillId="10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101" borderId="0" applyNumberFormat="0" applyBorder="0" applyAlignment="0" applyProtection="0"/>
    <xf numFmtId="0" fontId="115" fillId="7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2" fontId="79" fillId="38"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116" fillId="0" borderId="0" applyNumberFormat="0" applyFill="0" applyBorder="0" applyAlignment="0" applyProtection="0"/>
    <xf numFmtId="185" fontId="116" fillId="0" borderId="0" applyNumberFormat="0" applyFill="0" applyBorder="0" applyAlignment="0" applyProtection="0"/>
    <xf numFmtId="0"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5"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7"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0" fontId="70" fillId="0" borderId="15" applyNumberFormat="0" applyAlignment="0" applyProtection="0">
      <alignment horizontal="left" vertical="center"/>
    </xf>
    <xf numFmtId="0" fontId="70" fillId="0" borderId="15" applyNumberFormat="0" applyAlignment="0" applyProtection="0">
      <alignment horizontal="left" vertical="center"/>
    </xf>
    <xf numFmtId="183" fontId="70" fillId="0" borderId="15" applyNumberFormat="0" applyAlignment="0" applyProtection="0">
      <alignment horizontal="left" vertical="center"/>
    </xf>
    <xf numFmtId="184" fontId="70" fillId="0" borderId="15" applyNumberFormat="0" applyAlignment="0" applyProtection="0">
      <alignment horizontal="left" vertical="center"/>
    </xf>
    <xf numFmtId="185" fontId="70" fillId="0" borderId="15" applyNumberFormat="0" applyAlignment="0" applyProtection="0">
      <alignment horizontal="left" vertical="center"/>
    </xf>
    <xf numFmtId="183" fontId="70" fillId="0" borderId="15" applyNumberFormat="0" applyAlignment="0" applyProtection="0">
      <alignment horizontal="left" vertical="center"/>
    </xf>
    <xf numFmtId="184" fontId="70" fillId="0" borderId="15" applyNumberFormat="0" applyAlignment="0" applyProtection="0">
      <alignment horizontal="left" vertical="center"/>
    </xf>
    <xf numFmtId="184" fontId="70" fillId="0" borderId="15" applyNumberFormat="0" applyAlignment="0" applyProtection="0">
      <alignment horizontal="left" vertical="center"/>
    </xf>
    <xf numFmtId="184" fontId="70" fillId="0" borderId="15" applyNumberFormat="0" applyAlignment="0" applyProtection="0">
      <alignment horizontal="left" vertical="center"/>
    </xf>
    <xf numFmtId="185" fontId="70" fillId="0" borderId="15" applyNumberFormat="0" applyAlignment="0" applyProtection="0">
      <alignment horizontal="left" vertical="center"/>
    </xf>
    <xf numFmtId="183" fontId="70" fillId="0" borderId="15" applyNumberFormat="0" applyAlignment="0" applyProtection="0">
      <alignment horizontal="left" vertical="center"/>
    </xf>
    <xf numFmtId="184" fontId="70" fillId="0" borderId="15" applyNumberFormat="0" applyAlignment="0" applyProtection="0">
      <alignment horizontal="left" vertical="center"/>
    </xf>
    <xf numFmtId="184" fontId="70" fillId="0" borderId="15" applyNumberFormat="0" applyAlignment="0" applyProtection="0">
      <alignment horizontal="left" vertical="center"/>
    </xf>
    <xf numFmtId="183" fontId="70" fillId="0" borderId="15" applyNumberFormat="0" applyAlignment="0" applyProtection="0">
      <alignment horizontal="left" vertical="center"/>
    </xf>
    <xf numFmtId="184" fontId="70" fillId="0" borderId="15" applyNumberFormat="0" applyAlignment="0" applyProtection="0">
      <alignment horizontal="left" vertical="center"/>
    </xf>
    <xf numFmtId="187" fontId="70" fillId="0" borderId="15" applyNumberFormat="0" applyAlignment="0" applyProtection="0">
      <alignment horizontal="left" vertical="center"/>
    </xf>
    <xf numFmtId="184" fontId="70" fillId="0" borderId="15" applyNumberFormat="0" applyAlignment="0" applyProtection="0">
      <alignment horizontal="left" vertical="center"/>
    </xf>
    <xf numFmtId="184" fontId="70" fillId="0" borderId="15" applyNumberFormat="0" applyAlignment="0" applyProtection="0">
      <alignment horizontal="left" vertical="center"/>
    </xf>
    <xf numFmtId="0" fontId="70" fillId="0" borderId="9">
      <alignment horizontal="left" vertical="center"/>
    </xf>
    <xf numFmtId="0"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117" fillId="0" borderId="31" applyNumberFormat="0" applyFill="0" applyAlignment="0" applyProtection="0"/>
    <xf numFmtId="0" fontId="117" fillId="0" borderId="31" applyNumberFormat="0" applyFill="0" applyAlignment="0" applyProtection="0"/>
    <xf numFmtId="184" fontId="117" fillId="0" borderId="31" applyNumberFormat="0" applyFill="0" applyAlignment="0" applyProtection="0"/>
    <xf numFmtId="184" fontId="117" fillId="0" borderId="31" applyNumberFormat="0" applyFill="0" applyAlignment="0" applyProtection="0"/>
    <xf numFmtId="182" fontId="118" fillId="0" borderId="32" applyNumberFormat="0" applyFill="0" applyAlignment="0" applyProtection="0"/>
    <xf numFmtId="0" fontId="76" fillId="0" borderId="17" applyNumberFormat="0" applyFill="0" applyAlignment="0" applyProtection="0"/>
    <xf numFmtId="183" fontId="76" fillId="0" borderId="17" applyNumberFormat="0" applyFill="0" applyAlignment="0" applyProtection="0"/>
    <xf numFmtId="184" fontId="76" fillId="0" borderId="17" applyNumberFormat="0" applyFill="0" applyAlignment="0" applyProtection="0"/>
    <xf numFmtId="185" fontId="76" fillId="0" borderId="17" applyNumberFormat="0" applyFill="0" applyAlignment="0" applyProtection="0"/>
    <xf numFmtId="183" fontId="76" fillId="0" borderId="17" applyNumberFormat="0" applyFill="0" applyAlignment="0" applyProtection="0"/>
    <xf numFmtId="184" fontId="76" fillId="0" borderId="17" applyNumberFormat="0" applyFill="0" applyAlignment="0" applyProtection="0"/>
    <xf numFmtId="184" fontId="76" fillId="0" borderId="17" applyNumberFormat="0" applyFill="0" applyAlignment="0" applyProtection="0"/>
    <xf numFmtId="184" fontId="76" fillId="0" borderId="17" applyNumberFormat="0" applyFill="0" applyAlignment="0" applyProtection="0"/>
    <xf numFmtId="0" fontId="118" fillId="0" borderId="32" applyNumberFormat="0" applyFill="0" applyAlignment="0" applyProtection="0"/>
    <xf numFmtId="183" fontId="118" fillId="0" borderId="32" applyNumberFormat="0" applyFill="0" applyAlignment="0" applyProtection="0"/>
    <xf numFmtId="184" fontId="118" fillId="0" borderId="32" applyNumberFormat="0" applyFill="0" applyAlignment="0" applyProtection="0"/>
    <xf numFmtId="185" fontId="118" fillId="0" borderId="32" applyNumberFormat="0" applyFill="0" applyAlignment="0" applyProtection="0"/>
    <xf numFmtId="183" fontId="118" fillId="0" borderId="32" applyNumberFormat="0" applyFill="0" applyAlignment="0" applyProtection="0"/>
    <xf numFmtId="184" fontId="118" fillId="0" borderId="32" applyNumberFormat="0" applyFill="0" applyAlignment="0" applyProtection="0"/>
    <xf numFmtId="184" fontId="118" fillId="0" borderId="32" applyNumberFormat="0" applyFill="0" applyAlignment="0" applyProtection="0"/>
    <xf numFmtId="184" fontId="118" fillId="0" borderId="32" applyNumberFormat="0" applyFill="0" applyAlignment="0" applyProtection="0"/>
    <xf numFmtId="185" fontId="118" fillId="0" borderId="32" applyNumberFormat="0" applyFill="0" applyAlignment="0" applyProtection="0"/>
    <xf numFmtId="183" fontId="118" fillId="0" borderId="32" applyNumberFormat="0" applyFill="0" applyAlignment="0" applyProtection="0"/>
    <xf numFmtId="184" fontId="118" fillId="0" borderId="32" applyNumberFormat="0" applyFill="0" applyAlignment="0" applyProtection="0"/>
    <xf numFmtId="184" fontId="118" fillId="0" borderId="32" applyNumberFormat="0" applyFill="0" applyAlignment="0" applyProtection="0"/>
    <xf numFmtId="0" fontId="118" fillId="0" borderId="32" applyNumberFormat="0" applyFill="0" applyAlignment="0" applyProtection="0"/>
    <xf numFmtId="183" fontId="118" fillId="0" borderId="32" applyNumberFormat="0" applyFill="0" applyAlignment="0" applyProtection="0"/>
    <xf numFmtId="184" fontId="118" fillId="0" borderId="32" applyNumberFormat="0" applyFill="0" applyAlignment="0" applyProtection="0"/>
    <xf numFmtId="185" fontId="118" fillId="0" borderId="32" applyNumberFormat="0" applyFill="0" applyAlignment="0" applyProtection="0"/>
    <xf numFmtId="183" fontId="118" fillId="0" borderId="32" applyNumberFormat="0" applyFill="0" applyAlignment="0" applyProtection="0"/>
    <xf numFmtId="184" fontId="118" fillId="0" borderId="32" applyNumberFormat="0" applyFill="0" applyAlignment="0" applyProtection="0"/>
    <xf numFmtId="184" fontId="118" fillId="0" borderId="32" applyNumberFormat="0" applyFill="0" applyAlignment="0" applyProtection="0"/>
    <xf numFmtId="184" fontId="118" fillId="0" borderId="32" applyNumberFormat="0" applyFill="0" applyAlignment="0" applyProtection="0"/>
    <xf numFmtId="183" fontId="118" fillId="0" borderId="32" applyNumberFormat="0" applyFill="0" applyAlignment="0" applyProtection="0"/>
    <xf numFmtId="184" fontId="118" fillId="0" borderId="32" applyNumberFormat="0" applyFill="0" applyAlignment="0" applyProtection="0"/>
    <xf numFmtId="183" fontId="117" fillId="0" borderId="31" applyNumberFormat="0" applyFill="0" applyAlignment="0" applyProtection="0"/>
    <xf numFmtId="184" fontId="117" fillId="0" borderId="31" applyNumberFormat="0" applyFill="0" applyAlignment="0" applyProtection="0"/>
    <xf numFmtId="185" fontId="117" fillId="0" borderId="31" applyNumberFormat="0" applyFill="0" applyAlignment="0" applyProtection="0"/>
    <xf numFmtId="183" fontId="117" fillId="0" borderId="31" applyNumberFormat="0" applyFill="0" applyAlignment="0" applyProtection="0"/>
    <xf numFmtId="184" fontId="117" fillId="0" borderId="31" applyNumberFormat="0" applyFill="0" applyAlignment="0" applyProtection="0"/>
    <xf numFmtId="184" fontId="117" fillId="0" borderId="31" applyNumberFormat="0" applyFill="0" applyAlignment="0" applyProtection="0"/>
    <xf numFmtId="187" fontId="118" fillId="0" borderId="32" applyNumberFormat="0" applyFill="0" applyAlignment="0" applyProtection="0"/>
    <xf numFmtId="0" fontId="117" fillId="0" borderId="31" applyNumberFormat="0" applyFill="0" applyAlignment="0" applyProtection="0"/>
    <xf numFmtId="184" fontId="117" fillId="0" borderId="31" applyNumberFormat="0" applyFill="0" applyAlignment="0" applyProtection="0"/>
    <xf numFmtId="184" fontId="118" fillId="0" borderId="32" applyNumberFormat="0" applyFill="0" applyAlignment="0" applyProtection="0"/>
    <xf numFmtId="0" fontId="117" fillId="0" borderId="31" applyNumberFormat="0" applyFill="0" applyAlignment="0" applyProtection="0"/>
    <xf numFmtId="183" fontId="118" fillId="0" borderId="32" applyNumberFormat="0" applyFill="0" applyAlignment="0" applyProtection="0"/>
    <xf numFmtId="184" fontId="118" fillId="0" borderId="32" applyNumberFormat="0" applyFill="0" applyAlignment="0" applyProtection="0"/>
    <xf numFmtId="183" fontId="76" fillId="0" borderId="17" applyNumberFormat="0" applyFill="0" applyAlignment="0" applyProtection="0"/>
    <xf numFmtId="184" fontId="76" fillId="0" borderId="17" applyNumberFormat="0" applyFill="0" applyAlignment="0" applyProtection="0"/>
    <xf numFmtId="185" fontId="76" fillId="0" borderId="17" applyNumberFormat="0" applyFill="0" applyAlignment="0" applyProtection="0"/>
    <xf numFmtId="183" fontId="76" fillId="0" borderId="17" applyNumberFormat="0" applyFill="0" applyAlignment="0" applyProtection="0"/>
    <xf numFmtId="184" fontId="76" fillId="0" borderId="17" applyNumberFormat="0" applyFill="0" applyAlignment="0" applyProtection="0"/>
    <xf numFmtId="184" fontId="76" fillId="0" borderId="17" applyNumberFormat="0" applyFill="0" applyAlignment="0" applyProtection="0"/>
    <xf numFmtId="184" fontId="76" fillId="0" borderId="17" applyNumberFormat="0" applyFill="0" applyAlignment="0" applyProtection="0"/>
    <xf numFmtId="0" fontId="117" fillId="0" borderId="31" applyNumberFormat="0" applyFill="0" applyAlignment="0" applyProtection="0"/>
    <xf numFmtId="183" fontId="76" fillId="0" borderId="17" applyNumberFormat="0" applyFill="0" applyAlignment="0" applyProtection="0"/>
    <xf numFmtId="184" fontId="76" fillId="0" borderId="17" applyNumberFormat="0" applyFill="0" applyAlignment="0" applyProtection="0"/>
    <xf numFmtId="185" fontId="76" fillId="0" borderId="17" applyNumberFormat="0" applyFill="0" applyAlignment="0" applyProtection="0"/>
    <xf numFmtId="183" fontId="76" fillId="0" borderId="17" applyNumberFormat="0" applyFill="0" applyAlignment="0" applyProtection="0"/>
    <xf numFmtId="184" fontId="76" fillId="0" borderId="17" applyNumberFormat="0" applyFill="0" applyAlignment="0" applyProtection="0"/>
    <xf numFmtId="184" fontId="76" fillId="0" borderId="17" applyNumberFormat="0" applyFill="0" applyAlignment="0" applyProtection="0"/>
    <xf numFmtId="184" fontId="76" fillId="0" borderId="17" applyNumberFormat="0" applyFill="0" applyAlignment="0" applyProtection="0"/>
    <xf numFmtId="0" fontId="117" fillId="0" borderId="31" applyNumberFormat="0" applyFill="0" applyAlignment="0" applyProtection="0"/>
    <xf numFmtId="183" fontId="117" fillId="0" borderId="31" applyNumberFormat="0" applyFill="0" applyAlignment="0" applyProtection="0"/>
    <xf numFmtId="184" fontId="117" fillId="0" borderId="31" applyNumberFormat="0" applyFill="0" applyAlignment="0" applyProtection="0"/>
    <xf numFmtId="185" fontId="117" fillId="0" borderId="31" applyNumberFormat="0" applyFill="0" applyAlignment="0" applyProtection="0"/>
    <xf numFmtId="183" fontId="117" fillId="0" borderId="31" applyNumberFormat="0" applyFill="0" applyAlignment="0" applyProtection="0"/>
    <xf numFmtId="184" fontId="117" fillId="0" borderId="31" applyNumberFormat="0" applyFill="0" applyAlignment="0" applyProtection="0"/>
    <xf numFmtId="184" fontId="117" fillId="0" borderId="31" applyNumberFormat="0" applyFill="0" applyAlignment="0" applyProtection="0"/>
    <xf numFmtId="184" fontId="117" fillId="0" borderId="31" applyNumberFormat="0" applyFill="0" applyAlignment="0" applyProtection="0"/>
    <xf numFmtId="185" fontId="118" fillId="0" borderId="32" applyNumberFormat="0" applyFill="0" applyAlignment="0" applyProtection="0"/>
    <xf numFmtId="183" fontId="118" fillId="0" borderId="32" applyNumberFormat="0" applyFill="0" applyAlignment="0" applyProtection="0"/>
    <xf numFmtId="184" fontId="118" fillId="0" borderId="32" applyNumberFormat="0" applyFill="0" applyAlignment="0" applyProtection="0"/>
    <xf numFmtId="184" fontId="118" fillId="0" borderId="32" applyNumberFormat="0" applyFill="0" applyAlignment="0" applyProtection="0"/>
    <xf numFmtId="0" fontId="76" fillId="0" borderId="17" applyNumberFormat="0" applyFill="0" applyAlignment="0" applyProtection="0"/>
    <xf numFmtId="184" fontId="76" fillId="0" borderId="17" applyNumberFormat="0" applyFill="0" applyAlignment="0" applyProtection="0"/>
    <xf numFmtId="184" fontId="76" fillId="0" borderId="17" applyNumberFormat="0" applyFill="0" applyAlignment="0" applyProtection="0"/>
    <xf numFmtId="182" fontId="76" fillId="0" borderId="17"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184" fontId="119" fillId="0" borderId="33" applyNumberFormat="0" applyFill="0" applyAlignment="0" applyProtection="0"/>
    <xf numFmtId="184" fontId="119" fillId="0" borderId="33" applyNumberFormat="0" applyFill="0" applyAlignment="0" applyProtection="0"/>
    <xf numFmtId="182" fontId="120" fillId="0" borderId="34" applyNumberFormat="0" applyFill="0" applyAlignment="0" applyProtection="0"/>
    <xf numFmtId="0" fontId="77" fillId="0" borderId="18" applyNumberFormat="0" applyFill="0" applyAlignment="0" applyProtection="0"/>
    <xf numFmtId="183" fontId="77" fillId="0" borderId="18" applyNumberFormat="0" applyFill="0" applyAlignment="0" applyProtection="0"/>
    <xf numFmtId="184" fontId="77" fillId="0" borderId="18" applyNumberFormat="0" applyFill="0" applyAlignment="0" applyProtection="0"/>
    <xf numFmtId="185" fontId="77" fillId="0" borderId="18" applyNumberFormat="0" applyFill="0" applyAlignment="0" applyProtection="0"/>
    <xf numFmtId="183" fontId="77" fillId="0" borderId="18" applyNumberFormat="0" applyFill="0" applyAlignment="0" applyProtection="0"/>
    <xf numFmtId="184" fontId="77" fillId="0" borderId="18" applyNumberFormat="0" applyFill="0" applyAlignment="0" applyProtection="0"/>
    <xf numFmtId="184" fontId="77" fillId="0" borderId="18" applyNumberFormat="0" applyFill="0" applyAlignment="0" applyProtection="0"/>
    <xf numFmtId="184" fontId="77" fillId="0" borderId="18" applyNumberFormat="0" applyFill="0" applyAlignment="0" applyProtection="0"/>
    <xf numFmtId="0" fontId="120" fillId="0" borderId="33" applyNumberFormat="0" applyFill="0" applyAlignment="0" applyProtection="0"/>
    <xf numFmtId="183" fontId="120" fillId="0" borderId="33" applyNumberFormat="0" applyFill="0" applyAlignment="0" applyProtection="0"/>
    <xf numFmtId="184" fontId="120" fillId="0" borderId="33" applyNumberFormat="0" applyFill="0" applyAlignment="0" applyProtection="0"/>
    <xf numFmtId="185" fontId="120" fillId="0" borderId="33" applyNumberFormat="0" applyFill="0" applyAlignment="0" applyProtection="0"/>
    <xf numFmtId="183" fontId="120" fillId="0" borderId="33" applyNumberFormat="0" applyFill="0" applyAlignment="0" applyProtection="0"/>
    <xf numFmtId="184" fontId="120" fillId="0" borderId="33" applyNumberFormat="0" applyFill="0" applyAlignment="0" applyProtection="0"/>
    <xf numFmtId="184" fontId="120" fillId="0" borderId="33" applyNumberFormat="0" applyFill="0" applyAlignment="0" applyProtection="0"/>
    <xf numFmtId="184" fontId="120" fillId="0" borderId="33" applyNumberFormat="0" applyFill="0" applyAlignment="0" applyProtection="0"/>
    <xf numFmtId="185" fontId="120" fillId="0" borderId="33" applyNumberFormat="0" applyFill="0" applyAlignment="0" applyProtection="0"/>
    <xf numFmtId="183" fontId="120" fillId="0" borderId="33" applyNumberFormat="0" applyFill="0" applyAlignment="0" applyProtection="0"/>
    <xf numFmtId="184" fontId="120" fillId="0" borderId="33" applyNumberFormat="0" applyFill="0" applyAlignment="0" applyProtection="0"/>
    <xf numFmtId="184" fontId="120" fillId="0" borderId="33" applyNumberFormat="0" applyFill="0" applyAlignment="0" applyProtection="0"/>
    <xf numFmtId="0" fontId="120" fillId="0" borderId="33" applyNumberFormat="0" applyFill="0" applyAlignment="0" applyProtection="0"/>
    <xf numFmtId="183" fontId="120" fillId="0" borderId="33" applyNumberFormat="0" applyFill="0" applyAlignment="0" applyProtection="0"/>
    <xf numFmtId="184" fontId="120" fillId="0" borderId="33" applyNumberFormat="0" applyFill="0" applyAlignment="0" applyProtection="0"/>
    <xf numFmtId="185" fontId="120" fillId="0" borderId="33" applyNumberFormat="0" applyFill="0" applyAlignment="0" applyProtection="0"/>
    <xf numFmtId="183" fontId="120" fillId="0" borderId="33" applyNumberFormat="0" applyFill="0" applyAlignment="0" applyProtection="0"/>
    <xf numFmtId="184" fontId="120" fillId="0" borderId="33" applyNumberFormat="0" applyFill="0" applyAlignment="0" applyProtection="0"/>
    <xf numFmtId="184" fontId="120" fillId="0" borderId="33" applyNumberFormat="0" applyFill="0" applyAlignment="0" applyProtection="0"/>
    <xf numFmtId="184" fontId="120" fillId="0" borderId="33" applyNumberFormat="0" applyFill="0" applyAlignment="0" applyProtection="0"/>
    <xf numFmtId="0" fontId="120" fillId="0" borderId="34" applyNumberFormat="0" applyFill="0" applyAlignment="0" applyProtection="0"/>
    <xf numFmtId="183" fontId="120" fillId="0" borderId="33" applyNumberFormat="0" applyFill="0" applyAlignment="0" applyProtection="0"/>
    <xf numFmtId="184" fontId="120" fillId="0" borderId="33" applyNumberFormat="0" applyFill="0" applyAlignment="0" applyProtection="0"/>
    <xf numFmtId="183" fontId="120" fillId="0" borderId="34" applyNumberFormat="0" applyFill="0" applyAlignment="0" applyProtection="0"/>
    <xf numFmtId="184" fontId="120" fillId="0" borderId="34" applyNumberFormat="0" applyFill="0" applyAlignment="0" applyProtection="0"/>
    <xf numFmtId="184" fontId="120" fillId="0" borderId="34" applyNumberFormat="0" applyFill="0" applyAlignment="0" applyProtection="0"/>
    <xf numFmtId="183" fontId="119" fillId="0" borderId="33" applyNumberFormat="0" applyFill="0" applyAlignment="0" applyProtection="0"/>
    <xf numFmtId="184" fontId="119" fillId="0" borderId="33" applyNumberFormat="0" applyFill="0" applyAlignment="0" applyProtection="0"/>
    <xf numFmtId="185" fontId="119" fillId="0" borderId="33" applyNumberFormat="0" applyFill="0" applyAlignment="0" applyProtection="0"/>
    <xf numFmtId="183" fontId="119" fillId="0" borderId="33" applyNumberFormat="0" applyFill="0" applyAlignment="0" applyProtection="0"/>
    <xf numFmtId="184" fontId="119" fillId="0" borderId="33" applyNumberFormat="0" applyFill="0" applyAlignment="0" applyProtection="0"/>
    <xf numFmtId="184" fontId="119" fillId="0" borderId="33" applyNumberFormat="0" applyFill="0" applyAlignment="0" applyProtection="0"/>
    <xf numFmtId="187" fontId="120" fillId="0" borderId="33" applyNumberFormat="0" applyFill="0" applyAlignment="0" applyProtection="0"/>
    <xf numFmtId="0" fontId="119" fillId="0" borderId="33" applyNumberFormat="0" applyFill="0" applyAlignment="0" applyProtection="0"/>
    <xf numFmtId="184" fontId="119" fillId="0" borderId="33" applyNumberFormat="0" applyFill="0" applyAlignment="0" applyProtection="0"/>
    <xf numFmtId="184" fontId="120" fillId="0" borderId="33" applyNumberFormat="0" applyFill="0" applyAlignment="0" applyProtection="0"/>
    <xf numFmtId="0" fontId="119" fillId="0" borderId="33" applyNumberFormat="0" applyFill="0" applyAlignment="0" applyProtection="0"/>
    <xf numFmtId="183" fontId="120" fillId="0" borderId="33" applyNumberFormat="0" applyFill="0" applyAlignment="0" applyProtection="0"/>
    <xf numFmtId="184" fontId="120" fillId="0" borderId="33" applyNumberFormat="0" applyFill="0" applyAlignment="0" applyProtection="0"/>
    <xf numFmtId="183" fontId="77" fillId="0" borderId="18" applyNumberFormat="0" applyFill="0" applyAlignment="0" applyProtection="0"/>
    <xf numFmtId="184" fontId="77" fillId="0" borderId="18" applyNumberFormat="0" applyFill="0" applyAlignment="0" applyProtection="0"/>
    <xf numFmtId="185" fontId="77" fillId="0" borderId="18" applyNumberFormat="0" applyFill="0" applyAlignment="0" applyProtection="0"/>
    <xf numFmtId="183" fontId="77" fillId="0" borderId="18" applyNumberFormat="0" applyFill="0" applyAlignment="0" applyProtection="0"/>
    <xf numFmtId="184" fontId="77" fillId="0" borderId="18" applyNumberFormat="0" applyFill="0" applyAlignment="0" applyProtection="0"/>
    <xf numFmtId="184" fontId="77" fillId="0" borderId="18" applyNumberFormat="0" applyFill="0" applyAlignment="0" applyProtection="0"/>
    <xf numFmtId="184" fontId="77" fillId="0" borderId="18" applyNumberFormat="0" applyFill="0" applyAlignment="0" applyProtection="0"/>
    <xf numFmtId="0" fontId="119" fillId="0" borderId="33" applyNumberFormat="0" applyFill="0" applyAlignment="0" applyProtection="0"/>
    <xf numFmtId="183" fontId="77" fillId="0" borderId="18" applyNumberFormat="0" applyFill="0" applyAlignment="0" applyProtection="0"/>
    <xf numFmtId="184" fontId="77" fillId="0" borderId="18" applyNumberFormat="0" applyFill="0" applyAlignment="0" applyProtection="0"/>
    <xf numFmtId="185" fontId="77" fillId="0" borderId="18" applyNumberFormat="0" applyFill="0" applyAlignment="0" applyProtection="0"/>
    <xf numFmtId="183" fontId="77" fillId="0" borderId="18" applyNumberFormat="0" applyFill="0" applyAlignment="0" applyProtection="0"/>
    <xf numFmtId="184" fontId="77" fillId="0" borderId="18" applyNumberFormat="0" applyFill="0" applyAlignment="0" applyProtection="0"/>
    <xf numFmtId="184" fontId="77" fillId="0" borderId="18" applyNumberFormat="0" applyFill="0" applyAlignment="0" applyProtection="0"/>
    <xf numFmtId="184" fontId="77" fillId="0" borderId="18" applyNumberFormat="0" applyFill="0" applyAlignment="0" applyProtection="0"/>
    <xf numFmtId="0" fontId="119" fillId="0" borderId="33" applyNumberFormat="0" applyFill="0" applyAlignment="0" applyProtection="0"/>
    <xf numFmtId="183" fontId="119" fillId="0" borderId="33" applyNumberFormat="0" applyFill="0" applyAlignment="0" applyProtection="0"/>
    <xf numFmtId="184" fontId="119" fillId="0" borderId="33" applyNumberFormat="0" applyFill="0" applyAlignment="0" applyProtection="0"/>
    <xf numFmtId="185" fontId="119" fillId="0" borderId="33" applyNumberFormat="0" applyFill="0" applyAlignment="0" applyProtection="0"/>
    <xf numFmtId="183" fontId="119" fillId="0" borderId="33" applyNumberFormat="0" applyFill="0" applyAlignment="0" applyProtection="0"/>
    <xf numFmtId="184" fontId="119" fillId="0" borderId="33" applyNumberFormat="0" applyFill="0" applyAlignment="0" applyProtection="0"/>
    <xf numFmtId="184" fontId="119" fillId="0" borderId="33" applyNumberFormat="0" applyFill="0" applyAlignment="0" applyProtection="0"/>
    <xf numFmtId="184" fontId="119" fillId="0" borderId="33" applyNumberFormat="0" applyFill="0" applyAlignment="0" applyProtection="0"/>
    <xf numFmtId="185" fontId="120" fillId="0" borderId="33" applyNumberFormat="0" applyFill="0" applyAlignment="0" applyProtection="0"/>
    <xf numFmtId="183" fontId="120" fillId="0" borderId="33" applyNumberFormat="0" applyFill="0" applyAlignment="0" applyProtection="0"/>
    <xf numFmtId="184" fontId="120" fillId="0" borderId="33" applyNumberFormat="0" applyFill="0" applyAlignment="0" applyProtection="0"/>
    <xf numFmtId="184" fontId="120" fillId="0" borderId="33" applyNumberFormat="0" applyFill="0" applyAlignment="0" applyProtection="0"/>
    <xf numFmtId="0" fontId="77" fillId="0" borderId="18" applyNumberFormat="0" applyFill="0" applyAlignment="0" applyProtection="0"/>
    <xf numFmtId="184" fontId="77" fillId="0" borderId="18" applyNumberFormat="0" applyFill="0" applyAlignment="0" applyProtection="0"/>
    <xf numFmtId="184" fontId="77" fillId="0" borderId="18" applyNumberFormat="0" applyFill="0" applyAlignment="0" applyProtection="0"/>
    <xf numFmtId="182" fontId="77" fillId="0" borderId="18"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184" fontId="121" fillId="0" borderId="35" applyNumberFormat="0" applyFill="0" applyAlignment="0" applyProtection="0"/>
    <xf numFmtId="184" fontId="121" fillId="0" borderId="35" applyNumberFormat="0" applyFill="0" applyAlignment="0" applyProtection="0"/>
    <xf numFmtId="182" fontId="122" fillId="0" borderId="36" applyNumberFormat="0" applyFill="0" applyAlignment="0" applyProtection="0"/>
    <xf numFmtId="0" fontId="78" fillId="0" borderId="19" applyNumberFormat="0" applyFill="0" applyAlignment="0" applyProtection="0"/>
    <xf numFmtId="183" fontId="78" fillId="0" borderId="19" applyNumberFormat="0" applyFill="0" applyAlignment="0" applyProtection="0"/>
    <xf numFmtId="184" fontId="78" fillId="0" borderId="19" applyNumberFormat="0" applyFill="0" applyAlignment="0" applyProtection="0"/>
    <xf numFmtId="185" fontId="78" fillId="0" borderId="19" applyNumberFormat="0" applyFill="0" applyAlignment="0" applyProtection="0"/>
    <xf numFmtId="183" fontId="78" fillId="0" borderId="19" applyNumberFormat="0" applyFill="0" applyAlignment="0" applyProtection="0"/>
    <xf numFmtId="184" fontId="78" fillId="0" borderId="19" applyNumberFormat="0" applyFill="0" applyAlignment="0" applyProtection="0"/>
    <xf numFmtId="184" fontId="78" fillId="0" borderId="19" applyNumberFormat="0" applyFill="0" applyAlignment="0" applyProtection="0"/>
    <xf numFmtId="184" fontId="78" fillId="0" borderId="19" applyNumberFormat="0" applyFill="0" applyAlignment="0" applyProtection="0"/>
    <xf numFmtId="0" fontId="122" fillId="0" borderId="37" applyNumberFormat="0" applyFill="0" applyAlignment="0" applyProtection="0"/>
    <xf numFmtId="183" fontId="122" fillId="0" borderId="37" applyNumberFormat="0" applyFill="0" applyAlignment="0" applyProtection="0"/>
    <xf numFmtId="184" fontId="122" fillId="0" borderId="37" applyNumberFormat="0" applyFill="0" applyAlignment="0" applyProtection="0"/>
    <xf numFmtId="185" fontId="122" fillId="0" borderId="37" applyNumberFormat="0" applyFill="0" applyAlignment="0" applyProtection="0"/>
    <xf numFmtId="183" fontId="122" fillId="0" borderId="37" applyNumberFormat="0" applyFill="0" applyAlignment="0" applyProtection="0"/>
    <xf numFmtId="184" fontId="122" fillId="0" borderId="37" applyNumberFormat="0" applyFill="0" applyAlignment="0" applyProtection="0"/>
    <xf numFmtId="184" fontId="122" fillId="0" borderId="37" applyNumberFormat="0" applyFill="0" applyAlignment="0" applyProtection="0"/>
    <xf numFmtId="184" fontId="122" fillId="0" borderId="37" applyNumberFormat="0" applyFill="0" applyAlignment="0" applyProtection="0"/>
    <xf numFmtId="185" fontId="122" fillId="0" borderId="37" applyNumberFormat="0" applyFill="0" applyAlignment="0" applyProtection="0"/>
    <xf numFmtId="183" fontId="122" fillId="0" borderId="37" applyNumberFormat="0" applyFill="0" applyAlignment="0" applyProtection="0"/>
    <xf numFmtId="184" fontId="122" fillId="0" borderId="37" applyNumberFormat="0" applyFill="0" applyAlignment="0" applyProtection="0"/>
    <xf numFmtId="184" fontId="122" fillId="0" borderId="37" applyNumberFormat="0" applyFill="0" applyAlignment="0" applyProtection="0"/>
    <xf numFmtId="0" fontId="122" fillId="0" borderId="37" applyNumberFormat="0" applyFill="0" applyAlignment="0" applyProtection="0"/>
    <xf numFmtId="183" fontId="122" fillId="0" borderId="37" applyNumberFormat="0" applyFill="0" applyAlignment="0" applyProtection="0"/>
    <xf numFmtId="184" fontId="122" fillId="0" borderId="37" applyNumberFormat="0" applyFill="0" applyAlignment="0" applyProtection="0"/>
    <xf numFmtId="185" fontId="122" fillId="0" borderId="37" applyNumberFormat="0" applyFill="0" applyAlignment="0" applyProtection="0"/>
    <xf numFmtId="183" fontId="122" fillId="0" borderId="37" applyNumberFormat="0" applyFill="0" applyAlignment="0" applyProtection="0"/>
    <xf numFmtId="184" fontId="122" fillId="0" borderId="37" applyNumberFormat="0" applyFill="0" applyAlignment="0" applyProtection="0"/>
    <xf numFmtId="184" fontId="122" fillId="0" borderId="37" applyNumberFormat="0" applyFill="0" applyAlignment="0" applyProtection="0"/>
    <xf numFmtId="184" fontId="122" fillId="0" borderId="37" applyNumberFormat="0" applyFill="0" applyAlignment="0" applyProtection="0"/>
    <xf numFmtId="0" fontId="122" fillId="0" borderId="36" applyNumberFormat="0" applyFill="0" applyAlignment="0" applyProtection="0"/>
    <xf numFmtId="183" fontId="122" fillId="0" borderId="37" applyNumberFormat="0" applyFill="0" applyAlignment="0" applyProtection="0"/>
    <xf numFmtId="184" fontId="122" fillId="0" borderId="37" applyNumberFormat="0" applyFill="0" applyAlignment="0" applyProtection="0"/>
    <xf numFmtId="183" fontId="122" fillId="0" borderId="36" applyNumberFormat="0" applyFill="0" applyAlignment="0" applyProtection="0"/>
    <xf numFmtId="184" fontId="122" fillId="0" borderId="36" applyNumberFormat="0" applyFill="0" applyAlignment="0" applyProtection="0"/>
    <xf numFmtId="184" fontId="122" fillId="0" borderId="36" applyNumberFormat="0" applyFill="0" applyAlignment="0" applyProtection="0"/>
    <xf numFmtId="183" fontId="121" fillId="0" borderId="35" applyNumberFormat="0" applyFill="0" applyAlignment="0" applyProtection="0"/>
    <xf numFmtId="184" fontId="121" fillId="0" borderId="35" applyNumberFormat="0" applyFill="0" applyAlignment="0" applyProtection="0"/>
    <xf numFmtId="185" fontId="121" fillId="0" borderId="35" applyNumberFormat="0" applyFill="0" applyAlignment="0" applyProtection="0"/>
    <xf numFmtId="183" fontId="121" fillId="0" borderId="35" applyNumberFormat="0" applyFill="0" applyAlignment="0" applyProtection="0"/>
    <xf numFmtId="184" fontId="121" fillId="0" borderId="35" applyNumberFormat="0" applyFill="0" applyAlignment="0" applyProtection="0"/>
    <xf numFmtId="184" fontId="121" fillId="0" borderId="35" applyNumberFormat="0" applyFill="0" applyAlignment="0" applyProtection="0"/>
    <xf numFmtId="187" fontId="122" fillId="0" borderId="37" applyNumberFormat="0" applyFill="0" applyAlignment="0" applyProtection="0"/>
    <xf numFmtId="0" fontId="121" fillId="0" borderId="35" applyNumberFormat="0" applyFill="0" applyAlignment="0" applyProtection="0"/>
    <xf numFmtId="184" fontId="121" fillId="0" borderId="35" applyNumberFormat="0" applyFill="0" applyAlignment="0" applyProtection="0"/>
    <xf numFmtId="184" fontId="122" fillId="0" borderId="37" applyNumberFormat="0" applyFill="0" applyAlignment="0" applyProtection="0"/>
    <xf numFmtId="0" fontId="121" fillId="0" borderId="35" applyNumberFormat="0" applyFill="0" applyAlignment="0" applyProtection="0"/>
    <xf numFmtId="183" fontId="122" fillId="0" borderId="37" applyNumberFormat="0" applyFill="0" applyAlignment="0" applyProtection="0"/>
    <xf numFmtId="184" fontId="122" fillId="0" borderId="37" applyNumberFormat="0" applyFill="0" applyAlignment="0" applyProtection="0"/>
    <xf numFmtId="183" fontId="78" fillId="0" borderId="19" applyNumberFormat="0" applyFill="0" applyAlignment="0" applyProtection="0"/>
    <xf numFmtId="184" fontId="78" fillId="0" borderId="19" applyNumberFormat="0" applyFill="0" applyAlignment="0" applyProtection="0"/>
    <xf numFmtId="185" fontId="78" fillId="0" borderId="19" applyNumberFormat="0" applyFill="0" applyAlignment="0" applyProtection="0"/>
    <xf numFmtId="183" fontId="78" fillId="0" borderId="19" applyNumberFormat="0" applyFill="0" applyAlignment="0" applyProtection="0"/>
    <xf numFmtId="184" fontId="78" fillId="0" borderId="19" applyNumberFormat="0" applyFill="0" applyAlignment="0" applyProtection="0"/>
    <xf numFmtId="184" fontId="78" fillId="0" borderId="19" applyNumberFormat="0" applyFill="0" applyAlignment="0" applyProtection="0"/>
    <xf numFmtId="184" fontId="78" fillId="0" borderId="19" applyNumberFormat="0" applyFill="0" applyAlignment="0" applyProtection="0"/>
    <xf numFmtId="0" fontId="121" fillId="0" borderId="35" applyNumberFormat="0" applyFill="0" applyAlignment="0" applyProtection="0"/>
    <xf numFmtId="183" fontId="78" fillId="0" borderId="19" applyNumberFormat="0" applyFill="0" applyAlignment="0" applyProtection="0"/>
    <xf numFmtId="184" fontId="78" fillId="0" borderId="19" applyNumberFormat="0" applyFill="0" applyAlignment="0" applyProtection="0"/>
    <xf numFmtId="185" fontId="78" fillId="0" borderId="19" applyNumberFormat="0" applyFill="0" applyAlignment="0" applyProtection="0"/>
    <xf numFmtId="183" fontId="78" fillId="0" borderId="19" applyNumberFormat="0" applyFill="0" applyAlignment="0" applyProtection="0"/>
    <xf numFmtId="184" fontId="78" fillId="0" borderId="19" applyNumberFormat="0" applyFill="0" applyAlignment="0" applyProtection="0"/>
    <xf numFmtId="184" fontId="78" fillId="0" borderId="19" applyNumberFormat="0" applyFill="0" applyAlignment="0" applyProtection="0"/>
    <xf numFmtId="184" fontId="78" fillId="0" borderId="19" applyNumberFormat="0" applyFill="0" applyAlignment="0" applyProtection="0"/>
    <xf numFmtId="0" fontId="121" fillId="0" borderId="35" applyNumberFormat="0" applyFill="0" applyAlignment="0" applyProtection="0"/>
    <xf numFmtId="183" fontId="121" fillId="0" borderId="35" applyNumberFormat="0" applyFill="0" applyAlignment="0" applyProtection="0"/>
    <xf numFmtId="184" fontId="121" fillId="0" borderId="35" applyNumberFormat="0" applyFill="0" applyAlignment="0" applyProtection="0"/>
    <xf numFmtId="185" fontId="121" fillId="0" borderId="35" applyNumberFormat="0" applyFill="0" applyAlignment="0" applyProtection="0"/>
    <xf numFmtId="183" fontId="121" fillId="0" borderId="35" applyNumberFormat="0" applyFill="0" applyAlignment="0" applyProtection="0"/>
    <xf numFmtId="184" fontId="121" fillId="0" borderId="35" applyNumberFormat="0" applyFill="0" applyAlignment="0" applyProtection="0"/>
    <xf numFmtId="184" fontId="121" fillId="0" borderId="35" applyNumberFormat="0" applyFill="0" applyAlignment="0" applyProtection="0"/>
    <xf numFmtId="184" fontId="121" fillId="0" borderId="35" applyNumberFormat="0" applyFill="0" applyAlignment="0" applyProtection="0"/>
    <xf numFmtId="185" fontId="122" fillId="0" borderId="37" applyNumberFormat="0" applyFill="0" applyAlignment="0" applyProtection="0"/>
    <xf numFmtId="183" fontId="122" fillId="0" borderId="37" applyNumberFormat="0" applyFill="0" applyAlignment="0" applyProtection="0"/>
    <xf numFmtId="184" fontId="122" fillId="0" borderId="37" applyNumberFormat="0" applyFill="0" applyAlignment="0" applyProtection="0"/>
    <xf numFmtId="184" fontId="122" fillId="0" borderId="37" applyNumberFormat="0" applyFill="0" applyAlignment="0" applyProtection="0"/>
    <xf numFmtId="0" fontId="78" fillId="0" borderId="19" applyNumberFormat="0" applyFill="0" applyAlignment="0" applyProtection="0"/>
    <xf numFmtId="184" fontId="78" fillId="0" borderId="19" applyNumberFormat="0" applyFill="0" applyAlignment="0" applyProtection="0"/>
    <xf numFmtId="184" fontId="78" fillId="0" borderId="19" applyNumberFormat="0" applyFill="0" applyAlignment="0" applyProtection="0"/>
    <xf numFmtId="182" fontId="78" fillId="0" borderId="19"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2" fontId="122" fillId="0" borderId="0" applyNumberFormat="0" applyFill="0" applyBorder="0" applyAlignment="0" applyProtection="0"/>
    <xf numFmtId="0"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7" fontId="122"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2" fillId="0" borderId="0" applyNumberFormat="0" applyFill="0" applyBorder="0" applyAlignment="0" applyProtection="0"/>
    <xf numFmtId="0" fontId="121"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2" fontId="78" fillId="0" borderId="0" applyNumberFormat="0" applyFill="0" applyBorder="0" applyAlignment="0" applyProtection="0"/>
    <xf numFmtId="197" fontId="24" fillId="0" borderId="0">
      <protection locked="0"/>
    </xf>
    <xf numFmtId="197" fontId="24" fillId="0" borderId="0">
      <protection locked="0"/>
    </xf>
    <xf numFmtId="197" fontId="24" fillId="0" borderId="0">
      <protection locked="0"/>
    </xf>
    <xf numFmtId="197" fontId="24" fillId="0" borderId="0">
      <protection locked="0"/>
    </xf>
    <xf numFmtId="197" fontId="24" fillId="0" borderId="0">
      <protection locked="0"/>
    </xf>
    <xf numFmtId="197" fontId="24" fillId="0" borderId="0">
      <protection locked="0"/>
    </xf>
    <xf numFmtId="197" fontId="24" fillId="0" borderId="0">
      <protection locked="0"/>
    </xf>
    <xf numFmtId="197" fontId="24" fillId="0" borderId="0">
      <protection locked="0"/>
    </xf>
    <xf numFmtId="0" fontId="123" fillId="0" borderId="38">
      <alignment horizontal="center"/>
    </xf>
    <xf numFmtId="0" fontId="123" fillId="0" borderId="38">
      <alignment horizontal="center"/>
    </xf>
    <xf numFmtId="183" fontId="123" fillId="0" borderId="38">
      <alignment horizontal="center"/>
    </xf>
    <xf numFmtId="184" fontId="123" fillId="0" borderId="38">
      <alignment horizontal="center"/>
    </xf>
    <xf numFmtId="185" fontId="123" fillId="0" borderId="38">
      <alignment horizontal="center"/>
    </xf>
    <xf numFmtId="183" fontId="123" fillId="0" borderId="38">
      <alignment horizontal="center"/>
    </xf>
    <xf numFmtId="184" fontId="123" fillId="0" borderId="38">
      <alignment horizontal="center"/>
    </xf>
    <xf numFmtId="184" fontId="123" fillId="0" borderId="38">
      <alignment horizontal="center"/>
    </xf>
    <xf numFmtId="184" fontId="123" fillId="0" borderId="38">
      <alignment horizontal="center"/>
    </xf>
    <xf numFmtId="185" fontId="123" fillId="0" borderId="38">
      <alignment horizontal="center"/>
    </xf>
    <xf numFmtId="183" fontId="123" fillId="0" borderId="38">
      <alignment horizontal="center"/>
    </xf>
    <xf numFmtId="184" fontId="123" fillId="0" borderId="38">
      <alignment horizontal="center"/>
    </xf>
    <xf numFmtId="184" fontId="123" fillId="0" borderId="38">
      <alignment horizontal="center"/>
    </xf>
    <xf numFmtId="185" fontId="123" fillId="0" borderId="38">
      <alignment horizontal="center"/>
    </xf>
    <xf numFmtId="183" fontId="123" fillId="0" borderId="38">
      <alignment horizontal="center"/>
    </xf>
    <xf numFmtId="184" fontId="123" fillId="0" borderId="38">
      <alignment horizontal="center"/>
    </xf>
    <xf numFmtId="184" fontId="123" fillId="0" borderId="38">
      <alignment horizontal="center"/>
    </xf>
    <xf numFmtId="183" fontId="123" fillId="0" borderId="38">
      <alignment horizontal="center"/>
    </xf>
    <xf numFmtId="184" fontId="123" fillId="0" borderId="38">
      <alignment horizontal="center"/>
    </xf>
    <xf numFmtId="187" fontId="123" fillId="0" borderId="38">
      <alignment horizontal="center"/>
    </xf>
    <xf numFmtId="184" fontId="123" fillId="0" borderId="38">
      <alignment horizontal="center"/>
    </xf>
    <xf numFmtId="184" fontId="123" fillId="0" borderId="38">
      <alignment horizontal="center"/>
    </xf>
    <xf numFmtId="0" fontId="123" fillId="0" borderId="0">
      <alignment horizontal="center"/>
    </xf>
    <xf numFmtId="0" fontId="123" fillId="0" borderId="0">
      <alignment horizontal="center"/>
    </xf>
    <xf numFmtId="183"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3" fontId="123" fillId="0" borderId="0">
      <alignment horizontal="center"/>
    </xf>
    <xf numFmtId="184" fontId="123" fillId="0" borderId="0">
      <alignment horizontal="center"/>
    </xf>
    <xf numFmtId="187" fontId="123" fillId="0" borderId="0">
      <alignment horizontal="center"/>
    </xf>
    <xf numFmtId="184" fontId="123" fillId="0" borderId="0">
      <alignment horizontal="center"/>
    </xf>
    <xf numFmtId="184" fontId="123" fillId="0" borderId="0">
      <alignment horizontal="center"/>
    </xf>
    <xf numFmtId="0" fontId="111" fillId="0" borderId="0" applyProtection="0">
      <alignment horizontal="right"/>
    </xf>
    <xf numFmtId="0" fontId="111" fillId="0" borderId="0" applyProtection="0">
      <alignment horizontal="right"/>
    </xf>
    <xf numFmtId="183"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3" fontId="111" fillId="0" borderId="0" applyProtection="0">
      <alignment horizontal="right"/>
    </xf>
    <xf numFmtId="184" fontId="111" fillId="0" borderId="0" applyProtection="0">
      <alignment horizontal="right"/>
    </xf>
    <xf numFmtId="187" fontId="111" fillId="0" borderId="0" applyProtection="0">
      <alignment horizontal="right"/>
    </xf>
    <xf numFmtId="184" fontId="111" fillId="0" borderId="0" applyProtection="0">
      <alignment horizontal="right"/>
    </xf>
    <xf numFmtId="184" fontId="111" fillId="0" borderId="0" applyProtection="0">
      <alignment horizontal="right"/>
    </xf>
    <xf numFmtId="198" fontId="24" fillId="0" borderId="0" applyFont="0" applyFill="0" applyBorder="0" applyAlignment="0" applyProtection="0"/>
    <xf numFmtId="198" fontId="24" fillId="0" borderId="0" applyFont="0" applyFill="0" applyBorder="0" applyAlignment="0" applyProtection="0"/>
    <xf numFmtId="0" fontId="124" fillId="0" borderId="39" applyNumberFormat="0" applyFill="0" applyAlignment="0" applyProtection="0"/>
    <xf numFmtId="185" fontId="124" fillId="0" borderId="39" applyNumberFormat="0" applyFill="0" applyAlignment="0" applyProtection="0"/>
    <xf numFmtId="0" fontId="124" fillId="0" borderId="39" applyNumberFormat="0" applyFill="0" applyAlignment="0" applyProtection="0"/>
    <xf numFmtId="183" fontId="124" fillId="0" borderId="39" applyNumberFormat="0" applyFill="0" applyAlignment="0" applyProtection="0"/>
    <xf numFmtId="184" fontId="124" fillId="0" borderId="39" applyNumberFormat="0" applyFill="0" applyAlignment="0" applyProtection="0"/>
    <xf numFmtId="185" fontId="124" fillId="0" borderId="39" applyNumberFormat="0" applyFill="0" applyAlignment="0" applyProtection="0"/>
    <xf numFmtId="183" fontId="124" fillId="0" borderId="39" applyNumberFormat="0" applyFill="0" applyAlignment="0" applyProtection="0"/>
    <xf numFmtId="184" fontId="124" fillId="0" borderId="39" applyNumberFormat="0" applyFill="0" applyAlignment="0" applyProtection="0"/>
    <xf numFmtId="184" fontId="124" fillId="0" borderId="39" applyNumberFormat="0" applyFill="0" applyAlignment="0" applyProtection="0"/>
    <xf numFmtId="184" fontId="124" fillId="0" borderId="39" applyNumberFormat="0" applyFill="0" applyAlignment="0" applyProtection="0"/>
    <xf numFmtId="183" fontId="124" fillId="0" borderId="39" applyNumberFormat="0" applyFill="0" applyAlignment="0" applyProtection="0"/>
    <xf numFmtId="184" fontId="124" fillId="0" borderId="39" applyNumberFormat="0" applyFill="0" applyAlignment="0" applyProtection="0"/>
    <xf numFmtId="184" fontId="124" fillId="0" borderId="39" applyNumberFormat="0" applyFill="0" applyAlignment="0" applyProtection="0"/>
    <xf numFmtId="183" fontId="124" fillId="0" borderId="39" applyNumberFormat="0" applyFill="0" applyAlignment="0" applyProtection="0"/>
    <xf numFmtId="184" fontId="124" fillId="0" borderId="39" applyNumberFormat="0" applyFill="0" applyAlignment="0" applyProtection="0"/>
    <xf numFmtId="187" fontId="124" fillId="0" borderId="39" applyNumberFormat="0" applyFill="0" applyAlignment="0" applyProtection="0"/>
    <xf numFmtId="184" fontId="124" fillId="0" borderId="39" applyNumberFormat="0" applyFill="0" applyAlignment="0" applyProtection="0"/>
    <xf numFmtId="184" fontId="124" fillId="0" borderId="39" applyNumberFormat="0" applyFill="0" applyAlignment="0" applyProtection="0"/>
    <xf numFmtId="183" fontId="125" fillId="0" borderId="0" applyFill="0" applyBorder="0" applyAlignment="0" applyProtection="0">
      <alignment horizontal="right"/>
    </xf>
    <xf numFmtId="184" fontId="125" fillId="0" borderId="0" applyFill="0" applyBorder="0" applyAlignment="0" applyProtection="0">
      <alignment horizontal="right"/>
    </xf>
    <xf numFmtId="10" fontId="26" fillId="102" borderId="3" applyNumberFormat="0" applyBorder="0" applyAlignment="0" applyProtection="0"/>
    <xf numFmtId="10" fontId="26" fillId="102" borderId="3" applyNumberFormat="0" applyBorder="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0" fontId="82" fillId="41" borderId="20" applyNumberFormat="0" applyAlignment="0" applyProtection="0"/>
    <xf numFmtId="184" fontId="82" fillId="41" borderId="20"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182" fontId="82" fillId="41" borderId="20"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0"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0" fontId="126" fillId="21" borderId="29" applyNumberFormat="0" applyAlignment="0" applyProtection="0"/>
    <xf numFmtId="184" fontId="126" fillId="21" borderId="29" applyNumberFormat="0" applyAlignment="0" applyProtection="0"/>
    <xf numFmtId="184" fontId="127" fillId="74" borderId="28" applyNumberFormat="0" applyAlignment="0" applyProtection="0"/>
    <xf numFmtId="182" fontId="126" fillId="21" borderId="29" applyNumberFormat="0" applyAlignment="0" applyProtection="0"/>
    <xf numFmtId="0" fontId="82" fillId="41" borderId="20" applyNumberFormat="0" applyAlignment="0" applyProtection="0"/>
    <xf numFmtId="183" fontId="82" fillId="41" borderId="20" applyNumberFormat="0" applyAlignment="0" applyProtection="0"/>
    <xf numFmtId="184" fontId="82" fillId="41" borderId="20" applyNumberFormat="0" applyAlignment="0" applyProtection="0"/>
    <xf numFmtId="185" fontId="82" fillId="41" borderId="20" applyNumberFormat="0" applyAlignment="0" applyProtection="0"/>
    <xf numFmtId="183" fontId="82" fillId="41" borderId="20" applyNumberFormat="0" applyAlignment="0" applyProtection="0"/>
    <xf numFmtId="184" fontId="82" fillId="41" borderId="20" applyNumberFormat="0" applyAlignment="0" applyProtection="0"/>
    <xf numFmtId="184" fontId="82" fillId="41" borderId="20" applyNumberFormat="0" applyAlignment="0" applyProtection="0"/>
    <xf numFmtId="184" fontId="82" fillId="41" borderId="20" applyNumberFormat="0" applyAlignment="0" applyProtection="0"/>
    <xf numFmtId="0"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82" fillId="41" borderId="20" applyNumberFormat="0" applyAlignment="0" applyProtection="0"/>
    <xf numFmtId="183" fontId="82" fillId="41" borderId="20" applyNumberFormat="0" applyAlignment="0" applyProtection="0"/>
    <xf numFmtId="184" fontId="82" fillId="41" borderId="20" applyNumberFormat="0" applyAlignment="0" applyProtection="0"/>
    <xf numFmtId="185" fontId="82" fillId="41" borderId="20" applyNumberFormat="0" applyAlignment="0" applyProtection="0"/>
    <xf numFmtId="183" fontId="82" fillId="41" borderId="20" applyNumberFormat="0" applyAlignment="0" applyProtection="0"/>
    <xf numFmtId="184" fontId="82" fillId="41" borderId="20" applyNumberFormat="0" applyAlignment="0" applyProtection="0"/>
    <xf numFmtId="184" fontId="82" fillId="41" borderId="20" applyNumberFormat="0" applyAlignment="0" applyProtection="0"/>
    <xf numFmtId="184" fontId="82" fillId="41" borderId="20" applyNumberFormat="0" applyAlignment="0" applyProtection="0"/>
    <xf numFmtId="0" fontId="126" fillId="21" borderId="29"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7" fontId="82" fillId="41" borderId="20" applyNumberFormat="0" applyAlignment="0" applyProtection="0"/>
    <xf numFmtId="0"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82" fillId="41" borderId="20"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7" fontId="126" fillId="21" borderId="28" applyNumberFormat="0" applyAlignment="0" applyProtection="0"/>
    <xf numFmtId="187"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82" fillId="41" borderId="20" applyNumberFormat="0" applyAlignment="0" applyProtection="0"/>
    <xf numFmtId="183" fontId="82" fillId="41" borderId="20" applyNumberFormat="0" applyAlignment="0" applyProtection="0"/>
    <xf numFmtId="184" fontId="82" fillId="41" borderId="20" applyNumberFormat="0" applyAlignment="0" applyProtection="0"/>
    <xf numFmtId="185" fontId="82" fillId="41" borderId="20" applyNumberFormat="0" applyAlignment="0" applyProtection="0"/>
    <xf numFmtId="183" fontId="82" fillId="41" borderId="20" applyNumberFormat="0" applyAlignment="0" applyProtection="0"/>
    <xf numFmtId="184" fontId="82" fillId="41" borderId="20" applyNumberFormat="0" applyAlignment="0" applyProtection="0"/>
    <xf numFmtId="184" fontId="82" fillId="41" borderId="20" applyNumberFormat="0" applyAlignment="0" applyProtection="0"/>
    <xf numFmtId="184" fontId="82" fillId="41" borderId="20" applyNumberFormat="0" applyAlignment="0" applyProtection="0"/>
    <xf numFmtId="0"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0" fontId="82" fillId="41" borderId="20" applyNumberFormat="0" applyAlignment="0" applyProtection="0"/>
    <xf numFmtId="183" fontId="82" fillId="41" borderId="20" applyNumberFormat="0" applyAlignment="0" applyProtection="0"/>
    <xf numFmtId="184" fontId="82" fillId="41" borderId="20" applyNumberFormat="0" applyAlignment="0" applyProtection="0"/>
    <xf numFmtId="185" fontId="82" fillId="41" borderId="20" applyNumberFormat="0" applyAlignment="0" applyProtection="0"/>
    <xf numFmtId="183" fontId="82" fillId="41" borderId="20" applyNumberFormat="0" applyAlignment="0" applyProtection="0"/>
    <xf numFmtId="184" fontId="82" fillId="41" borderId="20" applyNumberFormat="0" applyAlignment="0" applyProtection="0"/>
    <xf numFmtId="184" fontId="82" fillId="41" borderId="20" applyNumberFormat="0" applyAlignment="0" applyProtection="0"/>
    <xf numFmtId="184" fontId="82" fillId="41" borderId="20" applyNumberFormat="0" applyAlignment="0" applyProtection="0"/>
    <xf numFmtId="0"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7" fontId="126" fillId="21" borderId="28" applyNumberFormat="0" applyAlignment="0" applyProtection="0"/>
    <xf numFmtId="187"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6" fillId="21" borderId="28" applyNumberFormat="0" applyAlignment="0" applyProtection="0"/>
    <xf numFmtId="0"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6" fillId="21" borderId="28" applyNumberFormat="0" applyAlignment="0" applyProtection="0"/>
    <xf numFmtId="0"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6" fillId="21" borderId="28" applyNumberFormat="0" applyAlignment="0" applyProtection="0"/>
    <xf numFmtId="0"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3"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0" fontId="126" fillId="21" borderId="29" applyNumberFormat="0" applyAlignment="0" applyProtection="0"/>
    <xf numFmtId="184" fontId="126" fillId="21" borderId="29" applyNumberFormat="0" applyAlignment="0" applyProtection="0"/>
    <xf numFmtId="184" fontId="126" fillId="21" borderId="29"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3" fontId="126" fillId="21" borderId="28" applyNumberFormat="0" applyAlignment="0" applyProtection="0"/>
    <xf numFmtId="183"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185" fontId="126" fillId="21" borderId="28" applyNumberFormat="0" applyAlignment="0" applyProtection="0"/>
    <xf numFmtId="184" fontId="126" fillId="21" borderId="28" applyNumberFormat="0" applyAlignment="0" applyProtection="0"/>
    <xf numFmtId="184" fontId="126" fillId="21"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3" fontId="127" fillId="74" borderId="28" applyNumberFormat="0" applyAlignment="0" applyProtection="0"/>
    <xf numFmtId="183"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0" fontId="127" fillId="74" borderId="28" applyNumberFormat="0" applyAlignment="0" applyProtection="0"/>
    <xf numFmtId="184" fontId="127" fillId="74" borderId="28" applyNumberFormat="0" applyAlignment="0" applyProtection="0"/>
    <xf numFmtId="184" fontId="127" fillId="74" borderId="28" applyNumberFormat="0" applyAlignment="0" applyProtection="0"/>
    <xf numFmtId="199" fontId="128" fillId="0" borderId="0" applyFont="0" applyFill="0" applyBorder="0" applyProtection="0">
      <alignment horizontal="center"/>
    </xf>
    <xf numFmtId="183" fontId="36" fillId="34" borderId="0" applyNumberFormat="0" applyFont="0" applyBorder="0" applyAlignment="0" applyProtection="0">
      <alignment horizontal="left"/>
    </xf>
    <xf numFmtId="184" fontId="36" fillId="34" borderId="0" applyNumberFormat="0" applyFont="0" applyBorder="0" applyAlignment="0" applyProtection="0">
      <alignment horizontal="left"/>
    </xf>
    <xf numFmtId="0" fontId="129" fillId="0" borderId="40" applyNumberFormat="0" applyFill="0" applyAlignment="0" applyProtection="0"/>
    <xf numFmtId="0" fontId="129" fillId="0" borderId="40" applyNumberFormat="0" applyFill="0" applyAlignment="0" applyProtection="0"/>
    <xf numFmtId="184" fontId="129" fillId="0" borderId="40" applyNumberFormat="0" applyFill="0" applyAlignment="0" applyProtection="0"/>
    <xf numFmtId="184" fontId="129" fillId="0" borderId="40" applyNumberFormat="0" applyFill="0" applyAlignment="0" applyProtection="0"/>
    <xf numFmtId="182" fontId="115" fillId="0" borderId="41" applyNumberFormat="0" applyFill="0" applyAlignment="0" applyProtection="0"/>
    <xf numFmtId="0" fontId="85" fillId="0" borderId="22" applyNumberFormat="0" applyFill="0" applyAlignment="0" applyProtection="0"/>
    <xf numFmtId="183" fontId="85" fillId="0" borderId="22" applyNumberFormat="0" applyFill="0" applyAlignment="0" applyProtection="0"/>
    <xf numFmtId="184" fontId="85" fillId="0" borderId="22" applyNumberFormat="0" applyFill="0" applyAlignment="0" applyProtection="0"/>
    <xf numFmtId="185" fontId="85" fillId="0" borderId="22" applyNumberFormat="0" applyFill="0" applyAlignment="0" applyProtection="0"/>
    <xf numFmtId="183" fontId="85" fillId="0" borderId="22" applyNumberFormat="0" applyFill="0" applyAlignment="0" applyProtection="0"/>
    <xf numFmtId="184" fontId="85" fillId="0" borderId="22" applyNumberFormat="0" applyFill="0" applyAlignment="0" applyProtection="0"/>
    <xf numFmtId="184" fontId="85" fillId="0" borderId="22" applyNumberFormat="0" applyFill="0" applyAlignment="0" applyProtection="0"/>
    <xf numFmtId="184" fontId="85" fillId="0" borderId="22" applyNumberFormat="0" applyFill="0" applyAlignment="0" applyProtection="0"/>
    <xf numFmtId="0" fontId="130" fillId="0" borderId="42" applyNumberFormat="0" applyFill="0" applyAlignment="0" applyProtection="0"/>
    <xf numFmtId="183" fontId="130" fillId="0" borderId="42" applyNumberFormat="0" applyFill="0" applyAlignment="0" applyProtection="0"/>
    <xf numFmtId="184" fontId="130" fillId="0" borderId="42" applyNumberFormat="0" applyFill="0" applyAlignment="0" applyProtection="0"/>
    <xf numFmtId="185" fontId="130" fillId="0" borderId="42" applyNumberFormat="0" applyFill="0" applyAlignment="0" applyProtection="0"/>
    <xf numFmtId="183" fontId="130" fillId="0" borderId="42" applyNumberFormat="0" applyFill="0" applyAlignment="0" applyProtection="0"/>
    <xf numFmtId="184" fontId="130" fillId="0" borderId="42" applyNumberFormat="0" applyFill="0" applyAlignment="0" applyProtection="0"/>
    <xf numFmtId="184" fontId="130" fillId="0" borderId="42" applyNumberFormat="0" applyFill="0" applyAlignment="0" applyProtection="0"/>
    <xf numFmtId="184" fontId="130" fillId="0" borderId="42" applyNumberFormat="0" applyFill="0" applyAlignment="0" applyProtection="0"/>
    <xf numFmtId="185" fontId="130" fillId="0" borderId="42" applyNumberFormat="0" applyFill="0" applyAlignment="0" applyProtection="0"/>
    <xf numFmtId="183" fontId="130" fillId="0" borderId="42" applyNumberFormat="0" applyFill="0" applyAlignment="0" applyProtection="0"/>
    <xf numFmtId="184" fontId="130" fillId="0" borderId="42" applyNumberFormat="0" applyFill="0" applyAlignment="0" applyProtection="0"/>
    <xf numFmtId="184" fontId="130" fillId="0" borderId="42" applyNumberFormat="0" applyFill="0" applyAlignment="0" applyProtection="0"/>
    <xf numFmtId="0" fontId="130" fillId="0" borderId="42" applyNumberFormat="0" applyFill="0" applyAlignment="0" applyProtection="0"/>
    <xf numFmtId="183" fontId="130" fillId="0" borderId="42" applyNumberFormat="0" applyFill="0" applyAlignment="0" applyProtection="0"/>
    <xf numFmtId="184" fontId="130" fillId="0" borderId="42" applyNumberFormat="0" applyFill="0" applyAlignment="0" applyProtection="0"/>
    <xf numFmtId="185" fontId="130" fillId="0" borderId="42" applyNumberFormat="0" applyFill="0" applyAlignment="0" applyProtection="0"/>
    <xf numFmtId="183" fontId="130" fillId="0" borderId="42" applyNumberFormat="0" applyFill="0" applyAlignment="0" applyProtection="0"/>
    <xf numFmtId="184" fontId="130" fillId="0" borderId="42" applyNumberFormat="0" applyFill="0" applyAlignment="0" applyProtection="0"/>
    <xf numFmtId="184" fontId="130" fillId="0" borderId="42" applyNumberFormat="0" applyFill="0" applyAlignment="0" applyProtection="0"/>
    <xf numFmtId="184" fontId="130" fillId="0" borderId="42" applyNumberFormat="0" applyFill="0" applyAlignment="0" applyProtection="0"/>
    <xf numFmtId="0" fontId="115" fillId="0" borderId="41" applyNumberFormat="0" applyFill="0" applyAlignment="0" applyProtection="0"/>
    <xf numFmtId="183" fontId="130" fillId="0" borderId="42" applyNumberFormat="0" applyFill="0" applyAlignment="0" applyProtection="0"/>
    <xf numFmtId="184" fontId="130" fillId="0" borderId="42" applyNumberFormat="0" applyFill="0" applyAlignment="0" applyProtection="0"/>
    <xf numFmtId="183" fontId="115" fillId="0" borderId="41" applyNumberFormat="0" applyFill="0" applyAlignment="0" applyProtection="0"/>
    <xf numFmtId="184" fontId="115" fillId="0" borderId="41" applyNumberFormat="0" applyFill="0" applyAlignment="0" applyProtection="0"/>
    <xf numFmtId="184" fontId="115" fillId="0" borderId="41" applyNumberFormat="0" applyFill="0" applyAlignment="0" applyProtection="0"/>
    <xf numFmtId="183" fontId="129" fillId="0" borderId="40" applyNumberFormat="0" applyFill="0" applyAlignment="0" applyProtection="0"/>
    <xf numFmtId="184" fontId="129" fillId="0" borderId="40" applyNumberFormat="0" applyFill="0" applyAlignment="0" applyProtection="0"/>
    <xf numFmtId="185" fontId="129" fillId="0" borderId="40" applyNumberFormat="0" applyFill="0" applyAlignment="0" applyProtection="0"/>
    <xf numFmtId="183" fontId="129" fillId="0" borderId="40" applyNumberFormat="0" applyFill="0" applyAlignment="0" applyProtection="0"/>
    <xf numFmtId="184" fontId="129" fillId="0" borderId="40" applyNumberFormat="0" applyFill="0" applyAlignment="0" applyProtection="0"/>
    <xf numFmtId="184" fontId="129" fillId="0" borderId="40" applyNumberFormat="0" applyFill="0" applyAlignment="0" applyProtection="0"/>
    <xf numFmtId="187" fontId="130" fillId="0" borderId="42" applyNumberFormat="0" applyFill="0" applyAlignment="0" applyProtection="0"/>
    <xf numFmtId="0" fontId="129" fillId="0" borderId="40" applyNumberFormat="0" applyFill="0" applyAlignment="0" applyProtection="0"/>
    <xf numFmtId="184" fontId="129" fillId="0" borderId="40" applyNumberFormat="0" applyFill="0" applyAlignment="0" applyProtection="0"/>
    <xf numFmtId="184" fontId="130" fillId="0" borderId="42" applyNumberFormat="0" applyFill="0" applyAlignment="0" applyProtection="0"/>
    <xf numFmtId="0" fontId="129" fillId="0" borderId="40" applyNumberFormat="0" applyFill="0" applyAlignment="0" applyProtection="0"/>
    <xf numFmtId="183" fontId="130" fillId="0" borderId="42" applyNumberFormat="0" applyFill="0" applyAlignment="0" applyProtection="0"/>
    <xf numFmtId="184" fontId="130" fillId="0" borderId="42" applyNumberFormat="0" applyFill="0" applyAlignment="0" applyProtection="0"/>
    <xf numFmtId="183" fontId="85" fillId="0" borderId="22" applyNumberFormat="0" applyFill="0" applyAlignment="0" applyProtection="0"/>
    <xf numFmtId="184" fontId="85" fillId="0" borderId="22" applyNumberFormat="0" applyFill="0" applyAlignment="0" applyProtection="0"/>
    <xf numFmtId="185" fontId="85" fillId="0" borderId="22" applyNumberFormat="0" applyFill="0" applyAlignment="0" applyProtection="0"/>
    <xf numFmtId="183" fontId="85" fillId="0" borderId="22" applyNumberFormat="0" applyFill="0" applyAlignment="0" applyProtection="0"/>
    <xf numFmtId="184" fontId="85" fillId="0" borderId="22" applyNumberFormat="0" applyFill="0" applyAlignment="0" applyProtection="0"/>
    <xf numFmtId="184" fontId="85" fillId="0" borderId="22" applyNumberFormat="0" applyFill="0" applyAlignment="0" applyProtection="0"/>
    <xf numFmtId="184" fontId="85" fillId="0" borderId="22" applyNumberFormat="0" applyFill="0" applyAlignment="0" applyProtection="0"/>
    <xf numFmtId="0" fontId="129" fillId="0" borderId="40" applyNumberFormat="0" applyFill="0" applyAlignment="0" applyProtection="0"/>
    <xf numFmtId="183" fontId="85" fillId="0" borderId="22" applyNumberFormat="0" applyFill="0" applyAlignment="0" applyProtection="0"/>
    <xf numFmtId="184" fontId="85" fillId="0" borderId="22" applyNumberFormat="0" applyFill="0" applyAlignment="0" applyProtection="0"/>
    <xf numFmtId="185" fontId="85" fillId="0" borderId="22" applyNumberFormat="0" applyFill="0" applyAlignment="0" applyProtection="0"/>
    <xf numFmtId="183" fontId="85" fillId="0" borderId="22" applyNumberFormat="0" applyFill="0" applyAlignment="0" applyProtection="0"/>
    <xf numFmtId="184" fontId="85" fillId="0" borderId="22" applyNumberFormat="0" applyFill="0" applyAlignment="0" applyProtection="0"/>
    <xf numFmtId="184" fontId="85" fillId="0" borderId="22" applyNumberFormat="0" applyFill="0" applyAlignment="0" applyProtection="0"/>
    <xf numFmtId="184" fontId="85" fillId="0" borderId="22" applyNumberFormat="0" applyFill="0" applyAlignment="0" applyProtection="0"/>
    <xf numFmtId="0" fontId="129" fillId="0" borderId="40" applyNumberFormat="0" applyFill="0" applyAlignment="0" applyProtection="0"/>
    <xf numFmtId="183" fontId="129" fillId="0" borderId="40" applyNumberFormat="0" applyFill="0" applyAlignment="0" applyProtection="0"/>
    <xf numFmtId="184" fontId="129" fillId="0" borderId="40" applyNumberFormat="0" applyFill="0" applyAlignment="0" applyProtection="0"/>
    <xf numFmtId="185" fontId="129" fillId="0" borderId="40" applyNumberFormat="0" applyFill="0" applyAlignment="0" applyProtection="0"/>
    <xf numFmtId="183" fontId="129" fillId="0" borderId="40" applyNumberFormat="0" applyFill="0" applyAlignment="0" applyProtection="0"/>
    <xf numFmtId="184" fontId="129" fillId="0" borderId="40" applyNumberFormat="0" applyFill="0" applyAlignment="0" applyProtection="0"/>
    <xf numFmtId="184" fontId="129" fillId="0" borderId="40" applyNumberFormat="0" applyFill="0" applyAlignment="0" applyProtection="0"/>
    <xf numFmtId="184" fontId="129" fillId="0" borderId="40" applyNumberFormat="0" applyFill="0" applyAlignment="0" applyProtection="0"/>
    <xf numFmtId="185" fontId="130" fillId="0" borderId="42" applyNumberFormat="0" applyFill="0" applyAlignment="0" applyProtection="0"/>
    <xf numFmtId="183" fontId="130" fillId="0" borderId="42" applyNumberFormat="0" applyFill="0" applyAlignment="0" applyProtection="0"/>
    <xf numFmtId="184" fontId="130" fillId="0" borderId="42" applyNumberFormat="0" applyFill="0" applyAlignment="0" applyProtection="0"/>
    <xf numFmtId="184" fontId="130" fillId="0" borderId="42" applyNumberFormat="0" applyFill="0" applyAlignment="0" applyProtection="0"/>
    <xf numFmtId="0" fontId="85" fillId="0" borderId="22" applyNumberFormat="0" applyFill="0" applyAlignment="0" applyProtection="0"/>
    <xf numFmtId="184" fontId="85" fillId="0" borderId="22" applyNumberFormat="0" applyFill="0" applyAlignment="0" applyProtection="0"/>
    <xf numFmtId="184" fontId="85" fillId="0" borderId="22" applyNumberFormat="0" applyFill="0" applyAlignment="0" applyProtection="0"/>
    <xf numFmtId="182" fontId="85" fillId="0" borderId="22" applyNumberFormat="0" applyFill="0" applyAlignment="0" applyProtection="0"/>
    <xf numFmtId="183" fontId="131" fillId="103" borderId="0">
      <alignment horizontal="right"/>
    </xf>
    <xf numFmtId="184" fontId="131" fillId="103" borderId="0">
      <alignment horizontal="right"/>
    </xf>
    <xf numFmtId="17" fontId="132" fillId="0" borderId="0" applyFont="0" applyFill="0" applyBorder="0" applyAlignment="0" applyProtection="0">
      <alignment horizontal="centerContinuous"/>
      <protection locked="0"/>
    </xf>
    <xf numFmtId="0" fontId="133" fillId="25"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2" fontId="115"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7" fontId="133" fillId="21" borderId="0" applyNumberFormat="0" applyBorder="0" applyAlignment="0" applyProtection="0"/>
    <xf numFmtId="184" fontId="133" fillId="21" borderId="0" applyNumberFormat="0" applyBorder="0" applyAlignment="0" applyProtection="0"/>
    <xf numFmtId="184" fontId="81" fillId="40" borderId="0" applyNumberFormat="0" applyBorder="0" applyAlignment="0" applyProtection="0"/>
    <xf numFmtId="0"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15"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115" fillId="21" borderId="0" applyNumberFormat="0" applyBorder="0" applyAlignment="0" applyProtection="0"/>
    <xf numFmtId="184" fontId="115" fillId="21" borderId="0" applyNumberFormat="0" applyBorder="0" applyAlignment="0" applyProtection="0"/>
    <xf numFmtId="184" fontId="115" fillId="21"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7" fontId="81" fillId="40"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2" fontId="81" fillId="40" borderId="0" applyNumberFormat="0" applyBorder="0" applyAlignment="0" applyProtection="0"/>
    <xf numFmtId="37" fontId="134" fillId="0" borderId="0"/>
    <xf numFmtId="200" fontId="135" fillId="0" borderId="0"/>
    <xf numFmtId="201" fontId="24" fillId="0" borderId="0"/>
    <xf numFmtId="201" fontId="24" fillId="0" borderId="0"/>
    <xf numFmtId="0" fontId="8" fillId="0" borderId="0"/>
    <xf numFmtId="183" fontId="8" fillId="0" borderId="0"/>
    <xf numFmtId="184" fontId="8" fillId="0" borderId="0"/>
    <xf numFmtId="185" fontId="8" fillId="0" borderId="0"/>
    <xf numFmtId="183"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183" fontId="8" fillId="0" borderId="0"/>
    <xf numFmtId="184" fontId="8" fillId="0" borderId="0"/>
    <xf numFmtId="185" fontId="8" fillId="0" borderId="0"/>
    <xf numFmtId="183" fontId="8" fillId="0" borderId="0"/>
    <xf numFmtId="184" fontId="8" fillId="0" borderId="0"/>
    <xf numFmtId="184" fontId="8" fillId="0" borderId="0"/>
    <xf numFmtId="183" fontId="24" fillId="0" borderId="0"/>
    <xf numFmtId="184" fontId="24" fillId="0" borderId="0"/>
    <xf numFmtId="184" fontId="24" fillId="0" borderId="0"/>
    <xf numFmtId="187" fontId="8" fillId="0" borderId="0"/>
    <xf numFmtId="0" fontId="8" fillId="0" borderId="0"/>
    <xf numFmtId="184"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8" fillId="0" borderId="0"/>
    <xf numFmtId="0" fontId="8" fillId="0" borderId="0"/>
    <xf numFmtId="183" fontId="8" fillId="0" borderId="0"/>
    <xf numFmtId="184" fontId="8" fillId="0" borderId="0"/>
    <xf numFmtId="185" fontId="8" fillId="0" borderId="0"/>
    <xf numFmtId="183"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183" fontId="8" fillId="0" borderId="0"/>
    <xf numFmtId="184" fontId="8" fillId="0" borderId="0"/>
    <xf numFmtId="185" fontId="8" fillId="0" borderId="0"/>
    <xf numFmtId="183" fontId="8" fillId="0" borderId="0"/>
    <xf numFmtId="184" fontId="8" fillId="0" borderId="0"/>
    <xf numFmtId="184" fontId="8" fillId="0" borderId="0"/>
    <xf numFmtId="0" fontId="26" fillId="104" borderId="0"/>
    <xf numFmtId="183" fontId="26" fillId="104" borderId="0"/>
    <xf numFmtId="184" fontId="26" fillId="104" borderId="0"/>
    <xf numFmtId="184" fontId="26" fillId="104" borderId="0"/>
    <xf numFmtId="187" fontId="26" fillId="104" borderId="0"/>
    <xf numFmtId="184" fontId="26" fillId="104" borderId="0"/>
    <xf numFmtId="184" fontId="8"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8" fillId="0" borderId="0"/>
    <xf numFmtId="0" fontId="8" fillId="0" borderId="0"/>
    <xf numFmtId="183" fontId="8" fillId="0" borderId="0"/>
    <xf numFmtId="184" fontId="8" fillId="0" borderId="0"/>
    <xf numFmtId="185" fontId="8" fillId="0" borderId="0"/>
    <xf numFmtId="183"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183" fontId="8" fillId="0" borderId="0"/>
    <xf numFmtId="184" fontId="8" fillId="0" borderId="0"/>
    <xf numFmtId="185" fontId="8" fillId="0" borderId="0"/>
    <xf numFmtId="183" fontId="8" fillId="0" borderId="0"/>
    <xf numFmtId="184" fontId="8" fillId="0" borderId="0"/>
    <xf numFmtId="184" fontId="8" fillId="0" borderId="0"/>
    <xf numFmtId="0" fontId="26" fillId="104" borderId="0"/>
    <xf numFmtId="183" fontId="26" fillId="104" borderId="0"/>
    <xf numFmtId="184" fontId="26" fillId="104" borderId="0"/>
    <xf numFmtId="184" fontId="26" fillId="104" borderId="0"/>
    <xf numFmtId="187" fontId="8" fillId="0" borderId="0"/>
    <xf numFmtId="184" fontId="8" fillId="0" borderId="0"/>
    <xf numFmtId="184" fontId="8" fillId="0" borderId="0"/>
    <xf numFmtId="0"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8" fillId="0" borderId="0"/>
    <xf numFmtId="0" fontId="8" fillId="0" borderId="0"/>
    <xf numFmtId="183" fontId="8" fillId="0" borderId="0"/>
    <xf numFmtId="184" fontId="8" fillId="0" borderId="0"/>
    <xf numFmtId="185" fontId="8" fillId="0" borderId="0"/>
    <xf numFmtId="183"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183" fontId="8" fillId="0" borderId="0"/>
    <xf numFmtId="184" fontId="8" fillId="0" borderId="0"/>
    <xf numFmtId="185" fontId="8" fillId="0" borderId="0"/>
    <xf numFmtId="183" fontId="8" fillId="0" borderId="0"/>
    <xf numFmtId="184" fontId="8" fillId="0" borderId="0"/>
    <xf numFmtId="184" fontId="8" fillId="0" borderId="0"/>
    <xf numFmtId="0" fontId="26" fillId="104" borderId="0"/>
    <xf numFmtId="183" fontId="26" fillId="104" borderId="0"/>
    <xf numFmtId="184" fontId="26" fillId="104" borderId="0"/>
    <xf numFmtId="184" fontId="26" fillId="104" borderId="0"/>
    <xf numFmtId="187" fontId="26" fillId="104" borderId="0"/>
    <xf numFmtId="184" fontId="26" fillId="104" borderId="0"/>
    <xf numFmtId="184" fontId="8"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184" fontId="24" fillId="0" borderId="0"/>
    <xf numFmtId="185" fontId="24" fillId="0" borderId="0"/>
    <xf numFmtId="183" fontId="24" fillId="0" borderId="0"/>
    <xf numFmtId="184" fontId="24" fillId="0" borderId="0"/>
    <xf numFmtId="185"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26" fillId="104" borderId="0"/>
    <xf numFmtId="183" fontId="26" fillId="104" borderId="0"/>
    <xf numFmtId="183" fontId="26" fillId="104" borderId="0"/>
    <xf numFmtId="184" fontId="26" fillId="104" borderId="0"/>
    <xf numFmtId="0" fontId="8" fillId="0" borderId="0"/>
    <xf numFmtId="183" fontId="8" fillId="0" borderId="0"/>
    <xf numFmtId="184" fontId="8" fillId="0" borderId="0"/>
    <xf numFmtId="184" fontId="8" fillId="0" borderId="0"/>
    <xf numFmtId="184" fontId="26" fillId="104" borderId="0"/>
    <xf numFmtId="0" fontId="26" fillId="104" borderId="0"/>
    <xf numFmtId="183" fontId="26" fillId="104" borderId="0"/>
    <xf numFmtId="184" fontId="26" fillId="104" borderId="0"/>
    <xf numFmtId="184" fontId="26" fillId="104" borderId="0"/>
    <xf numFmtId="0" fontId="8" fillId="0" borderId="0"/>
    <xf numFmtId="183" fontId="8" fillId="0" borderId="0"/>
    <xf numFmtId="184" fontId="8" fillId="0" borderId="0"/>
    <xf numFmtId="184" fontId="8" fillId="0" borderId="0"/>
    <xf numFmtId="184" fontId="26" fillId="104" borderId="0"/>
    <xf numFmtId="187"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26" fillId="104" borderId="0"/>
    <xf numFmtId="183" fontId="26" fillId="104" borderId="0"/>
    <xf numFmtId="183" fontId="26" fillId="104" borderId="0"/>
    <xf numFmtId="184" fontId="26" fillId="104" borderId="0"/>
    <xf numFmtId="0" fontId="8" fillId="0" borderId="0"/>
    <xf numFmtId="183" fontId="8" fillId="0" borderId="0"/>
    <xf numFmtId="184" fontId="8" fillId="0" borderId="0"/>
    <xf numFmtId="184" fontId="8" fillId="0" borderId="0"/>
    <xf numFmtId="184" fontId="26" fillId="104" borderId="0"/>
    <xf numFmtId="0" fontId="26" fillId="104" borderId="0"/>
    <xf numFmtId="183" fontId="26" fillId="104" borderId="0"/>
    <xf numFmtId="184" fontId="26" fillId="104" borderId="0"/>
    <xf numFmtId="184" fontId="26" fillId="104" borderId="0"/>
    <xf numFmtId="0" fontId="8" fillId="0" borderId="0"/>
    <xf numFmtId="183" fontId="8" fillId="0" borderId="0"/>
    <xf numFmtId="184" fontId="8" fillId="0" borderId="0"/>
    <xf numFmtId="184" fontId="8" fillId="0" borderId="0"/>
    <xf numFmtId="184" fontId="26" fillId="104"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6" fillId="104" borderId="0"/>
    <xf numFmtId="184" fontId="26" fillId="104" borderId="0"/>
    <xf numFmtId="184" fontId="24" fillId="0" borderId="0"/>
    <xf numFmtId="182" fontId="26" fillId="104" borderId="0"/>
    <xf numFmtId="202" fontId="8" fillId="0" borderId="0"/>
    <xf numFmtId="0" fontId="8" fillId="0" borderId="0"/>
    <xf numFmtId="202"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187"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24" fillId="0" borderId="0"/>
    <xf numFmtId="184" fontId="24"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4" fontId="24" fillId="0" borderId="0"/>
    <xf numFmtId="184" fontId="24" fillId="0" borderId="0"/>
    <xf numFmtId="187" fontId="8" fillId="0" borderId="0"/>
    <xf numFmtId="0" fontId="24" fillId="0" borderId="0"/>
    <xf numFmtId="184" fontId="24" fillId="0" borderId="0"/>
    <xf numFmtId="184" fontId="8" fillId="0" borderId="0"/>
    <xf numFmtId="0" fontId="24" fillId="0" borderId="0"/>
    <xf numFmtId="184" fontId="24" fillId="0" borderId="0"/>
    <xf numFmtId="0" fontId="24" fillId="0" borderId="0"/>
    <xf numFmtId="0"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4" fontId="24" fillId="0" borderId="0"/>
    <xf numFmtId="182" fontId="24" fillId="0" borderId="0"/>
    <xf numFmtId="202" fontId="8" fillId="0" borderId="0"/>
    <xf numFmtId="0" fontId="136"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3" fontId="136" fillId="0" borderId="0"/>
    <xf numFmtId="183" fontId="136" fillId="0" borderId="0"/>
    <xf numFmtId="184" fontId="13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36" fillId="0" borderId="0"/>
    <xf numFmtId="185" fontId="136" fillId="0" borderId="0"/>
    <xf numFmtId="183" fontId="136" fillId="0" borderId="0"/>
    <xf numFmtId="183" fontId="136" fillId="0" borderId="0"/>
    <xf numFmtId="184" fontId="136" fillId="0" borderId="0"/>
    <xf numFmtId="0" fontId="8" fillId="0" borderId="0"/>
    <xf numFmtId="183" fontId="8" fillId="0" borderId="0"/>
    <xf numFmtId="184" fontId="8" fillId="0" borderId="0"/>
    <xf numFmtId="184" fontId="8" fillId="0" borderId="0"/>
    <xf numFmtId="184" fontId="136" fillId="0" borderId="0"/>
    <xf numFmtId="185" fontId="136" fillId="0" borderId="0"/>
    <xf numFmtId="183" fontId="136" fillId="0" borderId="0"/>
    <xf numFmtId="184" fontId="136" fillId="0" borderId="0"/>
    <xf numFmtId="184" fontId="13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36" fillId="0" borderId="0"/>
    <xf numFmtId="0" fontId="136" fillId="0" borderId="0"/>
    <xf numFmtId="183" fontId="136" fillId="0" borderId="0"/>
    <xf numFmtId="184" fontId="136" fillId="0" borderId="0"/>
    <xf numFmtId="184" fontId="136" fillId="0" borderId="0"/>
    <xf numFmtId="184" fontId="136" fillId="0" borderId="0"/>
    <xf numFmtId="0" fontId="24"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24" fillId="0" borderId="0"/>
    <xf numFmtId="183" fontId="24" fillId="0" borderId="0"/>
    <xf numFmtId="184" fontId="24" fillId="0" borderId="0"/>
    <xf numFmtId="184" fontId="24" fillId="0" borderId="0"/>
    <xf numFmtId="187" fontId="24"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7" fontId="8" fillId="0" borderId="0"/>
    <xf numFmtId="184" fontId="8" fillId="0" borderId="0"/>
    <xf numFmtId="184" fontId="24" fillId="0" borderId="0"/>
    <xf numFmtId="202"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24" fillId="0" borderId="0"/>
    <xf numFmtId="184" fontId="24"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184"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186" fontId="24" fillId="0" borderId="0">
      <alignment horizontal="left" wrapText="1"/>
    </xf>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6" fontId="24" fillId="0" borderId="0">
      <alignment horizontal="left" wrapText="1"/>
    </xf>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186" fontId="24" fillId="0" borderId="0">
      <alignment horizontal="left" wrapText="1"/>
    </xf>
    <xf numFmtId="0" fontId="26"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3" fontId="8"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7" fontId="8" fillId="0" borderId="0"/>
    <xf numFmtId="184" fontId="8" fillId="0" borderId="0"/>
    <xf numFmtId="184" fontId="8" fillId="0" borderId="0"/>
    <xf numFmtId="202" fontId="8"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6"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3"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0" fontId="56" fillId="0" borderId="0"/>
    <xf numFmtId="183" fontId="56" fillId="0" borderId="0"/>
    <xf numFmtId="184" fontId="56" fillId="0" borderId="0"/>
    <xf numFmtId="184" fontId="56" fillId="0" borderId="0"/>
    <xf numFmtId="0" fontId="8" fillId="0" borderId="0"/>
    <xf numFmtId="183" fontId="8" fillId="0" borderId="0"/>
    <xf numFmtId="184" fontId="8" fillId="0" borderId="0"/>
    <xf numFmtId="184" fontId="8" fillId="0" borderId="0"/>
    <xf numFmtId="184" fontId="56"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6" fillId="104" borderId="0"/>
    <xf numFmtId="183" fontId="26" fillId="104" borderId="0"/>
    <xf numFmtId="184" fontId="26" fillId="104" borderId="0"/>
    <xf numFmtId="0" fontId="8" fillId="0" borderId="0"/>
    <xf numFmtId="183" fontId="8" fillId="0" borderId="0"/>
    <xf numFmtId="184" fontId="8" fillId="0" borderId="0"/>
    <xf numFmtId="184" fontId="8" fillId="0" borderId="0"/>
    <xf numFmtId="184" fontId="26" fillId="104" borderId="0"/>
    <xf numFmtId="183" fontId="26" fillId="104" borderId="0"/>
    <xf numFmtId="183" fontId="26" fillId="104" borderId="0"/>
    <xf numFmtId="184" fontId="26" fillId="104" borderId="0"/>
    <xf numFmtId="0" fontId="8" fillId="0" borderId="0"/>
    <xf numFmtId="183" fontId="8" fillId="0" borderId="0"/>
    <xf numFmtId="184" fontId="8" fillId="0" borderId="0"/>
    <xf numFmtId="184" fontId="8" fillId="0" borderId="0"/>
    <xf numFmtId="184" fontId="26" fillId="104"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26" fillId="104" borderId="0"/>
    <xf numFmtId="0" fontId="26" fillId="104" borderId="0"/>
    <xf numFmtId="183" fontId="26" fillId="104" borderId="0"/>
    <xf numFmtId="184" fontId="26" fillId="104" borderId="0"/>
    <xf numFmtId="184" fontId="26" fillId="104" borderId="0"/>
    <xf numFmtId="0" fontId="26" fillId="104" borderId="0"/>
    <xf numFmtId="0" fontId="26" fillId="104" borderId="0"/>
    <xf numFmtId="183" fontId="26" fillId="104" borderId="0"/>
    <xf numFmtId="184" fontId="26" fillId="104" borderId="0"/>
    <xf numFmtId="184" fontId="26" fillId="104" borderId="0"/>
    <xf numFmtId="183" fontId="26" fillId="104" borderId="0"/>
    <xf numFmtId="184" fontId="26" fillId="104" borderId="0"/>
    <xf numFmtId="184" fontId="26" fillId="104" borderId="0"/>
    <xf numFmtId="0" fontId="8" fillId="0" borderId="0"/>
    <xf numFmtId="183" fontId="8" fillId="0" borderId="0"/>
    <xf numFmtId="184" fontId="8" fillId="0" borderId="0"/>
    <xf numFmtId="184" fontId="8" fillId="0" borderId="0"/>
    <xf numFmtId="183" fontId="26" fillId="104" borderId="0"/>
    <xf numFmtId="184" fontId="26" fillId="104" borderId="0"/>
    <xf numFmtId="184" fontId="26" fillId="104" borderId="0"/>
    <xf numFmtId="0" fontId="24" fillId="0" borderId="0"/>
    <xf numFmtId="0" fontId="24" fillId="0" borderId="0"/>
    <xf numFmtId="183" fontId="24" fillId="0" borderId="0"/>
    <xf numFmtId="184" fontId="24" fillId="0" borderId="0"/>
    <xf numFmtId="184" fontId="24" fillId="0" borderId="0"/>
    <xf numFmtId="183" fontId="24" fillId="0" borderId="0"/>
    <xf numFmtId="184" fontId="24" fillId="0" borderId="0"/>
    <xf numFmtId="184" fontId="24" fillId="0" borderId="0"/>
    <xf numFmtId="0" fontId="24" fillId="0" borderId="0"/>
    <xf numFmtId="0" fontId="24" fillId="0" borderId="0"/>
    <xf numFmtId="183" fontId="24" fillId="0" borderId="0"/>
    <xf numFmtId="184" fontId="24" fillId="0" borderId="0"/>
    <xf numFmtId="184" fontId="24" fillId="0" borderId="0"/>
    <xf numFmtId="183" fontId="24" fillId="0" borderId="0"/>
    <xf numFmtId="184" fontId="24" fillId="0" borderId="0"/>
    <xf numFmtId="184" fontId="24" fillId="0" borderId="0"/>
    <xf numFmtId="0" fontId="24" fillId="0" borderId="0"/>
    <xf numFmtId="0" fontId="24" fillId="0" borderId="0"/>
    <xf numFmtId="183" fontId="24" fillId="0" borderId="0"/>
    <xf numFmtId="184" fontId="24" fillId="0" borderId="0"/>
    <xf numFmtId="184" fontId="24" fillId="0" borderId="0"/>
    <xf numFmtId="183" fontId="24" fillId="0" borderId="0"/>
    <xf numFmtId="184" fontId="24" fillId="0" borderId="0"/>
    <xf numFmtId="184" fontId="24"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185" fontId="8" fillId="0" borderId="0"/>
    <xf numFmtId="183"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40" fillId="0" borderId="0"/>
    <xf numFmtId="187" fontId="8" fillId="0" borderId="0"/>
    <xf numFmtId="184" fontId="8" fillId="0" borderId="0"/>
    <xf numFmtId="184" fontId="24" fillId="0" borderId="0"/>
    <xf numFmtId="202" fontId="24" fillId="0" borderId="0"/>
    <xf numFmtId="182"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0" fontId="24" fillId="0" borderId="0"/>
    <xf numFmtId="183"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3" fontId="24" fillId="0" borderId="0"/>
    <xf numFmtId="184" fontId="24" fillId="0" borderId="0"/>
    <xf numFmtId="0" fontId="24" fillId="0" borderId="0"/>
    <xf numFmtId="184"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0" fontId="24" fillId="0" borderId="0"/>
    <xf numFmtId="0" fontId="24" fillId="0" borderId="0"/>
    <xf numFmtId="183" fontId="24" fillId="0" borderId="0"/>
    <xf numFmtId="184" fontId="24" fillId="0" borderId="0"/>
    <xf numFmtId="184" fontId="24" fillId="0" borderId="0"/>
    <xf numFmtId="0" fontId="24" fillId="0" borderId="0"/>
    <xf numFmtId="183" fontId="24" fillId="0" borderId="0"/>
    <xf numFmtId="184" fontId="24" fillId="0" borderId="0"/>
    <xf numFmtId="184" fontId="24" fillId="0" borderId="0"/>
    <xf numFmtId="183" fontId="24" fillId="0" borderId="0"/>
    <xf numFmtId="184" fontId="24" fillId="0" borderId="0"/>
    <xf numFmtId="0" fontId="24" fillId="0" borderId="0"/>
    <xf numFmtId="184" fontId="24"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0" fontId="56" fillId="0" borderId="0"/>
    <xf numFmtId="183" fontId="56" fillId="0" borderId="0"/>
    <xf numFmtId="184" fontId="56" fillId="0" borderId="0"/>
    <xf numFmtId="184" fontId="56" fillId="0" borderId="0"/>
    <xf numFmtId="183" fontId="8" fillId="0" borderId="0"/>
    <xf numFmtId="184" fontId="8" fillId="0" borderId="0"/>
    <xf numFmtId="183" fontId="8" fillId="0" borderId="0"/>
    <xf numFmtId="184" fontId="8" fillId="0" borderId="0"/>
    <xf numFmtId="183"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6" fillId="104" borderId="0"/>
    <xf numFmtId="183" fontId="26" fillId="104" borderId="0"/>
    <xf numFmtId="184" fontId="26" fillId="104" borderId="0"/>
    <xf numFmtId="184" fontId="26" fillId="104" borderId="0"/>
    <xf numFmtId="0" fontId="26" fillId="104" borderId="0"/>
    <xf numFmtId="183" fontId="26" fillId="104" borderId="0"/>
    <xf numFmtId="184" fontId="26" fillId="104" borderId="0"/>
    <xf numFmtId="184" fontId="26" fillId="104" borderId="0"/>
    <xf numFmtId="0" fontId="26" fillId="104" borderId="0"/>
    <xf numFmtId="183" fontId="26" fillId="104" borderId="0"/>
    <xf numFmtId="184" fontId="26" fillId="104" borderId="0"/>
    <xf numFmtId="184" fontId="26" fillId="104" borderId="0"/>
    <xf numFmtId="0" fontId="26" fillId="104" borderId="0"/>
    <xf numFmtId="183" fontId="26" fillId="104" borderId="0"/>
    <xf numFmtId="184" fontId="26" fillId="104" borderId="0"/>
    <xf numFmtId="184" fontId="26" fillId="104" borderId="0"/>
    <xf numFmtId="0" fontId="26" fillId="104" borderId="0"/>
    <xf numFmtId="183" fontId="26" fillId="104" borderId="0"/>
    <xf numFmtId="184" fontId="26" fillId="104" borderId="0"/>
    <xf numFmtId="184" fontId="26" fillId="104" borderId="0"/>
    <xf numFmtId="0" fontId="26" fillId="104" borderId="0"/>
    <xf numFmtId="183" fontId="26" fillId="104" borderId="0"/>
    <xf numFmtId="184" fontId="26" fillId="104" borderId="0"/>
    <xf numFmtId="184" fontId="26" fillId="104" borderId="0"/>
    <xf numFmtId="183" fontId="26" fillId="104" borderId="0"/>
    <xf numFmtId="184" fontId="26" fillId="104" borderId="0"/>
    <xf numFmtId="183" fontId="8" fillId="0" borderId="0"/>
    <xf numFmtId="184" fontId="8" fillId="0" borderId="0"/>
    <xf numFmtId="0" fontId="8" fillId="0" borderId="0"/>
    <xf numFmtId="184" fontId="8" fillId="0" borderId="0"/>
    <xf numFmtId="0" fontId="26" fillId="104" borderId="0"/>
    <xf numFmtId="184" fontId="26" fillId="104"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6" fillId="104" borderId="0"/>
    <xf numFmtId="184" fontId="26" fillId="104" borderId="0"/>
    <xf numFmtId="0" fontId="56" fillId="0" borderId="0"/>
    <xf numFmtId="0" fontId="26" fillId="104" borderId="0"/>
    <xf numFmtId="184" fontId="26" fillId="104" borderId="0"/>
    <xf numFmtId="184" fontId="56" fillId="0" borderId="0"/>
    <xf numFmtId="0" fontId="26" fillId="104" borderId="0"/>
    <xf numFmtId="184" fontId="26" fillId="104" borderId="0"/>
    <xf numFmtId="187" fontId="24" fillId="0" borderId="0"/>
    <xf numFmtId="187" fontId="24" fillId="0" borderId="0"/>
    <xf numFmtId="184" fontId="24" fillId="0" borderId="0"/>
    <xf numFmtId="184" fontId="24" fillId="0" borderId="0"/>
    <xf numFmtId="187" fontId="24" fillId="0" borderId="0"/>
    <xf numFmtId="187" fontId="24" fillId="0" borderId="0"/>
    <xf numFmtId="184" fontId="24" fillId="0" borderId="0"/>
    <xf numFmtId="184" fontId="24" fillId="0" borderId="0"/>
    <xf numFmtId="187" fontId="24" fillId="0" borderId="0"/>
    <xf numFmtId="187" fontId="24" fillId="0" borderId="0"/>
    <xf numFmtId="184" fontId="24" fillId="0" borderId="0"/>
    <xf numFmtId="184" fontId="24" fillId="0" borderId="0"/>
    <xf numFmtId="187" fontId="24" fillId="0" borderId="0"/>
    <xf numFmtId="187" fontId="24" fillId="0" borderId="0"/>
    <xf numFmtId="184" fontId="24" fillId="0" borderId="0"/>
    <xf numFmtId="184" fontId="24" fillId="0" borderId="0"/>
    <xf numFmtId="187" fontId="24" fillId="0" borderId="0"/>
    <xf numFmtId="187" fontId="24" fillId="0" borderId="0"/>
    <xf numFmtId="184" fontId="24" fillId="0" borderId="0"/>
    <xf numFmtId="184" fontId="24" fillId="0" borderId="0"/>
    <xf numFmtId="0" fontId="24" fillId="0" borderId="0"/>
    <xf numFmtId="184" fontId="24" fillId="0" borderId="0"/>
    <xf numFmtId="0" fontId="26" fillId="104" borderId="0"/>
    <xf numFmtId="184" fontId="26" fillId="104"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6" fillId="104" borderId="0"/>
    <xf numFmtId="184" fontId="26" fillId="104" borderId="0"/>
    <xf numFmtId="0" fontId="26" fillId="104" borderId="0"/>
    <xf numFmtId="184" fontId="26" fillId="104" borderId="0"/>
    <xf numFmtId="0" fontId="8" fillId="0" borderId="0"/>
    <xf numFmtId="184" fontId="8" fillId="0" borderId="0"/>
    <xf numFmtId="0" fontId="26" fillId="104" borderId="0"/>
    <xf numFmtId="184" fontId="26" fillId="104" borderId="0"/>
    <xf numFmtId="0" fontId="26" fillId="104" borderId="0"/>
    <xf numFmtId="184" fontId="26" fillId="104" borderId="0"/>
    <xf numFmtId="0" fontId="26" fillId="104" borderId="0"/>
    <xf numFmtId="184" fontId="26" fillId="104" borderId="0"/>
    <xf numFmtId="0" fontId="26" fillId="104" borderId="0"/>
    <xf numFmtId="184" fontId="26" fillId="104" borderId="0"/>
    <xf numFmtId="184" fontId="8" fillId="0" borderId="0"/>
    <xf numFmtId="182" fontId="56" fillId="0" borderId="0"/>
    <xf numFmtId="182"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182" fontId="56" fillId="0" borderId="0"/>
    <xf numFmtId="0" fontId="26" fillId="104" borderId="0"/>
    <xf numFmtId="202" fontId="8" fillId="0" borderId="0"/>
    <xf numFmtId="202" fontId="8" fillId="0" borderId="0"/>
    <xf numFmtId="0"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202" fontId="8" fillId="0" borderId="0"/>
    <xf numFmtId="202" fontId="8" fillId="0" borderId="0"/>
    <xf numFmtId="202" fontId="8" fillId="0" borderId="0"/>
    <xf numFmtId="202" fontId="8" fillId="0" borderId="0"/>
    <xf numFmtId="202" fontId="8" fillId="0" borderId="0"/>
    <xf numFmtId="183" fontId="8" fillId="0" borderId="0"/>
    <xf numFmtId="183" fontId="8" fillId="0" borderId="0"/>
    <xf numFmtId="183" fontId="8" fillId="0" borderId="0"/>
    <xf numFmtId="0" fontId="26" fillId="104" borderId="0"/>
    <xf numFmtId="0" fontId="26" fillId="104"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182" fontId="8" fillId="0" borderId="0"/>
    <xf numFmtId="182" fontId="8" fillId="0" borderId="0"/>
    <xf numFmtId="182" fontId="8" fillId="0" borderId="0"/>
    <xf numFmtId="182" fontId="8" fillId="0" borderId="0"/>
    <xf numFmtId="182" fontId="8" fillId="0" borderId="0"/>
    <xf numFmtId="182" fontId="8" fillId="0" borderId="0"/>
    <xf numFmtId="182" fontId="8" fillId="0" borderId="0"/>
    <xf numFmtId="0" fontId="26" fillId="104" borderId="0"/>
    <xf numFmtId="0" fontId="8" fillId="0" borderId="0"/>
    <xf numFmtId="0" fontId="8" fillId="0" borderId="0"/>
    <xf numFmtId="202"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187"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0" fontId="8" fillId="0" borderId="0"/>
    <xf numFmtId="0" fontId="8" fillId="0" borderId="0"/>
    <xf numFmtId="0" fontId="8" fillId="0" borderId="0"/>
    <xf numFmtId="0" fontId="26" fillId="104" borderId="0"/>
    <xf numFmtId="0" fontId="26" fillId="104" borderId="0"/>
    <xf numFmtId="0" fontId="8" fillId="0" borderId="0"/>
    <xf numFmtId="0" fontId="8" fillId="0" borderId="0"/>
    <xf numFmtId="0" fontId="8" fillId="0" borderId="0"/>
    <xf numFmtId="0"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8" fillId="0" borderId="0"/>
    <xf numFmtId="0" fontId="8" fillId="0" borderId="0"/>
    <xf numFmtId="0" fontId="8"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6" fillId="104" borderId="0"/>
    <xf numFmtId="0" fontId="26" fillId="104" borderId="0"/>
    <xf numFmtId="0" fontId="26" fillId="104" borderId="0"/>
    <xf numFmtId="0" fontId="26" fillId="104" borderId="0"/>
    <xf numFmtId="0" fontId="8" fillId="0" borderId="0"/>
    <xf numFmtId="0" fontId="26" fillId="104" borderId="0"/>
    <xf numFmtId="0" fontId="26" fillId="104" borderId="0"/>
    <xf numFmtId="202" fontId="8" fillId="0" borderId="0"/>
    <xf numFmtId="202" fontId="8" fillId="0" borderId="0"/>
    <xf numFmtId="202"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6" fillId="104" borderId="0"/>
    <xf numFmtId="0" fontId="26" fillId="104" borderId="0"/>
    <xf numFmtId="0" fontId="24" fillId="0" borderId="0"/>
    <xf numFmtId="0" fontId="24" fillId="0" borderId="0"/>
    <xf numFmtId="0" fontId="24" fillId="0" borderId="0"/>
    <xf numFmtId="0" fontId="24" fillId="0" borderId="0"/>
    <xf numFmtId="0"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40" fillId="0" borderId="0"/>
    <xf numFmtId="184" fontId="24"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26" fillId="104" borderId="0"/>
    <xf numFmtId="183" fontId="26" fillId="104" borderId="0"/>
    <xf numFmtId="184" fontId="26" fillId="104" borderId="0"/>
    <xf numFmtId="184" fontId="26" fillId="104" borderId="0"/>
    <xf numFmtId="187"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40" fillId="0" borderId="0"/>
    <xf numFmtId="0"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4" fontId="8"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3"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185"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7" fontId="8" fillId="0" borderId="0"/>
    <xf numFmtId="184" fontId="8" fillId="0" borderId="0"/>
    <xf numFmtId="184" fontId="8"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96" fontId="24" fillId="0" borderId="0"/>
    <xf numFmtId="196"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36" fillId="105" borderId="0" applyBorder="0" applyAlignment="0">
      <alignment horizontal="left"/>
    </xf>
    <xf numFmtId="183" fontId="36" fillId="105" borderId="0" applyBorder="0" applyAlignment="0">
      <alignment horizontal="left"/>
    </xf>
    <xf numFmtId="184" fontId="36" fillId="105" borderId="0" applyBorder="0" applyAlignment="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36" fillId="105" borderId="0" applyBorder="0" applyAlignment="0">
      <alignment horizontal="left"/>
    </xf>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0" fontId="8" fillId="44" borderId="24" applyNumberFormat="0" applyFont="0" applyAlignment="0" applyProtection="0"/>
    <xf numFmtId="184" fontId="8" fillId="44" borderId="24"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8" fillId="44" borderId="24"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0" fontId="40" fillId="26" borderId="43" applyNumberFormat="0" applyFont="0" applyAlignment="0" applyProtection="0"/>
    <xf numFmtId="185"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8" fillId="0" borderId="0"/>
    <xf numFmtId="183" fontId="8" fillId="0" borderId="0"/>
    <xf numFmtId="184" fontId="8" fillId="0" borderId="0"/>
    <xf numFmtId="184" fontId="8" fillId="0" borderId="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24" fillId="20" borderId="43" applyNumberFormat="0" applyFont="0" applyAlignment="0" applyProtection="0"/>
    <xf numFmtId="187" fontId="24" fillId="20" borderId="43" applyNumberFormat="0" applyFont="0" applyAlignment="0" applyProtection="0"/>
    <xf numFmtId="187" fontId="24" fillId="20" borderId="43" applyNumberFormat="0" applyFont="0" applyAlignment="0" applyProtection="0"/>
    <xf numFmtId="187"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7"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7" fontId="24" fillId="20" borderId="43" applyNumberFormat="0" applyFont="0" applyAlignment="0" applyProtection="0"/>
    <xf numFmtId="187"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7"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4" fillId="26" borderId="43"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2" fontId="26" fillId="20" borderId="29"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44" borderId="24" applyNumberFormat="0" applyFont="0" applyAlignment="0" applyProtection="0"/>
    <xf numFmtId="183"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185" fontId="8" fillId="44" borderId="24" applyNumberFormat="0" applyFont="0" applyAlignment="0" applyProtection="0"/>
    <xf numFmtId="183"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185"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0"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24" fillId="20" borderId="43" applyNumberFormat="0" applyFont="0" applyAlignment="0" applyProtection="0"/>
    <xf numFmtId="184" fontId="24" fillId="20" borderId="43"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8" fillId="0" borderId="0"/>
    <xf numFmtId="183" fontId="8" fillId="0" borderId="0"/>
    <xf numFmtId="184" fontId="8" fillId="0" borderId="0"/>
    <xf numFmtId="184" fontId="8" fillId="0" borderId="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40" fillId="26" borderId="43" applyNumberFormat="0" applyFont="0" applyAlignment="0" applyProtection="0"/>
    <xf numFmtId="0" fontId="8" fillId="0" borderId="0"/>
    <xf numFmtId="183" fontId="8" fillId="0" borderId="0"/>
    <xf numFmtId="184" fontId="8" fillId="0" borderId="0"/>
    <xf numFmtId="184" fontId="8" fillId="0" borderId="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2" fontId="8" fillId="44" borderId="24"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44" borderId="24" applyNumberFormat="0" applyFont="0" applyAlignment="0" applyProtection="0"/>
    <xf numFmtId="183"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185" fontId="8" fillId="44" borderId="24" applyNumberFormat="0" applyFont="0" applyAlignment="0" applyProtection="0"/>
    <xf numFmtId="183"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185"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0"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8" fillId="0" borderId="0"/>
    <xf numFmtId="183" fontId="8" fillId="0" borderId="0"/>
    <xf numFmtId="184" fontId="8" fillId="0" borderId="0"/>
    <xf numFmtId="184" fontId="8" fillId="0" borderId="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8" fillId="0" borderId="0"/>
    <xf numFmtId="183" fontId="8" fillId="0" borderId="0"/>
    <xf numFmtId="184" fontId="8" fillId="0" borderId="0"/>
    <xf numFmtId="184" fontId="8" fillId="0" borderId="0"/>
    <xf numFmtId="0"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40" fillId="26" borderId="43"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44" borderId="24" applyNumberFormat="0" applyFont="0" applyAlignment="0" applyProtection="0"/>
    <xf numFmtId="183"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185" fontId="8" fillId="44" borderId="24" applyNumberFormat="0" applyFont="0" applyAlignment="0" applyProtection="0"/>
    <xf numFmtId="183"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185"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0" fontId="8" fillId="44" borderId="24" applyNumberFormat="0" applyFont="0" applyAlignment="0" applyProtection="0"/>
    <xf numFmtId="183" fontId="8" fillId="44" borderId="24" applyNumberFormat="0" applyFont="0" applyAlignment="0" applyProtection="0"/>
    <xf numFmtId="184" fontId="8" fillId="44" borderId="24" applyNumberFormat="0" applyFont="0" applyAlignment="0" applyProtection="0"/>
    <xf numFmtId="184" fontId="8"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3" fontId="40" fillId="44" borderId="24" applyNumberFormat="0" applyFont="0" applyAlignment="0" applyProtection="0"/>
    <xf numFmtId="183"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40" fillId="44" borderId="24" applyNumberFormat="0" applyFont="0" applyAlignment="0" applyProtection="0"/>
    <xf numFmtId="184" fontId="40" fillId="44" borderId="24" applyNumberFormat="0" applyFont="0" applyAlignment="0" applyProtection="0"/>
    <xf numFmtId="184" fontId="40" fillId="44" borderId="24"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0" fillId="44" borderId="24" applyNumberFormat="0" applyFont="0" applyAlignment="0" applyProtection="0"/>
    <xf numFmtId="184" fontId="40" fillId="44" borderId="24" applyNumberFormat="0" applyFont="0" applyAlignment="0" applyProtection="0"/>
    <xf numFmtId="0" fontId="40"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8" fillId="0" borderId="0"/>
    <xf numFmtId="183" fontId="8" fillId="0" borderId="0"/>
    <xf numFmtId="184" fontId="8" fillId="0" borderId="0"/>
    <xf numFmtId="184" fontId="8" fillId="0" borderId="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5"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183"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4" fontId="24" fillId="26" borderId="43" applyNumberFormat="0" applyFont="0" applyAlignment="0" applyProtection="0"/>
    <xf numFmtId="0" fontId="24" fillId="26" borderId="43" applyNumberFormat="0" applyFont="0" applyAlignment="0" applyProtection="0"/>
    <xf numFmtId="184" fontId="24" fillId="26" borderId="43" applyNumberFormat="0" applyFont="0" applyAlignment="0" applyProtection="0"/>
    <xf numFmtId="185"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5" fontId="24" fillId="20" borderId="43" applyNumberFormat="0" applyFont="0" applyAlignment="0" applyProtection="0"/>
    <xf numFmtId="184" fontId="24" fillId="20" borderId="43" applyNumberFormat="0" applyFont="0" applyAlignment="0" applyProtection="0"/>
    <xf numFmtId="184" fontId="24" fillId="20" borderId="43"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8" fillId="0" borderId="0"/>
    <xf numFmtId="183" fontId="8" fillId="0" borderId="0"/>
    <xf numFmtId="184" fontId="8" fillId="0" borderId="0"/>
    <xf numFmtId="184" fontId="8" fillId="0" borderId="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8" fillId="0" borderId="0"/>
    <xf numFmtId="183" fontId="8" fillId="0" borderId="0"/>
    <xf numFmtId="184" fontId="8" fillId="0" borderId="0"/>
    <xf numFmtId="184" fontId="8" fillId="0" borderId="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0"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183" fontId="26" fillId="20" borderId="29" applyNumberFormat="0" applyFont="0" applyAlignment="0" applyProtection="0"/>
    <xf numFmtId="184" fontId="26" fillId="20" borderId="29" applyNumberFormat="0" applyFont="0" applyAlignment="0" applyProtection="0"/>
    <xf numFmtId="184" fontId="26" fillId="20" borderId="29" applyNumberFormat="0" applyFont="0" applyAlignment="0" applyProtection="0"/>
    <xf numFmtId="203" fontId="137" fillId="0" borderId="44" applyFont="0" applyFill="0" applyBorder="0" applyAlignment="0" applyProtection="0">
      <alignment horizontal="center"/>
      <protection locked="0"/>
    </xf>
    <xf numFmtId="203" fontId="137" fillId="0" borderId="44" applyFont="0" applyFill="0" applyBorder="0" applyAlignment="0" applyProtection="0">
      <alignment horizontal="center"/>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2" fontId="83" fillId="42" borderId="21" applyNumberFormat="0" applyAlignment="0" applyProtection="0"/>
    <xf numFmtId="0" fontId="138" fillId="75"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138" fillId="97" borderId="45" applyNumberFormat="0" applyAlignment="0" applyProtection="0"/>
    <xf numFmtId="0" fontId="138" fillId="75" borderId="45" applyNumberFormat="0" applyAlignment="0" applyProtection="0"/>
    <xf numFmtId="0"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138" fillId="75" borderId="45" applyNumberFormat="0" applyAlignment="0" applyProtection="0"/>
    <xf numFmtId="184" fontId="138" fillId="75" borderId="45" applyNumberFormat="0" applyAlignment="0" applyProtection="0"/>
    <xf numFmtId="187"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138" fillId="75" borderId="45" applyNumberFormat="0" applyAlignment="0" applyProtection="0"/>
    <xf numFmtId="0" fontId="138" fillId="75" borderId="45" applyNumberFormat="0" applyAlignment="0" applyProtection="0"/>
    <xf numFmtId="184" fontId="138" fillId="75" borderId="45" applyNumberFormat="0" applyAlignment="0" applyProtection="0"/>
    <xf numFmtId="0" fontId="138" fillId="96" borderId="45" applyNumberFormat="0" applyAlignment="0" applyProtection="0"/>
    <xf numFmtId="184" fontId="138" fillId="96" borderId="45" applyNumberFormat="0" applyAlignment="0" applyProtection="0"/>
    <xf numFmtId="184" fontId="138" fillId="75" borderId="45" applyNumberFormat="0" applyAlignment="0" applyProtection="0"/>
    <xf numFmtId="182" fontId="138" fillId="96" borderId="45" applyNumberFormat="0" applyAlignment="0" applyProtection="0"/>
    <xf numFmtId="0" fontId="83" fillId="42" borderId="21" applyNumberFormat="0" applyAlignment="0" applyProtection="0"/>
    <xf numFmtId="183"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3" fillId="42" borderId="21" applyNumberFormat="0" applyAlignment="0" applyProtection="0"/>
    <xf numFmtId="185" fontId="83" fillId="42" borderId="21" applyNumberFormat="0" applyAlignment="0" applyProtection="0"/>
    <xf numFmtId="183"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184" fontId="83" fillId="42" borderId="21" applyNumberFormat="0" applyAlignment="0" applyProtection="0"/>
    <xf numFmtId="185"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3" fillId="42" borderId="21" applyNumberFormat="0" applyAlignment="0" applyProtection="0"/>
    <xf numFmtId="0"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3" fillId="42" borderId="21" applyNumberFormat="0" applyAlignment="0" applyProtection="0"/>
    <xf numFmtId="0"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138" fillId="96" borderId="45" applyNumberFormat="0" applyAlignment="0" applyProtection="0"/>
    <xf numFmtId="183"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3" fontId="138" fillId="96" borderId="45" applyNumberFormat="0" applyAlignment="0" applyProtection="0"/>
    <xf numFmtId="183" fontId="138" fillId="96" borderId="45" applyNumberFormat="0" applyAlignment="0" applyProtection="0"/>
    <xf numFmtId="183" fontId="138" fillId="96" borderId="45" applyNumberFormat="0" applyAlignment="0" applyProtection="0"/>
    <xf numFmtId="184" fontId="138" fillId="96" borderId="45" applyNumberFormat="0" applyAlignment="0" applyProtection="0"/>
    <xf numFmtId="184" fontId="138" fillId="96" borderId="45" applyNumberFormat="0" applyAlignment="0" applyProtection="0"/>
    <xf numFmtId="0" fontId="8" fillId="0" borderId="0"/>
    <xf numFmtId="183" fontId="8" fillId="0" borderId="0"/>
    <xf numFmtId="184" fontId="8" fillId="0" borderId="0"/>
    <xf numFmtId="184" fontId="8" fillId="0" borderId="0"/>
    <xf numFmtId="183" fontId="138" fillId="96" borderId="45" applyNumberFormat="0" applyAlignment="0" applyProtection="0"/>
    <xf numFmtId="184" fontId="138" fillId="96" borderId="45" applyNumberFormat="0" applyAlignment="0" applyProtection="0"/>
    <xf numFmtId="184" fontId="138" fillId="96" borderId="45" applyNumberFormat="0" applyAlignment="0" applyProtection="0"/>
    <xf numFmtId="0" fontId="138" fillId="96" borderId="45" applyNumberFormat="0" applyAlignment="0" applyProtection="0"/>
    <xf numFmtId="183" fontId="138" fillId="96" borderId="45" applyNumberFormat="0" applyAlignment="0" applyProtection="0"/>
    <xf numFmtId="183" fontId="138" fillId="96" borderId="45" applyNumberFormat="0" applyAlignment="0" applyProtection="0"/>
    <xf numFmtId="184" fontId="138" fillId="96" borderId="45" applyNumberFormat="0" applyAlignment="0" applyProtection="0"/>
    <xf numFmtId="184" fontId="138" fillId="96" borderId="45" applyNumberFormat="0" applyAlignment="0" applyProtection="0"/>
    <xf numFmtId="0" fontId="138" fillId="96" borderId="45" applyNumberFormat="0" applyAlignment="0" applyProtection="0"/>
    <xf numFmtId="184" fontId="138" fillId="96" borderId="45" applyNumberFormat="0" applyAlignment="0" applyProtection="0"/>
    <xf numFmtId="184" fontId="138" fillId="96"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138" fillId="96" borderId="45" applyNumberFormat="0" applyAlignment="0" applyProtection="0"/>
    <xf numFmtId="184" fontId="138" fillId="96" borderId="45" applyNumberFormat="0" applyAlignment="0" applyProtection="0"/>
    <xf numFmtId="184" fontId="138" fillId="96" borderId="45" applyNumberFormat="0" applyAlignment="0" applyProtection="0"/>
    <xf numFmtId="183"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185"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8" fillId="0" borderId="0"/>
    <xf numFmtId="183" fontId="8" fillId="0" borderId="0"/>
    <xf numFmtId="184" fontId="8" fillId="0" borderId="0"/>
    <xf numFmtId="184" fontId="8" fillId="0" borderId="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185"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185"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138" fillId="75" borderId="45" applyNumberFormat="0" applyAlignment="0" applyProtection="0"/>
    <xf numFmtId="183"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3"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3" fillId="42" borderId="21" applyNumberFormat="0" applyAlignment="0" applyProtection="0"/>
    <xf numFmtId="185" fontId="83" fillId="42" borderId="21" applyNumberFormat="0" applyAlignment="0" applyProtection="0"/>
    <xf numFmtId="183"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184" fontId="83" fillId="42" borderId="21" applyNumberFormat="0" applyAlignment="0" applyProtection="0"/>
    <xf numFmtId="185"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3" fillId="42" borderId="21" applyNumberFormat="0" applyAlignment="0" applyProtection="0"/>
    <xf numFmtId="0"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3" fillId="42" borderId="21" applyNumberFormat="0" applyAlignment="0" applyProtection="0"/>
    <xf numFmtId="0" fontId="138" fillId="75" borderId="45" applyNumberFormat="0" applyAlignment="0" applyProtection="0"/>
    <xf numFmtId="183"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3" fillId="42" borderId="21" applyNumberFormat="0" applyAlignment="0" applyProtection="0"/>
    <xf numFmtId="185" fontId="83" fillId="42" borderId="21" applyNumberFormat="0" applyAlignment="0" applyProtection="0"/>
    <xf numFmtId="183"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184" fontId="83" fillId="42" borderId="21" applyNumberFormat="0" applyAlignment="0" applyProtection="0"/>
    <xf numFmtId="185"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3" fillId="42" borderId="21" applyNumberFormat="0" applyAlignment="0" applyProtection="0"/>
    <xf numFmtId="0"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3" fillId="42" borderId="21" applyNumberFormat="0" applyAlignment="0" applyProtection="0"/>
    <xf numFmtId="0"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185"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8" fillId="0" borderId="0"/>
    <xf numFmtId="183" fontId="8" fillId="0" borderId="0"/>
    <xf numFmtId="184" fontId="8" fillId="0" borderId="0"/>
    <xf numFmtId="184" fontId="8" fillId="0" borderId="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185"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185"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138" fillId="75" borderId="45" applyNumberFormat="0" applyAlignment="0" applyProtection="0"/>
    <xf numFmtId="183" fontId="138" fillId="75" borderId="45" applyNumberFormat="0" applyAlignment="0" applyProtection="0"/>
    <xf numFmtId="183"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138" fillId="75" borderId="45" applyNumberFormat="0" applyAlignment="0" applyProtection="0"/>
    <xf numFmtId="184" fontId="138" fillId="75" borderId="45" applyNumberFormat="0" applyAlignment="0" applyProtection="0"/>
    <xf numFmtId="184" fontId="138" fillId="75" borderId="45" applyNumberFormat="0" applyAlignment="0" applyProtection="0"/>
    <xf numFmtId="185"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3" fontId="138" fillId="97" borderId="45" applyNumberFormat="0" applyAlignment="0" applyProtection="0"/>
    <xf numFmtId="183"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185"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38" fillId="97" borderId="45" applyNumberFormat="0" applyAlignment="0" applyProtection="0"/>
    <xf numFmtId="184" fontId="138" fillId="97" borderId="45" applyNumberFormat="0" applyAlignment="0" applyProtection="0"/>
    <xf numFmtId="184" fontId="138" fillId="97" borderId="45" applyNumberFormat="0" applyAlignment="0" applyProtection="0"/>
    <xf numFmtId="0" fontId="83" fillId="42" borderId="21" applyNumberFormat="0" applyAlignment="0" applyProtection="0"/>
    <xf numFmtId="184" fontId="83" fillId="42" borderId="21" applyNumberFormat="0" applyAlignment="0" applyProtection="0"/>
    <xf numFmtId="0" fontId="138" fillId="96" borderId="45" applyNumberFormat="0" applyAlignment="0" applyProtection="0"/>
    <xf numFmtId="184" fontId="138" fillId="96" borderId="45" applyNumberFormat="0" applyAlignment="0" applyProtection="0"/>
    <xf numFmtId="184" fontId="83" fillId="42" borderId="21" applyNumberFormat="0" applyAlignment="0" applyProtection="0"/>
    <xf numFmtId="10" fontId="139" fillId="0" borderId="46" applyFont="0" applyFill="0" applyBorder="0" applyAlignment="0" applyProtection="0">
      <alignment horizontal="center"/>
      <protection locked="0"/>
    </xf>
    <xf numFmtId="10" fontId="139" fillId="0" borderId="46" applyFont="0" applyFill="0" applyBorder="0" applyAlignment="0" applyProtection="0">
      <alignment horizontal="center"/>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90" fontId="140" fillId="0" borderId="0" applyFont="0" applyFill="0" applyBorder="0" applyProtection="0">
      <alignment horizontal="center"/>
    </xf>
    <xf numFmtId="190" fontId="140" fillId="0" borderId="0" applyFont="0" applyFill="0" applyBorder="0" applyProtection="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4" fontId="33" fillId="0" borderId="0">
      <alignment horizontal="center" wrapText="1"/>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204" fontId="24" fillId="0" borderId="0" applyFont="0" applyFill="0" applyBorder="0" applyAlignment="0" applyProtection="0"/>
    <xf numFmtId="204"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0"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56" fillId="0" borderId="0" applyFont="0" applyFill="0" applyBorder="0" applyAlignment="0" applyProtection="0"/>
    <xf numFmtId="9" fontId="56" fillId="0" borderId="0" applyFont="0" applyFill="0" applyBorder="0" applyAlignment="0" applyProtection="0"/>
    <xf numFmtId="0" fontId="8" fillId="0" borderId="0"/>
    <xf numFmtId="183" fontId="8" fillId="0" borderId="0"/>
    <xf numFmtId="184" fontId="8" fillId="0" borderId="0"/>
    <xf numFmtId="184" fontId="8" fillId="0" borderId="0"/>
    <xf numFmtId="9" fontId="56" fillId="0" borderId="0" applyFont="0" applyFill="0" applyBorder="0" applyAlignment="0" applyProtection="0"/>
    <xf numFmtId="9" fontId="56" fillId="0" borderId="0" applyFont="0" applyFill="0" applyBorder="0" applyAlignment="0" applyProtection="0"/>
    <xf numFmtId="0" fontId="8" fillId="0" borderId="0"/>
    <xf numFmtId="183" fontId="8" fillId="0" borderId="0"/>
    <xf numFmtId="184" fontId="8" fillId="0" borderId="0"/>
    <xf numFmtId="184" fontId="8" fillId="0" borderId="0"/>
    <xf numFmtId="9" fontId="56" fillId="0" borderId="0" applyFont="0" applyFill="0" applyBorder="0" applyAlignment="0" applyProtection="0"/>
    <xf numFmtId="9" fontId="56" fillId="0" borderId="0" applyFont="0" applyFill="0" applyBorder="0" applyAlignment="0" applyProtection="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40"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40" fillId="0" borderId="0" applyFont="0" applyFill="0" applyBorder="0" applyAlignment="0" applyProtection="0"/>
    <xf numFmtId="9" fontId="136"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4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136"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40"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40"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4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8" fillId="0" borderId="0"/>
    <xf numFmtId="183" fontId="8" fillId="0" borderId="0"/>
    <xf numFmtId="184" fontId="8" fillId="0" borderId="0"/>
    <xf numFmtId="184" fontId="8" fillId="0" borderId="0"/>
    <xf numFmtId="9" fontId="43"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4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8" fillId="0" borderId="0"/>
    <xf numFmtId="183" fontId="8" fillId="0" borderId="0"/>
    <xf numFmtId="184" fontId="8" fillId="0" borderId="0"/>
    <xf numFmtId="184" fontId="8" fillId="0" borderId="0"/>
    <xf numFmtId="9" fontId="43"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applyFont="0" applyFill="0" applyBorder="0" applyAlignment="0" applyProtection="0"/>
    <xf numFmtId="9" fontId="24"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24" fillId="0" borderId="0"/>
    <xf numFmtId="10" fontId="141" fillId="0" borderId="47" applyFont="0" applyFill="0" applyBorder="0" applyAlignment="0" applyProtection="0">
      <alignment horizontal="center"/>
      <protection locked="0"/>
    </xf>
    <xf numFmtId="10" fontId="141" fillId="0" borderId="47" applyFont="0" applyFill="0" applyBorder="0" applyAlignment="0" applyProtection="0">
      <alignment horizontal="center"/>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36" fillId="0" borderId="0" applyFont="0" applyAlignment="0">
      <alignment horizontal="center" wrapText="1"/>
    </xf>
    <xf numFmtId="9" fontId="36" fillId="0" borderId="0" applyFont="0" applyAlignment="0">
      <alignment horizontal="center" wrapTex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9" fontId="142" fillId="0" borderId="0" applyNumberFormat="0" applyFill="0" applyBorder="0" applyProtection="0">
      <alignment horizontal="right"/>
    </xf>
    <xf numFmtId="9" fontId="142" fillId="0" borderId="0" applyNumberFormat="0" applyFill="0" applyBorder="0" applyProtection="0">
      <alignment horizontal="righ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184"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183"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46" fillId="0" borderId="0" applyNumberFormat="0" applyFont="0" applyFill="0" applyBorder="0" applyAlignment="0" applyProtection="0">
      <alignment horizontal="left"/>
    </xf>
    <xf numFmtId="184" fontId="46" fillId="0" borderId="0" applyNumberFormat="0" applyFont="0" applyFill="0" applyBorder="0" applyAlignment="0" applyProtection="0">
      <alignment horizontal="left"/>
    </xf>
    <xf numFmtId="15" fontId="46" fillId="0" borderId="0" applyFont="0" applyFill="0" applyBorder="0" applyAlignment="0" applyProtection="0"/>
    <xf numFmtId="15" fontId="46" fillId="0" borderId="0" applyFont="0" applyFill="0" applyBorder="0" applyAlignment="0" applyProtection="0"/>
    <xf numFmtId="15" fontId="46"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5" fontId="46"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6"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3" fontId="46" fillId="0" borderId="0" applyFon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143" fillId="106" borderId="0" applyNumberFormat="0" applyFont="0" applyBorder="0" applyAlignment="0">
      <alignment horizontal="center"/>
    </xf>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143" fillId="106" borderId="0" applyNumberFormat="0" applyFont="0" applyBorder="0" applyAlignment="0">
      <alignment horizontal="center"/>
    </xf>
    <xf numFmtId="184" fontId="143" fillId="106" borderId="0" applyNumberFormat="0" applyFont="0" applyBorder="0" applyAlignment="0">
      <alignment horizontal="center"/>
    </xf>
    <xf numFmtId="205" fontId="144" fillId="0" borderId="0" applyNumberFormat="0" applyFill="0" applyBorder="0" applyAlignment="0" applyProtection="0">
      <alignment horizontal="left"/>
    </xf>
    <xf numFmtId="205" fontId="144" fillId="0" borderId="0" applyNumberFormat="0" applyFill="0" applyBorder="0" applyAlignment="0" applyProtection="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4" fontId="26" fillId="25" borderId="29" applyNumberFormat="0" applyProtection="0">
      <alignment vertical="center"/>
    </xf>
    <xf numFmtId="4" fontId="26" fillId="25" borderId="29" applyNumberFormat="0" applyProtection="0">
      <alignment vertical="center"/>
    </xf>
    <xf numFmtId="0" fontId="24" fillId="0" borderId="0"/>
    <xf numFmtId="184" fontId="24" fillId="0" borderId="0"/>
    <xf numFmtId="4" fontId="26" fillId="25" borderId="29" applyNumberFormat="0" applyProtection="0">
      <alignment vertical="center"/>
    </xf>
    <xf numFmtId="184" fontId="24" fillId="0" borderId="0"/>
    <xf numFmtId="4" fontId="45" fillId="25" borderId="1"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0" fontId="8" fillId="0" borderId="0"/>
    <xf numFmtId="183" fontId="8" fillId="0" borderId="0"/>
    <xf numFmtId="184" fontId="8" fillId="0" borderId="0"/>
    <xf numFmtId="184" fontId="8" fillId="0" borderId="0"/>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26" fillId="25" borderId="29"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5" fillId="25" borderId="1" applyNumberFormat="0" applyProtection="0">
      <alignmen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145" fillId="107" borderId="29" applyNumberFormat="0" applyProtection="0">
      <alignment vertical="center"/>
    </xf>
    <xf numFmtId="184" fontId="24" fillId="0" borderId="0"/>
    <xf numFmtId="4" fontId="47" fillId="25" borderId="1"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0" fontId="8" fillId="0" borderId="0"/>
    <xf numFmtId="183" fontId="8" fillId="0" borderId="0"/>
    <xf numFmtId="184" fontId="8" fillId="0" borderId="0"/>
    <xf numFmtId="184" fontId="8" fillId="0" borderId="0"/>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145" fillId="107" borderId="29" applyNumberFormat="0" applyProtection="0">
      <alignment vertical="center"/>
    </xf>
    <xf numFmtId="4" fontId="47" fillId="25" borderId="1" applyNumberFormat="0" applyProtection="0">
      <alignment vertical="center"/>
    </xf>
    <xf numFmtId="4" fontId="47" fillId="25" borderId="1" applyNumberFormat="0" applyProtection="0">
      <alignmen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7" fillId="25" borderId="1" applyNumberFormat="0" applyProtection="0">
      <alignmen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107" borderId="29" applyNumberFormat="0" applyProtection="0">
      <alignment horizontal="left" vertical="center" indent="1"/>
    </xf>
    <xf numFmtId="4" fontId="26" fillId="107" borderId="29" applyNumberFormat="0" applyProtection="0">
      <alignment horizontal="left" vertical="center" indent="1"/>
    </xf>
    <xf numFmtId="0" fontId="24" fillId="0" borderId="0"/>
    <xf numFmtId="184" fontId="24" fillId="0" borderId="0"/>
    <xf numFmtId="4" fontId="26" fillId="107" borderId="29" applyNumberFormat="0" applyProtection="0">
      <alignment horizontal="left" vertical="center" indent="1"/>
    </xf>
    <xf numFmtId="184" fontId="24" fillId="0" borderId="0"/>
    <xf numFmtId="4" fontId="45" fillId="25" borderId="1"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0" fontId="8" fillId="0" borderId="0"/>
    <xf numFmtId="183" fontId="8" fillId="0" borderId="0"/>
    <xf numFmtId="184" fontId="8" fillId="0" borderId="0"/>
    <xf numFmtId="184" fontId="8" fillId="0" borderId="0"/>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26" fillId="107" borderId="29" applyNumberFormat="0" applyProtection="0">
      <alignment horizontal="left" vertical="center" indent="1"/>
    </xf>
    <xf numFmtId="4" fontId="45" fillId="25" borderId="1" applyNumberFormat="0" applyProtection="0">
      <alignment horizontal="left" vertical="center" indent="1"/>
    </xf>
    <xf numFmtId="4" fontId="45" fillId="25"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5" fillId="25" borderId="1" applyNumberFormat="0" applyProtection="0">
      <alignment horizontal="left" vertical="center"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8" fillId="0" borderId="0"/>
    <xf numFmtId="183" fontId="8" fillId="0" borderId="0"/>
    <xf numFmtId="184" fontId="8" fillId="0" borderId="0"/>
    <xf numFmtId="184" fontId="8" fillId="0" borderId="0"/>
    <xf numFmtId="0" fontId="24" fillId="0" borderId="0"/>
    <xf numFmtId="184" fontId="24" fillId="0" borderId="0"/>
    <xf numFmtId="187" fontId="45" fillId="25" borderId="1" applyNumberFormat="0" applyProtection="0">
      <alignment horizontal="left" vertical="top" indent="1"/>
    </xf>
    <xf numFmtId="0" fontId="24" fillId="0" borderId="0"/>
    <xf numFmtId="184" fontId="24" fillId="0" borderId="0"/>
    <xf numFmtId="187"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24" fillId="0" borderId="0"/>
    <xf numFmtId="184" fontId="24" fillId="0" borderId="0"/>
    <xf numFmtId="0" fontId="24" fillId="0" borderId="0"/>
    <xf numFmtId="184" fontId="24"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24" fillId="0" borderId="0"/>
    <xf numFmtId="182" fontId="146" fillId="25" borderId="1" applyNumberFormat="0" applyProtection="0">
      <alignment horizontal="left" vertical="top" indent="1"/>
    </xf>
    <xf numFmtId="0"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5"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5"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5"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8" fillId="0" borderId="0"/>
    <xf numFmtId="183" fontId="8" fillId="0" borderId="0"/>
    <xf numFmtId="184" fontId="8" fillId="0" borderId="0"/>
    <xf numFmtId="184" fontId="8" fillId="0" borderId="0"/>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5"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5"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5"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5"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5"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5"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5" fillId="25" borderId="1" applyNumberFormat="0" applyProtection="0">
      <alignment horizontal="left" vertical="top" indent="1"/>
    </xf>
    <xf numFmtId="184" fontId="45" fillId="25" borderId="1" applyNumberFormat="0" applyProtection="0">
      <alignment horizontal="left" vertical="top" indent="1"/>
    </xf>
    <xf numFmtId="184" fontId="45" fillId="25" borderId="1" applyNumberFormat="0" applyProtection="0">
      <alignment horizontal="left" vertical="top"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4" fontId="26" fillId="78" borderId="29" applyNumberFormat="0" applyProtection="0">
      <alignment horizontal="left" vertical="center" indent="1"/>
    </xf>
    <xf numFmtId="4" fontId="45" fillId="27" borderId="0"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0" fontId="24" fillId="0" borderId="0"/>
    <xf numFmtId="184" fontId="24" fillId="0" borderId="0"/>
    <xf numFmtId="4" fontId="26" fillId="2" borderId="29" applyNumberFormat="0" applyProtection="0">
      <alignment horizontal="right" vertical="center"/>
    </xf>
    <xf numFmtId="4" fontId="26" fillId="2" borderId="29" applyNumberFormat="0" applyProtection="0">
      <alignment horizontal="right" vertical="center"/>
    </xf>
    <xf numFmtId="0" fontId="24" fillId="0" borderId="0"/>
    <xf numFmtId="184" fontId="24" fillId="0" borderId="0"/>
    <xf numFmtId="4" fontId="26" fillId="2" borderId="29" applyNumberFormat="0" applyProtection="0">
      <alignment horizontal="right" vertical="center"/>
    </xf>
    <xf numFmtId="184" fontId="24" fillId="0" borderId="0"/>
    <xf numFmtId="4" fontId="43" fillId="2" borderId="1"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0" fontId="8" fillId="0" borderId="0"/>
    <xf numFmtId="183" fontId="8" fillId="0" borderId="0"/>
    <xf numFmtId="184" fontId="8" fillId="0" borderId="0"/>
    <xf numFmtId="184" fontId="8" fillId="0" borderId="0"/>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26" fillId="2" borderId="29" applyNumberFormat="0" applyProtection="0">
      <alignment horizontal="right" vertical="center"/>
    </xf>
    <xf numFmtId="4" fontId="43" fillId="2" borderId="1" applyNumberFormat="0" applyProtection="0">
      <alignment horizontal="right" vertical="center"/>
    </xf>
    <xf numFmtId="4" fontId="43" fillId="2" borderId="1" applyNumberFormat="0" applyProtection="0">
      <alignment horizontal="right" vertical="center"/>
    </xf>
    <xf numFmtId="4" fontId="43" fillId="2" borderId="1" applyNumberFormat="0" applyProtection="0">
      <alignment horizontal="right" vertical="center"/>
    </xf>
    <xf numFmtId="4" fontId="43" fillId="2"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2" borderId="1" applyNumberFormat="0" applyProtection="0">
      <alignment horizontal="right" vertical="center"/>
    </xf>
    <xf numFmtId="4" fontId="43" fillId="2" borderId="1" applyNumberFormat="0" applyProtection="0">
      <alignment horizontal="right" vertical="center"/>
    </xf>
    <xf numFmtId="4" fontId="43" fillId="2"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108" borderId="29" applyNumberFormat="0" applyProtection="0">
      <alignment horizontal="right" vertical="center"/>
    </xf>
    <xf numFmtId="4" fontId="26" fillId="108" borderId="29" applyNumberFormat="0" applyProtection="0">
      <alignment horizontal="right" vertical="center"/>
    </xf>
    <xf numFmtId="0" fontId="24" fillId="0" borderId="0"/>
    <xf numFmtId="184" fontId="24" fillId="0" borderId="0"/>
    <xf numFmtId="4" fontId="26" fillId="108" borderId="29" applyNumberFormat="0" applyProtection="0">
      <alignment horizontal="right" vertical="center"/>
    </xf>
    <xf numFmtId="184" fontId="24" fillId="0" borderId="0"/>
    <xf numFmtId="4" fontId="43" fillId="4" borderId="1"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0" fontId="8" fillId="0" borderId="0"/>
    <xf numFmtId="183" fontId="8" fillId="0" borderId="0"/>
    <xf numFmtId="184" fontId="8" fillId="0" borderId="0"/>
    <xf numFmtId="184" fontId="8" fillId="0" borderId="0"/>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26" fillId="108" borderId="29" applyNumberFormat="0" applyProtection="0">
      <alignment horizontal="right" vertical="center"/>
    </xf>
    <xf numFmtId="4" fontId="43" fillId="4" borderId="1" applyNumberFormat="0" applyProtection="0">
      <alignment horizontal="right" vertical="center"/>
    </xf>
    <xf numFmtId="4" fontId="43" fillId="4" borderId="1" applyNumberFormat="0" applyProtection="0">
      <alignment horizontal="right" vertical="center"/>
    </xf>
    <xf numFmtId="4" fontId="43" fillId="4" borderId="1" applyNumberFormat="0" applyProtection="0">
      <alignment horizontal="right" vertical="center"/>
    </xf>
    <xf numFmtId="4" fontId="43" fillId="4"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4" borderId="1" applyNumberFormat="0" applyProtection="0">
      <alignment horizontal="right" vertical="center"/>
    </xf>
    <xf numFmtId="4" fontId="43" fillId="4" borderId="1" applyNumberFormat="0" applyProtection="0">
      <alignment horizontal="right" vertical="center"/>
    </xf>
    <xf numFmtId="4" fontId="43" fillId="4"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11" borderId="48" applyNumberFormat="0" applyProtection="0">
      <alignment horizontal="right" vertical="center"/>
    </xf>
    <xf numFmtId="4" fontId="26" fillId="11" borderId="48" applyNumberFormat="0" applyProtection="0">
      <alignment horizontal="right" vertical="center"/>
    </xf>
    <xf numFmtId="0" fontId="24" fillId="0" borderId="0"/>
    <xf numFmtId="184" fontId="24" fillId="0" borderId="0"/>
    <xf numFmtId="184" fontId="24" fillId="0" borderId="0"/>
    <xf numFmtId="4" fontId="43" fillId="11" borderId="1"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0" fontId="8" fillId="0" borderId="0"/>
    <xf numFmtId="183" fontId="8" fillId="0" borderId="0"/>
    <xf numFmtId="184" fontId="8" fillId="0" borderId="0"/>
    <xf numFmtId="184" fontId="8" fillId="0" borderId="0"/>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26" fillId="11" borderId="48" applyNumberFormat="0" applyProtection="0">
      <alignment horizontal="right" vertical="center"/>
    </xf>
    <xf numFmtId="4" fontId="43" fillId="11" borderId="1" applyNumberFormat="0" applyProtection="0">
      <alignment horizontal="right" vertical="center"/>
    </xf>
    <xf numFmtId="4" fontId="43" fillId="11" borderId="1" applyNumberFormat="0" applyProtection="0">
      <alignment horizontal="right" vertical="center"/>
    </xf>
    <xf numFmtId="4" fontId="43" fillId="11" borderId="1" applyNumberFormat="0" applyProtection="0">
      <alignment horizontal="right" vertical="center"/>
    </xf>
    <xf numFmtId="4" fontId="43" fillId="11"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11" borderId="1" applyNumberFormat="0" applyProtection="0">
      <alignment horizontal="right" vertical="center"/>
    </xf>
    <xf numFmtId="4" fontId="43" fillId="11" borderId="1" applyNumberFormat="0" applyProtection="0">
      <alignment horizontal="right" vertical="center"/>
    </xf>
    <xf numFmtId="4" fontId="43" fillId="11"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6" borderId="29" applyNumberFormat="0" applyProtection="0">
      <alignment horizontal="right" vertical="center"/>
    </xf>
    <xf numFmtId="4" fontId="26" fillId="6" borderId="29" applyNumberFormat="0" applyProtection="0">
      <alignment horizontal="right" vertical="center"/>
    </xf>
    <xf numFmtId="0" fontId="24" fillId="0" borderId="0"/>
    <xf numFmtId="184" fontId="24" fillId="0" borderId="0"/>
    <xf numFmtId="4" fontId="26" fillId="6" borderId="29" applyNumberFormat="0" applyProtection="0">
      <alignment horizontal="right" vertical="center"/>
    </xf>
    <xf numFmtId="184" fontId="24" fillId="0" borderId="0"/>
    <xf numFmtId="4" fontId="43" fillId="6" borderId="1"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0" fontId="8" fillId="0" borderId="0"/>
    <xf numFmtId="183" fontId="8" fillId="0" borderId="0"/>
    <xf numFmtId="184" fontId="8" fillId="0" borderId="0"/>
    <xf numFmtId="184" fontId="8" fillId="0" borderId="0"/>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26" fillId="6" borderId="29" applyNumberFormat="0" applyProtection="0">
      <alignment horizontal="right" vertical="center"/>
    </xf>
    <xf numFmtId="4" fontId="43" fillId="6" borderId="1" applyNumberFormat="0" applyProtection="0">
      <alignment horizontal="right" vertical="center"/>
    </xf>
    <xf numFmtId="4" fontId="43" fillId="6" borderId="1" applyNumberFormat="0" applyProtection="0">
      <alignment horizontal="right" vertical="center"/>
    </xf>
    <xf numFmtId="4" fontId="43" fillId="6" borderId="1" applyNumberFormat="0" applyProtection="0">
      <alignment horizontal="right" vertical="center"/>
    </xf>
    <xf numFmtId="4" fontId="43" fillId="6"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6" borderId="1" applyNumberFormat="0" applyProtection="0">
      <alignment horizontal="right" vertical="center"/>
    </xf>
    <xf numFmtId="4" fontId="43" fillId="6" borderId="1" applyNumberFormat="0" applyProtection="0">
      <alignment horizontal="right" vertical="center"/>
    </xf>
    <xf numFmtId="4" fontId="43" fillId="6"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7" borderId="29" applyNumberFormat="0" applyProtection="0">
      <alignment horizontal="right" vertical="center"/>
    </xf>
    <xf numFmtId="4" fontId="26" fillId="7" borderId="29" applyNumberFormat="0" applyProtection="0">
      <alignment horizontal="right" vertical="center"/>
    </xf>
    <xf numFmtId="0" fontId="24" fillId="0" borderId="0"/>
    <xf numFmtId="184" fontId="24" fillId="0" borderId="0"/>
    <xf numFmtId="4" fontId="26" fillId="7" borderId="29" applyNumberFormat="0" applyProtection="0">
      <alignment horizontal="right" vertical="center"/>
    </xf>
    <xf numFmtId="184" fontId="24" fillId="0" borderId="0"/>
    <xf numFmtId="4" fontId="43" fillId="7" borderId="1"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0" fontId="8" fillId="0" borderId="0"/>
    <xf numFmtId="183" fontId="8" fillId="0" borderId="0"/>
    <xf numFmtId="184" fontId="8" fillId="0" borderId="0"/>
    <xf numFmtId="184" fontId="8" fillId="0" borderId="0"/>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26" fillId="7" borderId="29" applyNumberFormat="0" applyProtection="0">
      <alignment horizontal="right" vertical="center"/>
    </xf>
    <xf numFmtId="4" fontId="43" fillId="7" borderId="1" applyNumberFormat="0" applyProtection="0">
      <alignment horizontal="right" vertical="center"/>
    </xf>
    <xf numFmtId="4" fontId="43" fillId="7" borderId="1" applyNumberFormat="0" applyProtection="0">
      <alignment horizontal="right" vertical="center"/>
    </xf>
    <xf numFmtId="4" fontId="43" fillId="7" borderId="1" applyNumberFormat="0" applyProtection="0">
      <alignment horizontal="right" vertical="center"/>
    </xf>
    <xf numFmtId="4" fontId="43" fillId="7"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7" borderId="1" applyNumberFormat="0" applyProtection="0">
      <alignment horizontal="right" vertical="center"/>
    </xf>
    <xf numFmtId="4" fontId="43" fillId="7" borderId="1" applyNumberFormat="0" applyProtection="0">
      <alignment horizontal="right" vertical="center"/>
    </xf>
    <xf numFmtId="4" fontId="43" fillId="7"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19" borderId="29" applyNumberFormat="0" applyProtection="0">
      <alignment horizontal="right" vertical="center"/>
    </xf>
    <xf numFmtId="4" fontId="26" fillId="19" borderId="29" applyNumberFormat="0" applyProtection="0">
      <alignment horizontal="right" vertical="center"/>
    </xf>
    <xf numFmtId="0" fontId="24" fillId="0" borderId="0"/>
    <xf numFmtId="184" fontId="24" fillId="0" borderId="0"/>
    <xf numFmtId="4" fontId="26" fillId="19" borderId="29" applyNumberFormat="0" applyProtection="0">
      <alignment horizontal="right" vertical="center"/>
    </xf>
    <xf numFmtId="184" fontId="24" fillId="0" borderId="0"/>
    <xf numFmtId="4" fontId="43" fillId="19" borderId="1"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0" fontId="8" fillId="0" borderId="0"/>
    <xf numFmtId="183" fontId="8" fillId="0" borderId="0"/>
    <xf numFmtId="184" fontId="8" fillId="0" borderId="0"/>
    <xf numFmtId="184" fontId="8" fillId="0" borderId="0"/>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26" fillId="19" borderId="29" applyNumberFormat="0" applyProtection="0">
      <alignment horizontal="right" vertical="center"/>
    </xf>
    <xf numFmtId="4" fontId="43" fillId="19" borderId="1" applyNumberFormat="0" applyProtection="0">
      <alignment horizontal="right" vertical="center"/>
    </xf>
    <xf numFmtId="4" fontId="43" fillId="19" borderId="1" applyNumberFormat="0" applyProtection="0">
      <alignment horizontal="right" vertical="center"/>
    </xf>
    <xf numFmtId="4" fontId="43" fillId="19" borderId="1" applyNumberFormat="0" applyProtection="0">
      <alignment horizontal="right" vertical="center"/>
    </xf>
    <xf numFmtId="4" fontId="43" fillId="19"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19" borderId="1" applyNumberFormat="0" applyProtection="0">
      <alignment horizontal="right" vertical="center"/>
    </xf>
    <xf numFmtId="4" fontId="43" fillId="19" borderId="1" applyNumberFormat="0" applyProtection="0">
      <alignment horizontal="right" vertical="center"/>
    </xf>
    <xf numFmtId="4" fontId="43" fillId="19"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15" borderId="29" applyNumberFormat="0" applyProtection="0">
      <alignment horizontal="right" vertical="center"/>
    </xf>
    <xf numFmtId="4" fontId="26" fillId="15" borderId="29" applyNumberFormat="0" applyProtection="0">
      <alignment horizontal="right" vertical="center"/>
    </xf>
    <xf numFmtId="0" fontId="24" fillId="0" borderId="0"/>
    <xf numFmtId="184" fontId="24" fillId="0" borderId="0"/>
    <xf numFmtId="4" fontId="26" fillId="15" borderId="29" applyNumberFormat="0" applyProtection="0">
      <alignment horizontal="right" vertical="center"/>
    </xf>
    <xf numFmtId="184" fontId="24" fillId="0" borderId="0"/>
    <xf numFmtId="4" fontId="43" fillId="15" borderId="1"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0" fontId="8" fillId="0" borderId="0"/>
    <xf numFmtId="183" fontId="8" fillId="0" borderId="0"/>
    <xf numFmtId="184" fontId="8" fillId="0" borderId="0"/>
    <xf numFmtId="184" fontId="8" fillId="0" borderId="0"/>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26" fillId="15" borderId="29" applyNumberFormat="0" applyProtection="0">
      <alignment horizontal="right" vertical="center"/>
    </xf>
    <xf numFmtId="4" fontId="43" fillId="15" borderId="1" applyNumberFormat="0" applyProtection="0">
      <alignment horizontal="right" vertical="center"/>
    </xf>
    <xf numFmtId="4" fontId="43" fillId="15" borderId="1" applyNumberFormat="0" applyProtection="0">
      <alignment horizontal="right" vertical="center"/>
    </xf>
    <xf numFmtId="4" fontId="43" fillId="15" borderId="1" applyNumberFormat="0" applyProtection="0">
      <alignment horizontal="right" vertical="center"/>
    </xf>
    <xf numFmtId="4" fontId="43" fillId="15"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15" borderId="1" applyNumberFormat="0" applyProtection="0">
      <alignment horizontal="right" vertical="center"/>
    </xf>
    <xf numFmtId="4" fontId="43" fillId="15" borderId="1" applyNumberFormat="0" applyProtection="0">
      <alignment horizontal="right" vertical="center"/>
    </xf>
    <xf numFmtId="4" fontId="43" fillId="15"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28" borderId="29" applyNumberFormat="0" applyProtection="0">
      <alignment horizontal="right" vertical="center"/>
    </xf>
    <xf numFmtId="4" fontId="26" fillId="28" borderId="29" applyNumberFormat="0" applyProtection="0">
      <alignment horizontal="right" vertical="center"/>
    </xf>
    <xf numFmtId="0" fontId="24" fillId="0" borderId="0"/>
    <xf numFmtId="184" fontId="24" fillId="0" borderId="0"/>
    <xf numFmtId="4" fontId="26" fillId="28" borderId="29" applyNumberFormat="0" applyProtection="0">
      <alignment horizontal="right" vertical="center"/>
    </xf>
    <xf numFmtId="184" fontId="24" fillId="0" borderId="0"/>
    <xf numFmtId="4" fontId="43" fillId="28" borderId="1"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0" fontId="8" fillId="0" borderId="0"/>
    <xf numFmtId="183" fontId="8" fillId="0" borderId="0"/>
    <xf numFmtId="184" fontId="8" fillId="0" borderId="0"/>
    <xf numFmtId="184" fontId="8" fillId="0" borderId="0"/>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26" fillId="28" borderId="29" applyNumberFormat="0" applyProtection="0">
      <alignment horizontal="right" vertical="center"/>
    </xf>
    <xf numFmtId="4" fontId="43" fillId="28" borderId="1" applyNumberFormat="0" applyProtection="0">
      <alignment horizontal="right" vertical="center"/>
    </xf>
    <xf numFmtId="4" fontId="43" fillId="28" borderId="1" applyNumberFormat="0" applyProtection="0">
      <alignment horizontal="right" vertical="center"/>
    </xf>
    <xf numFmtId="4" fontId="43" fillId="28" borderId="1" applyNumberFormat="0" applyProtection="0">
      <alignment horizontal="right" vertical="center"/>
    </xf>
    <xf numFmtId="4" fontId="43" fillId="28"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28" borderId="1" applyNumberFormat="0" applyProtection="0">
      <alignment horizontal="right" vertical="center"/>
    </xf>
    <xf numFmtId="4" fontId="43" fillId="28" borderId="1" applyNumberFormat="0" applyProtection="0">
      <alignment horizontal="right" vertical="center"/>
    </xf>
    <xf numFmtId="4" fontId="43" fillId="28"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5" borderId="29" applyNumberFormat="0" applyProtection="0">
      <alignment horizontal="right" vertical="center"/>
    </xf>
    <xf numFmtId="4" fontId="26" fillId="5" borderId="29" applyNumberFormat="0" applyProtection="0">
      <alignment horizontal="right" vertical="center"/>
    </xf>
    <xf numFmtId="0" fontId="24" fillId="0" borderId="0"/>
    <xf numFmtId="184" fontId="24" fillId="0" borderId="0"/>
    <xf numFmtId="4" fontId="26" fillId="5" borderId="29" applyNumberFormat="0" applyProtection="0">
      <alignment horizontal="right" vertical="center"/>
    </xf>
    <xf numFmtId="184" fontId="24" fillId="0" borderId="0"/>
    <xf numFmtId="4" fontId="43" fillId="5" borderId="1"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0" fontId="8" fillId="0" borderId="0"/>
    <xf numFmtId="183" fontId="8" fillId="0" borderId="0"/>
    <xf numFmtId="184" fontId="8" fillId="0" borderId="0"/>
    <xf numFmtId="184" fontId="8" fillId="0" borderId="0"/>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26" fillId="5" borderId="29" applyNumberFormat="0" applyProtection="0">
      <alignment horizontal="right" vertical="center"/>
    </xf>
    <xf numFmtId="4" fontId="43" fillId="5" borderId="1" applyNumberFormat="0" applyProtection="0">
      <alignment horizontal="right" vertical="center"/>
    </xf>
    <xf numFmtId="4" fontId="43" fillId="5" borderId="1" applyNumberFormat="0" applyProtection="0">
      <alignment horizontal="right" vertical="center"/>
    </xf>
    <xf numFmtId="4" fontId="43" fillId="5" borderId="1" applyNumberFormat="0" applyProtection="0">
      <alignment horizontal="right" vertical="center"/>
    </xf>
    <xf numFmtId="4" fontId="43" fillId="5"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5" borderId="1" applyNumberFormat="0" applyProtection="0">
      <alignment horizontal="right" vertical="center"/>
    </xf>
    <xf numFmtId="4" fontId="43" fillId="5" borderId="1" applyNumberFormat="0" applyProtection="0">
      <alignment horizontal="right" vertical="center"/>
    </xf>
    <xf numFmtId="4" fontId="43" fillId="5"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29" borderId="48" applyNumberFormat="0" applyProtection="0">
      <alignment horizontal="left" vertical="center" indent="1"/>
    </xf>
    <xf numFmtId="4" fontId="26" fillId="29" borderId="48" applyNumberFormat="0" applyProtection="0">
      <alignment horizontal="left" vertical="center" indent="1"/>
    </xf>
    <xf numFmtId="0" fontId="24" fillId="0" borderId="0"/>
    <xf numFmtId="184" fontId="24" fillId="0" borderId="0"/>
    <xf numFmtId="184" fontId="24" fillId="0" borderId="0"/>
    <xf numFmtId="4" fontId="45" fillId="29" borderId="2"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0" fontId="8" fillId="0" borderId="0"/>
    <xf numFmtId="183" fontId="8" fillId="0" borderId="0"/>
    <xf numFmtId="184" fontId="8" fillId="0" borderId="0"/>
    <xf numFmtId="184" fontId="8" fillId="0" borderId="0"/>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26" fillId="29" borderId="48" applyNumberFormat="0" applyProtection="0">
      <alignment horizontal="left" vertical="center" indent="1"/>
    </xf>
    <xf numFmtId="4" fontId="45" fillId="29" borderId="2"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0" fontId="24" fillId="0" borderId="0"/>
    <xf numFmtId="184" fontId="24" fillId="0" borderId="0"/>
    <xf numFmtId="184" fontId="24" fillId="0" borderId="0"/>
    <xf numFmtId="4" fontId="43" fillId="30" borderId="0"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0" fontId="8" fillId="0" borderId="0"/>
    <xf numFmtId="183" fontId="8" fillId="0" borderId="0"/>
    <xf numFmtId="184" fontId="8" fillId="0" borderId="0"/>
    <xf numFmtId="184" fontId="8" fillId="0" borderId="0"/>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43" fillId="30" borderId="0" applyNumberFormat="0" applyProtection="0">
      <alignment horizontal="left" vertical="center" indent="1"/>
    </xf>
    <xf numFmtId="4" fontId="43" fillId="30" borderId="0"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30" borderId="0" applyNumberFormat="0" applyProtection="0">
      <alignment horizontal="left" vertical="center"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0" fontId="24" fillId="0" borderId="0"/>
    <xf numFmtId="184" fontId="24" fillId="0" borderId="0"/>
    <xf numFmtId="184" fontId="24" fillId="0" borderId="0"/>
    <xf numFmtId="4" fontId="48" fillId="31" borderId="0"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0" fontId="8" fillId="0" borderId="0"/>
    <xf numFmtId="183" fontId="8" fillId="0" borderId="0"/>
    <xf numFmtId="184" fontId="8" fillId="0" borderId="0"/>
    <xf numFmtId="184" fontId="8" fillId="0" borderId="0"/>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24" fillId="31" borderId="48" applyNumberFormat="0" applyProtection="0">
      <alignment horizontal="left" vertical="center" indent="1"/>
    </xf>
    <xf numFmtId="4" fontId="48" fillId="31" borderId="0"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27" borderId="29" applyNumberFormat="0" applyProtection="0">
      <alignment horizontal="right" vertical="center"/>
    </xf>
    <xf numFmtId="4" fontId="26" fillId="27" borderId="29" applyNumberFormat="0" applyProtection="0">
      <alignment horizontal="right" vertical="center"/>
    </xf>
    <xf numFmtId="0" fontId="24" fillId="0" borderId="0"/>
    <xf numFmtId="184" fontId="24" fillId="0" borderId="0"/>
    <xf numFmtId="4" fontId="26" fillId="27" borderId="29" applyNumberFormat="0" applyProtection="0">
      <alignment horizontal="right" vertical="center"/>
    </xf>
    <xf numFmtId="184" fontId="24" fillId="0" borderId="0"/>
    <xf numFmtId="4" fontId="43" fillId="27" borderId="1"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0" fontId="8" fillId="0" borderId="0"/>
    <xf numFmtId="183" fontId="8" fillId="0" borderId="0"/>
    <xf numFmtId="184" fontId="8" fillId="0" borderId="0"/>
    <xf numFmtId="184" fontId="8" fillId="0" borderId="0"/>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26" fillId="27" borderId="29" applyNumberFormat="0" applyProtection="0">
      <alignment horizontal="right" vertical="center"/>
    </xf>
    <xf numFmtId="4" fontId="43" fillId="27" borderId="1" applyNumberFormat="0" applyProtection="0">
      <alignment horizontal="right" vertical="center"/>
    </xf>
    <xf numFmtId="4" fontId="43" fillId="27" borderId="1" applyNumberFormat="0" applyProtection="0">
      <alignment horizontal="right" vertical="center"/>
    </xf>
    <xf numFmtId="4" fontId="43" fillId="27" borderId="1" applyNumberFormat="0" applyProtection="0">
      <alignment horizontal="right" vertical="center"/>
    </xf>
    <xf numFmtId="4" fontId="43" fillId="27"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27" borderId="1" applyNumberFormat="0" applyProtection="0">
      <alignment horizontal="right" vertical="center"/>
    </xf>
    <xf numFmtId="4" fontId="43" fillId="27" borderId="1" applyNumberFormat="0" applyProtection="0">
      <alignment horizontal="right" vertical="center"/>
    </xf>
    <xf numFmtId="4" fontId="43" fillId="27"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30" borderId="48" applyNumberFormat="0" applyProtection="0">
      <alignment horizontal="left" vertical="center" indent="1"/>
    </xf>
    <xf numFmtId="4" fontId="26" fillId="30" borderId="48" applyNumberFormat="0" applyProtection="0">
      <alignment horizontal="left" vertical="center" indent="1"/>
    </xf>
    <xf numFmtId="0" fontId="24" fillId="0" borderId="0"/>
    <xf numFmtId="184" fontId="24" fillId="0" borderId="0"/>
    <xf numFmtId="184" fontId="24" fillId="0" borderId="0"/>
    <xf numFmtId="4" fontId="43" fillId="30" borderId="0"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0" fontId="8" fillId="0" borderId="0"/>
    <xf numFmtId="183" fontId="8" fillId="0" borderId="0"/>
    <xf numFmtId="184" fontId="8" fillId="0" borderId="0"/>
    <xf numFmtId="184" fontId="8" fillId="0" borderId="0"/>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26" fillId="30" borderId="48" applyNumberFormat="0" applyProtection="0">
      <alignment horizontal="left" vertical="center" indent="1"/>
    </xf>
    <xf numFmtId="4" fontId="43" fillId="30" borderId="0" applyNumberFormat="0" applyProtection="0">
      <alignment horizontal="left" vertical="center" indent="1"/>
    </xf>
    <xf numFmtId="4" fontId="43" fillId="30" borderId="0"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30" borderId="0" applyNumberFormat="0" applyProtection="0">
      <alignment horizontal="left" vertical="center" indent="1"/>
    </xf>
    <xf numFmtId="4" fontId="43" fillId="30" borderId="0" applyNumberFormat="0" applyProtection="0">
      <alignment horizontal="left" vertical="center" indent="1"/>
    </xf>
    <xf numFmtId="4" fontId="43" fillId="30" borderId="0" applyNumberFormat="0" applyProtection="0">
      <alignment horizontal="left" vertical="center" indent="1"/>
    </xf>
    <xf numFmtId="4" fontId="43" fillId="30" borderId="0"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30" borderId="0" applyNumberFormat="0" applyProtection="0">
      <alignment horizontal="left" vertical="center"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26" fillId="27" borderId="48" applyNumberFormat="0" applyProtection="0">
      <alignment horizontal="left" vertical="center" indent="1"/>
    </xf>
    <xf numFmtId="4" fontId="26" fillId="27" borderId="48" applyNumberFormat="0" applyProtection="0">
      <alignment horizontal="left" vertical="center" indent="1"/>
    </xf>
    <xf numFmtId="0" fontId="24" fillId="0" borderId="0"/>
    <xf numFmtId="184" fontId="24" fillId="0" borderId="0"/>
    <xf numFmtId="184" fontId="24" fillId="0" borderId="0"/>
    <xf numFmtId="4" fontId="43" fillId="27" borderId="0"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0" fontId="8" fillId="0" borderId="0"/>
    <xf numFmtId="183" fontId="8" fillId="0" borderId="0"/>
    <xf numFmtId="184" fontId="8" fillId="0" borderId="0"/>
    <xf numFmtId="184" fontId="8" fillId="0" borderId="0"/>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26" fillId="27" borderId="48" applyNumberFormat="0" applyProtection="0">
      <alignment horizontal="left" vertical="center" indent="1"/>
    </xf>
    <xf numFmtId="4" fontId="43" fillId="27" borderId="0" applyNumberFormat="0" applyProtection="0">
      <alignment horizontal="left" vertical="center" indent="1"/>
    </xf>
    <xf numFmtId="4" fontId="43" fillId="27" borderId="0"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27" borderId="0" applyNumberFormat="0" applyProtection="0">
      <alignment horizontal="left" vertical="center" indent="1"/>
    </xf>
    <xf numFmtId="4" fontId="43" fillId="27" borderId="0" applyNumberFormat="0" applyProtection="0">
      <alignment horizontal="left" vertical="center" indent="1"/>
    </xf>
    <xf numFmtId="4" fontId="43" fillId="27" borderId="0" applyNumberFormat="0" applyProtection="0">
      <alignment horizontal="left" vertical="center" indent="1"/>
    </xf>
    <xf numFmtId="4" fontId="43" fillId="27" borderId="0"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27" borderId="0" applyNumberFormat="0" applyProtection="0">
      <alignment horizontal="left" vertical="center"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8" fillId="0" borderId="0"/>
    <xf numFmtId="183" fontId="8" fillId="0" borderId="0"/>
    <xf numFmtId="184" fontId="8" fillId="0" borderId="0"/>
    <xf numFmtId="184" fontId="8" fillId="0" borderId="0"/>
    <xf numFmtId="0" fontId="24" fillId="0" borderId="0"/>
    <xf numFmtId="184" fontId="24" fillId="0" borderId="0"/>
    <xf numFmtId="187" fontId="24" fillId="31" borderId="1" applyNumberFormat="0" applyProtection="0">
      <alignment horizontal="left" vertical="center" indent="1"/>
    </xf>
    <xf numFmtId="0" fontId="24" fillId="0" borderId="0"/>
    <xf numFmtId="184" fontId="24" fillId="0" borderId="0"/>
    <xf numFmtId="187"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24" fillId="0" borderId="0"/>
    <xf numFmtId="184" fontId="24" fillId="0" borderId="0"/>
    <xf numFmtId="0"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0" fontId="24" fillId="0" borderId="0"/>
    <xf numFmtId="184" fontId="24" fillId="0" borderId="0"/>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4" fillId="0" borderId="0"/>
    <xf numFmtId="182" fontId="26" fillId="75" borderId="29" applyNumberFormat="0" applyProtection="0">
      <alignment horizontal="left" vertical="center" indent="1"/>
    </xf>
    <xf numFmtId="184"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5"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5"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5"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8" fillId="0" borderId="0"/>
    <xf numFmtId="183" fontId="8" fillId="0" borderId="0"/>
    <xf numFmtId="184" fontId="8" fillId="0" borderId="0"/>
    <xf numFmtId="184" fontId="8" fillId="0" borderId="0"/>
    <xf numFmtId="183"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3"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3"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0"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8" fillId="0" borderId="0"/>
    <xf numFmtId="183" fontId="8" fillId="0" borderId="0"/>
    <xf numFmtId="184" fontId="8" fillId="0" borderId="0"/>
    <xf numFmtId="184" fontId="8" fillId="0" borderId="0"/>
    <xf numFmtId="0" fontId="26" fillId="75" borderId="29" applyNumberFormat="0" applyProtection="0">
      <alignment horizontal="left" vertical="center" indent="1"/>
    </xf>
    <xf numFmtId="0"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26" fillId="75" borderId="29" applyNumberFormat="0" applyProtection="0">
      <alignment horizontal="left" vertical="center" indent="1"/>
    </xf>
    <xf numFmtId="187" fontId="26" fillId="75" borderId="29" applyNumberFormat="0" applyProtection="0">
      <alignment horizontal="left" vertical="center" indent="1"/>
    </xf>
    <xf numFmtId="187" fontId="26" fillId="75" borderId="29" applyNumberFormat="0" applyProtection="0">
      <alignment horizontal="left" vertical="center" indent="1"/>
    </xf>
    <xf numFmtId="187"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7"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7" fontId="26" fillId="75" borderId="29" applyNumberFormat="0" applyProtection="0">
      <alignment horizontal="left" vertical="center" indent="1"/>
    </xf>
    <xf numFmtId="187"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7"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4" fillId="31" borderId="1" applyNumberFormat="0" applyProtection="0">
      <alignment horizontal="left" vertical="center" indent="1"/>
    </xf>
    <xf numFmtId="184" fontId="24" fillId="31" borderId="1" applyNumberFormat="0" applyProtection="0">
      <alignment horizontal="left" vertical="center" indent="1"/>
    </xf>
    <xf numFmtId="185"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5"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5"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6" fillId="75" borderId="29" applyNumberFormat="0" applyProtection="0">
      <alignment horizontal="left" vertical="center" indent="1"/>
    </xf>
    <xf numFmtId="0" fontId="26" fillId="75" borderId="29" applyNumberFormat="0" applyProtection="0">
      <alignment horizontal="left" vertical="center" indent="1"/>
    </xf>
    <xf numFmtId="0"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0" fontId="26" fillId="75" borderId="29" applyNumberFormat="0" applyProtection="0">
      <alignment horizontal="left" vertical="center" indent="1"/>
    </xf>
    <xf numFmtId="184" fontId="26" fillId="75" borderId="29" applyNumberFormat="0" applyProtection="0">
      <alignment horizontal="left" vertical="center" indent="1"/>
    </xf>
    <xf numFmtId="184" fontId="26" fillId="75" borderId="29" applyNumberFormat="0" applyProtection="0">
      <alignment horizontal="left" vertical="center" indent="1"/>
    </xf>
    <xf numFmtId="185"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5"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5"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5"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1" borderId="1" applyNumberFormat="0" applyProtection="0">
      <alignment horizontal="left" vertical="center" indent="1"/>
    </xf>
    <xf numFmtId="184" fontId="24" fillId="31" borderId="1" applyNumberFormat="0" applyProtection="0">
      <alignment horizontal="left" vertical="center" indent="1"/>
    </xf>
    <xf numFmtId="184" fontId="24" fillId="31" borderId="1" applyNumberFormat="0" applyProtection="0">
      <alignment horizontal="left" vertical="center"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187" fontId="24" fillId="31" borderId="1" applyNumberFormat="0" applyProtection="0">
      <alignment horizontal="left" vertical="top" indent="1"/>
    </xf>
    <xf numFmtId="0"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187"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2" fontId="26" fillId="31" borderId="1" applyNumberFormat="0" applyProtection="0">
      <alignment horizontal="left" vertical="top" indent="1"/>
    </xf>
    <xf numFmtId="0" fontId="26" fillId="31" borderId="1" applyNumberFormat="0" applyProtection="0">
      <alignment horizontal="left" vertical="top" indent="1"/>
    </xf>
    <xf numFmtId="0" fontId="26" fillId="31" borderId="1" applyNumberFormat="0" applyProtection="0">
      <alignment horizontal="left" vertical="top" indent="1"/>
    </xf>
    <xf numFmtId="185"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185"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185"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185"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0"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0"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31" borderId="1" applyNumberFormat="0" applyProtection="0">
      <alignment horizontal="left" vertical="top" indent="1"/>
    </xf>
    <xf numFmtId="183"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26" fillId="31" borderId="1" applyNumberFormat="0" applyProtection="0">
      <alignment horizontal="left" vertical="top" indent="1"/>
    </xf>
    <xf numFmtId="184" fontId="26" fillId="31" borderId="1" applyNumberFormat="0" applyProtection="0">
      <alignment horizontal="left" vertical="top" indent="1"/>
    </xf>
    <xf numFmtId="184" fontId="26" fillId="31" borderId="1" applyNumberFormat="0" applyProtection="0">
      <alignment horizontal="left" vertical="top" indent="1"/>
    </xf>
    <xf numFmtId="0" fontId="8" fillId="0" borderId="0"/>
    <xf numFmtId="183" fontId="8" fillId="0" borderId="0"/>
    <xf numFmtId="184" fontId="8" fillId="0" borderId="0"/>
    <xf numFmtId="184" fontId="8" fillId="0" borderId="0"/>
    <xf numFmtId="0" fontId="24" fillId="0" borderId="0"/>
    <xf numFmtId="184" fontId="24" fillId="0" borderId="0"/>
    <xf numFmtId="187" fontId="24" fillId="27" borderId="1" applyNumberFormat="0" applyProtection="0">
      <alignment horizontal="left" vertical="center" indent="1"/>
    </xf>
    <xf numFmtId="0" fontId="24" fillId="0" borderId="0"/>
    <xf numFmtId="184" fontId="24" fillId="0" borderId="0"/>
    <xf numFmtId="187"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24" fillId="0" borderId="0"/>
    <xf numFmtId="184" fontId="24" fillId="0" borderId="0"/>
    <xf numFmtId="0"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0" fontId="24" fillId="0" borderId="0"/>
    <xf numFmtId="184" fontId="24" fillId="0" borderId="0"/>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4" fillId="0" borderId="0"/>
    <xf numFmtId="182" fontId="26" fillId="109" borderId="29" applyNumberFormat="0" applyProtection="0">
      <alignment horizontal="left" vertical="center" indent="1"/>
    </xf>
    <xf numFmtId="184"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5"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5"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5"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8" fillId="0" borderId="0"/>
    <xf numFmtId="183" fontId="8" fillId="0" borderId="0"/>
    <xf numFmtId="184" fontId="8" fillId="0" borderId="0"/>
    <xf numFmtId="184" fontId="8" fillId="0" borderId="0"/>
    <xf numFmtId="183"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3"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3"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0"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8" fillId="0" borderId="0"/>
    <xf numFmtId="183" fontId="8" fillId="0" borderId="0"/>
    <xf numFmtId="184" fontId="8" fillId="0" borderId="0"/>
    <xf numFmtId="184" fontId="8" fillId="0" borderId="0"/>
    <xf numFmtId="0" fontId="26" fillId="109" borderId="29" applyNumberFormat="0" applyProtection="0">
      <alignment horizontal="left" vertical="center" indent="1"/>
    </xf>
    <xf numFmtId="0"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26" fillId="109" borderId="29" applyNumberFormat="0" applyProtection="0">
      <alignment horizontal="left" vertical="center" indent="1"/>
    </xf>
    <xf numFmtId="187" fontId="26" fillId="109" borderId="29" applyNumberFormat="0" applyProtection="0">
      <alignment horizontal="left" vertical="center" indent="1"/>
    </xf>
    <xf numFmtId="187" fontId="26" fillId="109" borderId="29" applyNumberFormat="0" applyProtection="0">
      <alignment horizontal="left" vertical="center" indent="1"/>
    </xf>
    <xf numFmtId="187"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7"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7" fontId="26" fillId="109" borderId="29" applyNumberFormat="0" applyProtection="0">
      <alignment horizontal="left" vertical="center" indent="1"/>
    </xf>
    <xf numFmtId="187"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7"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4" fillId="27" borderId="1" applyNumberFormat="0" applyProtection="0">
      <alignment horizontal="left" vertical="center" indent="1"/>
    </xf>
    <xf numFmtId="184" fontId="24" fillId="27" borderId="1" applyNumberFormat="0" applyProtection="0">
      <alignment horizontal="left" vertical="center" indent="1"/>
    </xf>
    <xf numFmtId="185"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5"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5"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6" fillId="109" borderId="29" applyNumberFormat="0" applyProtection="0">
      <alignment horizontal="left" vertical="center" indent="1"/>
    </xf>
    <xf numFmtId="0" fontId="26" fillId="109" borderId="29" applyNumberFormat="0" applyProtection="0">
      <alignment horizontal="left" vertical="center" indent="1"/>
    </xf>
    <xf numFmtId="0"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0" fontId="26" fillId="109" borderId="29" applyNumberFormat="0" applyProtection="0">
      <alignment horizontal="left" vertical="center" indent="1"/>
    </xf>
    <xf numFmtId="184" fontId="26" fillId="109" borderId="29" applyNumberFormat="0" applyProtection="0">
      <alignment horizontal="left" vertical="center" indent="1"/>
    </xf>
    <xf numFmtId="184" fontId="26" fillId="109" borderId="29" applyNumberFormat="0" applyProtection="0">
      <alignment horizontal="left" vertical="center" indent="1"/>
    </xf>
    <xf numFmtId="185"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5"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5"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5"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7" borderId="1" applyNumberFormat="0" applyProtection="0">
      <alignment horizontal="left" vertical="center" indent="1"/>
    </xf>
    <xf numFmtId="184" fontId="24" fillId="27" borderId="1" applyNumberFormat="0" applyProtection="0">
      <alignment horizontal="left" vertical="center" indent="1"/>
    </xf>
    <xf numFmtId="184" fontId="24" fillId="27" borderId="1" applyNumberFormat="0" applyProtection="0">
      <alignment horizontal="left" vertical="center"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6" fillId="27" borderId="1" applyNumberFormat="0" applyProtection="0">
      <alignment horizontal="left" vertical="top" indent="1"/>
    </xf>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4" fillId="0" borderId="0"/>
    <xf numFmtId="184" fontId="24" fillId="0" borderId="0"/>
    <xf numFmtId="187" fontId="24" fillId="27" borderId="1" applyNumberFormat="0" applyProtection="0">
      <alignment horizontal="left" vertical="top" indent="1"/>
    </xf>
    <xf numFmtId="0" fontId="24" fillId="0" borderId="0"/>
    <xf numFmtId="184" fontId="24" fillId="0" borderId="0"/>
    <xf numFmtId="187"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0" borderId="0"/>
    <xf numFmtId="184" fontId="24" fillId="0" borderId="0"/>
    <xf numFmtId="0" fontId="26" fillId="27" borderId="1" applyNumberFormat="0" applyProtection="0">
      <alignment horizontal="left" vertical="top" indent="1"/>
    </xf>
    <xf numFmtId="0" fontId="26" fillId="27" borderId="1" applyNumberFormat="0" applyProtection="0">
      <alignment horizontal="left" vertical="top" indent="1"/>
    </xf>
    <xf numFmtId="184" fontId="26" fillId="27" borderId="1" applyNumberFormat="0" applyProtection="0">
      <alignment horizontal="left" vertical="top" indent="1"/>
    </xf>
    <xf numFmtId="0" fontId="24" fillId="0" borderId="0"/>
    <xf numFmtId="184" fontId="24" fillId="0" borderId="0"/>
    <xf numFmtId="0" fontId="26" fillId="27" borderId="1" applyNumberFormat="0" applyProtection="0">
      <alignment horizontal="left" vertical="top" indent="1"/>
    </xf>
    <xf numFmtId="184" fontId="26"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5"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5"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5"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6" fillId="27" borderId="1" applyNumberFormat="0" applyProtection="0">
      <alignment horizontal="left" vertical="top" indent="1"/>
    </xf>
    <xf numFmtId="183" fontId="26" fillId="27" borderId="1" applyNumberFormat="0" applyProtection="0">
      <alignment horizontal="left" vertical="top" indent="1"/>
    </xf>
    <xf numFmtId="183" fontId="26" fillId="27" borderId="1" applyNumberFormat="0" applyProtection="0">
      <alignment horizontal="left" vertical="top" indent="1"/>
    </xf>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6" fillId="27" borderId="1" applyNumberFormat="0" applyProtection="0">
      <alignment horizontal="left" vertical="top" indent="1"/>
    </xf>
    <xf numFmtId="183" fontId="26" fillId="27" borderId="1" applyNumberFormat="0" applyProtection="0">
      <alignment horizontal="left" vertical="top" indent="1"/>
    </xf>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4" fontId="24" fillId="0" borderId="0"/>
    <xf numFmtId="182" fontId="26" fillId="27" borderId="1" applyNumberFormat="0" applyProtection="0">
      <alignment horizontal="left" vertical="top" indent="1"/>
    </xf>
    <xf numFmtId="0" fontId="26" fillId="27" borderId="1" applyNumberFormat="0" applyProtection="0">
      <alignment horizontal="left" vertical="top" indent="1"/>
    </xf>
    <xf numFmtId="0" fontId="26" fillId="27" borderId="1" applyNumberFormat="0" applyProtection="0">
      <alignment horizontal="left" vertical="top" indent="1"/>
    </xf>
    <xf numFmtId="185"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5"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5"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5"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5"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5"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6" fillId="27" borderId="1" applyNumberFormat="0" applyProtection="0">
      <alignment horizontal="left" vertical="top" indent="1"/>
    </xf>
    <xf numFmtId="183" fontId="26" fillId="27" borderId="1" applyNumberFormat="0" applyProtection="0">
      <alignment horizontal="left" vertical="top" indent="1"/>
    </xf>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6" fillId="27" borderId="1" applyNumberFormat="0" applyProtection="0">
      <alignment horizontal="left" vertical="top" indent="1"/>
    </xf>
    <xf numFmtId="0" fontId="26" fillId="27" borderId="1" applyNumberFormat="0" applyProtection="0">
      <alignment horizontal="left" vertical="top" indent="1"/>
    </xf>
    <xf numFmtId="183" fontId="26" fillId="27" borderId="1" applyNumberFormat="0" applyProtection="0">
      <alignment horizontal="left" vertical="top" indent="1"/>
    </xf>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6" fillId="27" borderId="1" applyNumberFormat="0" applyProtection="0">
      <alignment horizontal="left" vertical="top" indent="1"/>
    </xf>
    <xf numFmtId="0" fontId="26" fillId="27" borderId="1" applyNumberFormat="0" applyProtection="0">
      <alignment horizontal="left" vertical="top" indent="1"/>
    </xf>
    <xf numFmtId="183" fontId="26" fillId="27" borderId="1" applyNumberFormat="0" applyProtection="0">
      <alignment horizontal="left" vertical="top" indent="1"/>
    </xf>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183" fontId="26" fillId="27" borderId="1" applyNumberFormat="0" applyProtection="0">
      <alignment horizontal="left" vertical="top" indent="1"/>
    </xf>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27" borderId="1" applyNumberFormat="0" applyProtection="0">
      <alignment horizontal="left" vertical="top" indent="1"/>
    </xf>
    <xf numFmtId="183"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26" fillId="27" borderId="1" applyNumberFormat="0" applyProtection="0">
      <alignment horizontal="left" vertical="top" indent="1"/>
    </xf>
    <xf numFmtId="184" fontId="26" fillId="27" borderId="1" applyNumberFormat="0" applyProtection="0">
      <alignment horizontal="left" vertical="top" indent="1"/>
    </xf>
    <xf numFmtId="184" fontId="26"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24" fillId="0" borderId="0"/>
    <xf numFmtId="184" fontId="24" fillId="0" borderId="0"/>
    <xf numFmtId="187" fontId="24" fillId="3" borderId="1" applyNumberFormat="0" applyProtection="0">
      <alignment horizontal="left" vertical="center" indent="1"/>
    </xf>
    <xf numFmtId="0" fontId="24" fillId="0" borderId="0"/>
    <xf numFmtId="184" fontId="24" fillId="0" borderId="0"/>
    <xf numFmtId="187"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24" fillId="0" borderId="0"/>
    <xf numFmtId="184" fontId="24" fillId="0" borderId="0"/>
    <xf numFmtId="0" fontId="26" fillId="3" borderId="29" applyNumberFormat="0" applyProtection="0">
      <alignment horizontal="left" vertical="center" indent="1"/>
    </xf>
    <xf numFmtId="0" fontId="26" fillId="3" borderId="29" applyNumberFormat="0" applyProtection="0">
      <alignment horizontal="left" vertical="center" indent="1"/>
    </xf>
    <xf numFmtId="184" fontId="26" fillId="3" borderId="29" applyNumberFormat="0" applyProtection="0">
      <alignment horizontal="left" vertical="center" indent="1"/>
    </xf>
    <xf numFmtId="0" fontId="24" fillId="0" borderId="0"/>
    <xf numFmtId="184" fontId="24" fillId="0" borderId="0"/>
    <xf numFmtId="0" fontId="26" fillId="3" borderId="29" applyNumberFormat="0" applyProtection="0">
      <alignment horizontal="left" vertical="center" indent="1"/>
    </xf>
    <xf numFmtId="184" fontId="26" fillId="3" borderId="29" applyNumberFormat="0" applyProtection="0">
      <alignment horizontal="left" vertical="center" indent="1"/>
    </xf>
    <xf numFmtId="184" fontId="24" fillId="0" borderId="0"/>
    <xf numFmtId="182" fontId="26" fillId="3" borderId="29"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5"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5"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5"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8" fillId="0" borderId="0"/>
    <xf numFmtId="183" fontId="8" fillId="0" borderId="0"/>
    <xf numFmtId="184" fontId="8" fillId="0" borderId="0"/>
    <xf numFmtId="184" fontId="8" fillId="0" borderId="0"/>
    <xf numFmtId="183"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183"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183"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26" fillId="3" borderId="29" applyNumberFormat="0" applyProtection="0">
      <alignment horizontal="left" vertical="center" indent="1"/>
    </xf>
    <xf numFmtId="0" fontId="26" fillId="3" borderId="29" applyNumberFormat="0" applyProtection="0">
      <alignment horizontal="left" vertical="center" indent="1"/>
    </xf>
    <xf numFmtId="0"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26" fillId="3" borderId="29" applyNumberFormat="0" applyProtection="0">
      <alignment horizontal="left" vertical="center" indent="1"/>
    </xf>
    <xf numFmtId="0"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8" fillId="0" borderId="0"/>
    <xf numFmtId="183" fontId="8" fillId="0" borderId="0"/>
    <xf numFmtId="184" fontId="8" fillId="0" borderId="0"/>
    <xf numFmtId="184" fontId="8" fillId="0" borderId="0"/>
    <xf numFmtId="0" fontId="26" fillId="3" borderId="29" applyNumberFormat="0" applyProtection="0">
      <alignment horizontal="left" vertical="center" indent="1"/>
    </xf>
    <xf numFmtId="0" fontId="26" fillId="3" borderId="29" applyNumberFormat="0" applyProtection="0">
      <alignment horizontal="left" vertical="center" indent="1"/>
    </xf>
    <xf numFmtId="0"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26" fillId="3" borderId="29" applyNumberFormat="0" applyProtection="0">
      <alignment horizontal="left" vertical="center" indent="1"/>
    </xf>
    <xf numFmtId="0"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26" fillId="3" borderId="29" applyNumberFormat="0" applyProtection="0">
      <alignment horizontal="left" vertical="center" indent="1"/>
    </xf>
    <xf numFmtId="184" fontId="26" fillId="3" borderId="29" applyNumberFormat="0" applyProtection="0">
      <alignment horizontal="left" vertical="center" indent="1"/>
    </xf>
    <xf numFmtId="184" fontId="26" fillId="3" borderId="29" applyNumberFormat="0" applyProtection="0">
      <alignment horizontal="left" vertical="center" indent="1"/>
    </xf>
    <xf numFmtId="0"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5"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5"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5"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5"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5"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5"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 borderId="1" applyNumberFormat="0" applyProtection="0">
      <alignment horizontal="left" vertical="center" indent="1"/>
    </xf>
    <xf numFmtId="184" fontId="24" fillId="3" borderId="1" applyNumberFormat="0" applyProtection="0">
      <alignment horizontal="left" vertical="center" indent="1"/>
    </xf>
    <xf numFmtId="184" fontId="24" fillId="3" borderId="1" applyNumberFormat="0" applyProtection="0">
      <alignment horizontal="left" vertical="center"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6" fillId="3" borderId="1" applyNumberFormat="0" applyProtection="0">
      <alignment horizontal="left" vertical="top" indent="1"/>
    </xf>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4" fillId="0" borderId="0"/>
    <xf numFmtId="184" fontId="24" fillId="0" borderId="0"/>
    <xf numFmtId="187" fontId="24" fillId="3" borderId="1" applyNumberFormat="0" applyProtection="0">
      <alignment horizontal="left" vertical="top" indent="1"/>
    </xf>
    <xf numFmtId="0" fontId="24" fillId="0" borderId="0"/>
    <xf numFmtId="184" fontId="24" fillId="0" borderId="0"/>
    <xf numFmtId="187"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0" borderId="0"/>
    <xf numFmtId="184" fontId="24" fillId="0" borderId="0"/>
    <xf numFmtId="0" fontId="26" fillId="3" borderId="1" applyNumberFormat="0" applyProtection="0">
      <alignment horizontal="left" vertical="top" indent="1"/>
    </xf>
    <xf numFmtId="0" fontId="26" fillId="3" borderId="1" applyNumberFormat="0" applyProtection="0">
      <alignment horizontal="left" vertical="top" indent="1"/>
    </xf>
    <xf numFmtId="184" fontId="26" fillId="3" borderId="1" applyNumberFormat="0" applyProtection="0">
      <alignment horizontal="left" vertical="top" indent="1"/>
    </xf>
    <xf numFmtId="0" fontId="24" fillId="0" borderId="0"/>
    <xf numFmtId="184" fontId="24" fillId="0" borderId="0"/>
    <xf numFmtId="0" fontId="26" fillId="3" borderId="1" applyNumberFormat="0" applyProtection="0">
      <alignment horizontal="left" vertical="top" indent="1"/>
    </xf>
    <xf numFmtId="184" fontId="26"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5"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5"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5"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6" fillId="3" borderId="1" applyNumberFormat="0" applyProtection="0">
      <alignment horizontal="left" vertical="top" indent="1"/>
    </xf>
    <xf numFmtId="183" fontId="26" fillId="3" borderId="1" applyNumberFormat="0" applyProtection="0">
      <alignment horizontal="left" vertical="top" indent="1"/>
    </xf>
    <xf numFmtId="183" fontId="26" fillId="3" borderId="1" applyNumberFormat="0" applyProtection="0">
      <alignment horizontal="left" vertical="top" indent="1"/>
    </xf>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6" fillId="3" borderId="1" applyNumberFormat="0" applyProtection="0">
      <alignment horizontal="left" vertical="top" indent="1"/>
    </xf>
    <xf numFmtId="183" fontId="26" fillId="3" borderId="1" applyNumberFormat="0" applyProtection="0">
      <alignment horizontal="left" vertical="top" indent="1"/>
    </xf>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4" fontId="24" fillId="0" borderId="0"/>
    <xf numFmtId="182" fontId="26" fillId="3" borderId="1" applyNumberFormat="0" applyProtection="0">
      <alignment horizontal="left" vertical="top" indent="1"/>
    </xf>
    <xf numFmtId="0" fontId="26" fillId="3" borderId="1" applyNumberFormat="0" applyProtection="0">
      <alignment horizontal="left" vertical="top" indent="1"/>
    </xf>
    <xf numFmtId="0" fontId="26" fillId="3" borderId="1" applyNumberFormat="0" applyProtection="0">
      <alignment horizontal="left" vertical="top" indent="1"/>
    </xf>
    <xf numFmtId="185"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5"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5"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5"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5"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5"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6" fillId="3" borderId="1" applyNumberFormat="0" applyProtection="0">
      <alignment horizontal="left" vertical="top" indent="1"/>
    </xf>
    <xf numFmtId="183" fontId="26" fillId="3" borderId="1" applyNumberFormat="0" applyProtection="0">
      <alignment horizontal="left" vertical="top" indent="1"/>
    </xf>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6" fillId="3" borderId="1" applyNumberFormat="0" applyProtection="0">
      <alignment horizontal="left" vertical="top" indent="1"/>
    </xf>
    <xf numFmtId="0" fontId="26" fillId="3" borderId="1" applyNumberFormat="0" applyProtection="0">
      <alignment horizontal="left" vertical="top" indent="1"/>
    </xf>
    <xf numFmtId="183" fontId="26" fillId="3" borderId="1" applyNumberFormat="0" applyProtection="0">
      <alignment horizontal="left" vertical="top" indent="1"/>
    </xf>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6" fillId="3" borderId="1" applyNumberFormat="0" applyProtection="0">
      <alignment horizontal="left" vertical="top" indent="1"/>
    </xf>
    <xf numFmtId="0" fontId="26" fillId="3" borderId="1" applyNumberFormat="0" applyProtection="0">
      <alignment horizontal="left" vertical="top" indent="1"/>
    </xf>
    <xf numFmtId="183" fontId="26" fillId="3" borderId="1" applyNumberFormat="0" applyProtection="0">
      <alignment horizontal="left" vertical="top" indent="1"/>
    </xf>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183" fontId="26" fillId="3" borderId="1" applyNumberFormat="0" applyProtection="0">
      <alignment horizontal="left" vertical="top" indent="1"/>
    </xf>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3" borderId="1" applyNumberFormat="0" applyProtection="0">
      <alignment horizontal="left" vertical="top" indent="1"/>
    </xf>
    <xf numFmtId="183"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26" fillId="3" borderId="1" applyNumberFormat="0" applyProtection="0">
      <alignment horizontal="left" vertical="top" indent="1"/>
    </xf>
    <xf numFmtId="184" fontId="26" fillId="3" borderId="1" applyNumberFormat="0" applyProtection="0">
      <alignment horizontal="left" vertical="top" indent="1"/>
    </xf>
    <xf numFmtId="184" fontId="26" fillId="3" borderId="1" applyNumberFormat="0" applyProtection="0">
      <alignment horizontal="left" vertical="top" indent="1"/>
    </xf>
    <xf numFmtId="0" fontId="8" fillId="0" borderId="0"/>
    <xf numFmtId="183" fontId="8" fillId="0" borderId="0"/>
    <xf numFmtId="184" fontId="8" fillId="0" borderId="0"/>
    <xf numFmtId="184" fontId="8" fillId="0" borderId="0"/>
    <xf numFmtId="0" fontId="24" fillId="0" borderId="0"/>
    <xf numFmtId="184" fontId="24" fillId="0" borderId="0"/>
    <xf numFmtId="187" fontId="24" fillId="30" borderId="1" applyNumberFormat="0" applyProtection="0">
      <alignment horizontal="left" vertical="center" indent="1"/>
    </xf>
    <xf numFmtId="0" fontId="24" fillId="0" borderId="0"/>
    <xf numFmtId="184" fontId="24" fillId="0" borderId="0"/>
    <xf numFmtId="187"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24" fillId="0" borderId="0"/>
    <xf numFmtId="184" fontId="24" fillId="0" borderId="0"/>
    <xf numFmtId="0" fontId="26" fillId="30" borderId="29" applyNumberFormat="0" applyProtection="0">
      <alignment horizontal="left" vertical="center" indent="1"/>
    </xf>
    <xf numFmtId="0" fontId="26" fillId="30" borderId="29" applyNumberFormat="0" applyProtection="0">
      <alignment horizontal="left" vertical="center" indent="1"/>
    </xf>
    <xf numFmtId="184" fontId="26" fillId="30" borderId="29" applyNumberFormat="0" applyProtection="0">
      <alignment horizontal="left" vertical="center" indent="1"/>
    </xf>
    <xf numFmtId="0" fontId="24" fillId="0" borderId="0"/>
    <xf numFmtId="184" fontId="24" fillId="0" borderId="0"/>
    <xf numFmtId="0" fontId="26" fillId="30" borderId="29" applyNumberFormat="0" applyProtection="0">
      <alignment horizontal="left" vertical="center" indent="1"/>
    </xf>
    <xf numFmtId="184" fontId="26" fillId="30" borderId="29" applyNumberFormat="0" applyProtection="0">
      <alignment horizontal="left" vertical="center" indent="1"/>
    </xf>
    <xf numFmtId="184" fontId="24" fillId="0" borderId="0"/>
    <xf numFmtId="182" fontId="26" fillId="30" borderId="29"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5"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5"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5"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8" fillId="0" borderId="0"/>
    <xf numFmtId="183" fontId="8" fillId="0" borderId="0"/>
    <xf numFmtId="184" fontId="8" fillId="0" borderId="0"/>
    <xf numFmtId="184" fontId="8" fillId="0" borderId="0"/>
    <xf numFmtId="183"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183"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183"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26" fillId="30" borderId="29" applyNumberFormat="0" applyProtection="0">
      <alignment horizontal="left" vertical="center" indent="1"/>
    </xf>
    <xf numFmtId="0" fontId="26" fillId="30" borderId="29" applyNumberFormat="0" applyProtection="0">
      <alignment horizontal="left" vertical="center" indent="1"/>
    </xf>
    <xf numFmtId="0"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26" fillId="30" borderId="29" applyNumberFormat="0" applyProtection="0">
      <alignment horizontal="left" vertical="center" indent="1"/>
    </xf>
    <xf numFmtId="0"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8" fillId="0" borderId="0"/>
    <xf numFmtId="183" fontId="8" fillId="0" borderId="0"/>
    <xf numFmtId="184" fontId="8" fillId="0" borderId="0"/>
    <xf numFmtId="184" fontId="8" fillId="0" borderId="0"/>
    <xf numFmtId="0" fontId="26" fillId="30" borderId="29" applyNumberFormat="0" applyProtection="0">
      <alignment horizontal="left" vertical="center" indent="1"/>
    </xf>
    <xf numFmtId="0" fontId="26" fillId="30" borderId="29" applyNumberFormat="0" applyProtection="0">
      <alignment horizontal="left" vertical="center" indent="1"/>
    </xf>
    <xf numFmtId="0"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26" fillId="30" borderId="29" applyNumberFormat="0" applyProtection="0">
      <alignment horizontal="left" vertical="center" indent="1"/>
    </xf>
    <xf numFmtId="0"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26" fillId="30" borderId="29" applyNumberFormat="0" applyProtection="0">
      <alignment horizontal="left" vertical="center" indent="1"/>
    </xf>
    <xf numFmtId="184" fontId="26" fillId="30" borderId="29" applyNumberFormat="0" applyProtection="0">
      <alignment horizontal="left" vertical="center" indent="1"/>
    </xf>
    <xf numFmtId="184" fontId="26" fillId="30" borderId="29" applyNumberFormat="0" applyProtection="0">
      <alignment horizontal="left" vertical="center" indent="1"/>
    </xf>
    <xf numFmtId="0"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5"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5"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5"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5"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5"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5"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0" borderId="1" applyNumberFormat="0" applyProtection="0">
      <alignment horizontal="left" vertical="center" indent="1"/>
    </xf>
    <xf numFmtId="184" fontId="24" fillId="30" borderId="1" applyNumberFormat="0" applyProtection="0">
      <alignment horizontal="left" vertical="center" indent="1"/>
    </xf>
    <xf numFmtId="184" fontId="24" fillId="30" borderId="1" applyNumberFormat="0" applyProtection="0">
      <alignment horizontal="left" vertical="center"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6" fillId="30" borderId="1" applyNumberFormat="0" applyProtection="0">
      <alignment horizontal="left" vertical="top" indent="1"/>
    </xf>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4" fillId="0" borderId="0"/>
    <xf numFmtId="184" fontId="24" fillId="0" borderId="0"/>
    <xf numFmtId="187" fontId="24" fillId="30" borderId="1" applyNumberFormat="0" applyProtection="0">
      <alignment horizontal="left" vertical="top" indent="1"/>
    </xf>
    <xf numFmtId="0" fontId="24" fillId="0" borderId="0"/>
    <xf numFmtId="184" fontId="24" fillId="0" borderId="0"/>
    <xf numFmtId="187"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0" borderId="0"/>
    <xf numFmtId="184" fontId="24" fillId="0" borderId="0"/>
    <xf numFmtId="0" fontId="26" fillId="30" borderId="1" applyNumberFormat="0" applyProtection="0">
      <alignment horizontal="left" vertical="top" indent="1"/>
    </xf>
    <xf numFmtId="0" fontId="26" fillId="30" borderId="1" applyNumberFormat="0" applyProtection="0">
      <alignment horizontal="left" vertical="top" indent="1"/>
    </xf>
    <xf numFmtId="184" fontId="26" fillId="30" borderId="1" applyNumberFormat="0" applyProtection="0">
      <alignment horizontal="left" vertical="top" indent="1"/>
    </xf>
    <xf numFmtId="0" fontId="24" fillId="0" borderId="0"/>
    <xf numFmtId="184" fontId="24" fillId="0" borderId="0"/>
    <xf numFmtId="0" fontId="26" fillId="30" borderId="1" applyNumberFormat="0" applyProtection="0">
      <alignment horizontal="left" vertical="top" indent="1"/>
    </xf>
    <xf numFmtId="184" fontId="26"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5"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5"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5"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6" fillId="30" borderId="1" applyNumberFormat="0" applyProtection="0">
      <alignment horizontal="left" vertical="top" indent="1"/>
    </xf>
    <xf numFmtId="183" fontId="26" fillId="30" borderId="1" applyNumberFormat="0" applyProtection="0">
      <alignment horizontal="left" vertical="top" indent="1"/>
    </xf>
    <xf numFmtId="183" fontId="26" fillId="30" borderId="1" applyNumberFormat="0" applyProtection="0">
      <alignment horizontal="left" vertical="top" indent="1"/>
    </xf>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6" fillId="30" borderId="1" applyNumberFormat="0" applyProtection="0">
      <alignment horizontal="left" vertical="top" indent="1"/>
    </xf>
    <xf numFmtId="183" fontId="26" fillId="30" borderId="1" applyNumberFormat="0" applyProtection="0">
      <alignment horizontal="left" vertical="top" indent="1"/>
    </xf>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4" fontId="24" fillId="0" borderId="0"/>
    <xf numFmtId="182" fontId="26" fillId="30" borderId="1" applyNumberFormat="0" applyProtection="0">
      <alignment horizontal="left" vertical="top" indent="1"/>
    </xf>
    <xf numFmtId="0" fontId="26" fillId="30" borderId="1" applyNumberFormat="0" applyProtection="0">
      <alignment horizontal="left" vertical="top" indent="1"/>
    </xf>
    <xf numFmtId="0" fontId="26" fillId="30" borderId="1" applyNumberFormat="0" applyProtection="0">
      <alignment horizontal="left" vertical="top" indent="1"/>
    </xf>
    <xf numFmtId="185"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5"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5"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5"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5"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5"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6" fillId="30" borderId="1" applyNumberFormat="0" applyProtection="0">
      <alignment horizontal="left" vertical="top" indent="1"/>
    </xf>
    <xf numFmtId="183" fontId="26" fillId="30" borderId="1" applyNumberFormat="0" applyProtection="0">
      <alignment horizontal="left" vertical="top" indent="1"/>
    </xf>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6" fillId="30" borderId="1" applyNumberFormat="0" applyProtection="0">
      <alignment horizontal="left" vertical="top" indent="1"/>
    </xf>
    <xf numFmtId="0" fontId="26" fillId="30" borderId="1" applyNumberFormat="0" applyProtection="0">
      <alignment horizontal="left" vertical="top" indent="1"/>
    </xf>
    <xf numFmtId="183" fontId="26" fillId="30" borderId="1" applyNumberFormat="0" applyProtection="0">
      <alignment horizontal="left" vertical="top" indent="1"/>
    </xf>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6" fillId="30" borderId="1" applyNumberFormat="0" applyProtection="0">
      <alignment horizontal="left" vertical="top" indent="1"/>
    </xf>
    <xf numFmtId="0" fontId="26" fillId="30" borderId="1" applyNumberFormat="0" applyProtection="0">
      <alignment horizontal="left" vertical="top" indent="1"/>
    </xf>
    <xf numFmtId="183" fontId="26" fillId="30" borderId="1" applyNumberFormat="0" applyProtection="0">
      <alignment horizontal="left" vertical="top" indent="1"/>
    </xf>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183" fontId="26" fillId="30" borderId="1" applyNumberFormat="0" applyProtection="0">
      <alignment horizontal="left" vertical="top" indent="1"/>
    </xf>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8" fillId="0" borderId="0"/>
    <xf numFmtId="183" fontId="8" fillId="0" borderId="0"/>
    <xf numFmtId="184" fontId="8" fillId="0" borderId="0"/>
    <xf numFmtId="184" fontId="8" fillId="0" borderId="0"/>
    <xf numFmtId="183" fontId="26" fillId="30" borderId="1" applyNumberFormat="0" applyProtection="0">
      <alignment horizontal="left" vertical="top" indent="1"/>
    </xf>
    <xf numFmtId="183"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6" fillId="30" borderId="1" applyNumberFormat="0" applyProtection="0">
      <alignment horizontal="left" vertical="top" indent="1"/>
    </xf>
    <xf numFmtId="184" fontId="26" fillId="30" borderId="1" applyNumberFormat="0" applyProtection="0">
      <alignment horizontal="left" vertical="top" indent="1"/>
    </xf>
    <xf numFmtId="184" fontId="26" fillId="30" borderId="1" applyNumberFormat="0" applyProtection="0">
      <alignment horizontal="left" vertical="top" indent="1"/>
    </xf>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6" fillId="32" borderId="49" applyNumberFormat="0">
      <protection locked="0"/>
    </xf>
    <xf numFmtId="184" fontId="26" fillId="32" borderId="49" applyNumberFormat="0">
      <protection locked="0"/>
    </xf>
    <xf numFmtId="0" fontId="24" fillId="0" borderId="0"/>
    <xf numFmtId="184" fontId="24" fillId="0" borderId="0"/>
    <xf numFmtId="187" fontId="24" fillId="32" borderId="3" applyNumberFormat="0">
      <protection locked="0"/>
    </xf>
    <xf numFmtId="0" fontId="24" fillId="0" borderId="0"/>
    <xf numFmtId="184" fontId="24" fillId="0" borderId="0"/>
    <xf numFmtId="184" fontId="24" fillId="32" borderId="3" applyNumberFormat="0">
      <protection locked="0"/>
    </xf>
    <xf numFmtId="0" fontId="24" fillId="0" borderId="0"/>
    <xf numFmtId="184" fontId="24" fillId="0" borderId="0"/>
    <xf numFmtId="0" fontId="26" fillId="32" borderId="49" applyNumberFormat="0">
      <protection locked="0"/>
    </xf>
    <xf numFmtId="184" fontId="26" fillId="32" borderId="49" applyNumberFormat="0">
      <protection locked="0"/>
    </xf>
    <xf numFmtId="0" fontId="24" fillId="0" borderId="0"/>
    <xf numFmtId="184" fontId="24" fillId="0" borderId="0"/>
    <xf numFmtId="184" fontId="24" fillId="0" borderId="0"/>
    <xf numFmtId="183" fontId="24" fillId="32" borderId="3" applyNumberFormat="0">
      <protection locked="0"/>
    </xf>
    <xf numFmtId="183"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32" borderId="3" applyNumberFormat="0">
      <protection locked="0"/>
    </xf>
    <xf numFmtId="185" fontId="24" fillId="32" borderId="3" applyNumberFormat="0">
      <protection locked="0"/>
    </xf>
    <xf numFmtId="183" fontId="24" fillId="32" borderId="3" applyNumberFormat="0">
      <protection locked="0"/>
    </xf>
    <xf numFmtId="183"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184" fontId="24" fillId="32" borderId="3" applyNumberFormat="0">
      <protection locked="0"/>
    </xf>
    <xf numFmtId="185" fontId="24" fillId="32" borderId="3" applyNumberFormat="0">
      <protection locked="0"/>
    </xf>
    <xf numFmtId="183" fontId="24" fillId="32" borderId="3" applyNumberFormat="0">
      <protection locked="0"/>
    </xf>
    <xf numFmtId="184"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32" borderId="3" applyNumberFormat="0">
      <protection locked="0"/>
    </xf>
    <xf numFmtId="0" fontId="26" fillId="32" borderId="49" applyNumberFormat="0">
      <protection locked="0"/>
    </xf>
    <xf numFmtId="183" fontId="26" fillId="32" borderId="49" applyNumberFormat="0">
      <protection locked="0"/>
    </xf>
    <xf numFmtId="183" fontId="26" fillId="32" borderId="49" applyNumberFormat="0">
      <protection locked="0"/>
    </xf>
    <xf numFmtId="184" fontId="26" fillId="32" borderId="49" applyNumberFormat="0">
      <protection locked="0"/>
    </xf>
    <xf numFmtId="0" fontId="8" fillId="0" borderId="0"/>
    <xf numFmtId="183" fontId="8" fillId="0" borderId="0"/>
    <xf numFmtId="184" fontId="8" fillId="0" borderId="0"/>
    <xf numFmtId="184" fontId="8" fillId="0" borderId="0"/>
    <xf numFmtId="184" fontId="26" fillId="32" borderId="49" applyNumberFormat="0">
      <protection locked="0"/>
    </xf>
    <xf numFmtId="0" fontId="26" fillId="32" borderId="49" applyNumberFormat="0">
      <protection locked="0"/>
    </xf>
    <xf numFmtId="183" fontId="26" fillId="32" borderId="49" applyNumberFormat="0">
      <protection locked="0"/>
    </xf>
    <xf numFmtId="184" fontId="26" fillId="32" borderId="49" applyNumberFormat="0">
      <protection locked="0"/>
    </xf>
    <xf numFmtId="184" fontId="26" fillId="32" borderId="49" applyNumberFormat="0">
      <protection locked="0"/>
    </xf>
    <xf numFmtId="0" fontId="8" fillId="0" borderId="0"/>
    <xf numFmtId="183" fontId="8" fillId="0" borderId="0"/>
    <xf numFmtId="184" fontId="8" fillId="0" borderId="0"/>
    <xf numFmtId="184" fontId="8" fillId="0" borderId="0"/>
    <xf numFmtId="184" fontId="26" fillId="32" borderId="49" applyNumberFormat="0">
      <protection locked="0"/>
    </xf>
    <xf numFmtId="0" fontId="24" fillId="32" borderId="3" applyNumberFormat="0">
      <protection locked="0"/>
    </xf>
    <xf numFmtId="183" fontId="24" fillId="32" borderId="3" applyNumberFormat="0">
      <protection locked="0"/>
    </xf>
    <xf numFmtId="184"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32" borderId="3" applyNumberFormat="0">
      <protection locked="0"/>
    </xf>
    <xf numFmtId="182" fontId="26" fillId="32" borderId="49" applyNumberFormat="0">
      <protection locked="0"/>
    </xf>
    <xf numFmtId="0" fontId="26" fillId="32" borderId="49" applyNumberFormat="0">
      <protection locked="0"/>
    </xf>
    <xf numFmtId="0" fontId="26" fillId="32" borderId="49" applyNumberFormat="0">
      <protection locked="0"/>
    </xf>
    <xf numFmtId="185" fontId="24" fillId="32" borderId="3" applyNumberFormat="0">
      <protection locked="0"/>
    </xf>
    <xf numFmtId="183" fontId="24" fillId="32" borderId="3" applyNumberFormat="0">
      <protection locked="0"/>
    </xf>
    <xf numFmtId="183"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32" borderId="3" applyNumberFormat="0">
      <protection locked="0"/>
    </xf>
    <xf numFmtId="185" fontId="24" fillId="32" borderId="3" applyNumberFormat="0">
      <protection locked="0"/>
    </xf>
    <xf numFmtId="183" fontId="24" fillId="32" borderId="3" applyNumberFormat="0">
      <protection locked="0"/>
    </xf>
    <xf numFmtId="184"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32" borderId="3" applyNumberFormat="0">
      <protection locked="0"/>
    </xf>
    <xf numFmtId="0" fontId="24" fillId="32" borderId="3" applyNumberFormat="0">
      <protection locked="0"/>
    </xf>
    <xf numFmtId="183" fontId="24" fillId="32" borderId="3" applyNumberFormat="0">
      <protection locked="0"/>
    </xf>
    <xf numFmtId="183"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32" borderId="3" applyNumberFormat="0">
      <protection locked="0"/>
    </xf>
    <xf numFmtId="185" fontId="24" fillId="32" borderId="3" applyNumberFormat="0">
      <protection locked="0"/>
    </xf>
    <xf numFmtId="183" fontId="24" fillId="32" borderId="3" applyNumberFormat="0">
      <protection locked="0"/>
    </xf>
    <xf numFmtId="183"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184" fontId="24" fillId="32" borderId="3" applyNumberFormat="0">
      <protection locked="0"/>
    </xf>
    <xf numFmtId="185" fontId="24" fillId="32" borderId="3" applyNumberFormat="0">
      <protection locked="0"/>
    </xf>
    <xf numFmtId="183" fontId="24" fillId="32" borderId="3" applyNumberFormat="0">
      <protection locked="0"/>
    </xf>
    <xf numFmtId="184"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32" borderId="3" applyNumberFormat="0">
      <protection locked="0"/>
    </xf>
    <xf numFmtId="0" fontId="24" fillId="32" borderId="3" applyNumberFormat="0">
      <protection locked="0"/>
    </xf>
    <xf numFmtId="183" fontId="24" fillId="32" borderId="3" applyNumberFormat="0">
      <protection locked="0"/>
    </xf>
    <xf numFmtId="184"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32" borderId="3" applyNumberFormat="0">
      <protection locked="0"/>
    </xf>
    <xf numFmtId="183" fontId="24" fillId="32" borderId="3" applyNumberFormat="0">
      <protection locked="0"/>
    </xf>
    <xf numFmtId="183" fontId="24" fillId="32" borderId="3" applyNumberFormat="0">
      <protection locked="0"/>
    </xf>
    <xf numFmtId="184" fontId="24" fillId="32" borderId="3" applyNumberFormat="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32" borderId="3" applyNumberFormat="0">
      <protection locked="0"/>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3" fontId="26" fillId="32" borderId="49" applyNumberFormat="0">
      <protection locked="0"/>
    </xf>
    <xf numFmtId="183" fontId="26" fillId="32" borderId="49" applyNumberFormat="0">
      <protection locked="0"/>
    </xf>
    <xf numFmtId="184" fontId="26" fillId="32" borderId="49" applyNumberFormat="0">
      <protection locked="0"/>
    </xf>
    <xf numFmtId="0" fontId="8" fillId="0" borderId="0"/>
    <xf numFmtId="183" fontId="8" fillId="0" borderId="0"/>
    <xf numFmtId="184" fontId="8" fillId="0" borderId="0"/>
    <xf numFmtId="184" fontId="8" fillId="0" borderId="0"/>
    <xf numFmtId="184" fontId="26" fillId="32" borderId="49" applyNumberFormat="0">
      <protection locked="0"/>
    </xf>
    <xf numFmtId="0" fontId="26" fillId="32" borderId="49" applyNumberFormat="0">
      <protection locked="0"/>
    </xf>
    <xf numFmtId="0" fontId="26" fillId="32" borderId="49" applyNumberFormat="0">
      <protection locked="0"/>
    </xf>
    <xf numFmtId="183" fontId="26" fillId="32" borderId="49" applyNumberFormat="0">
      <protection locked="0"/>
    </xf>
    <xf numFmtId="184" fontId="26" fillId="32" borderId="49" applyNumberFormat="0">
      <protection locked="0"/>
    </xf>
    <xf numFmtId="184" fontId="26" fillId="32" borderId="49" applyNumberFormat="0">
      <protection locked="0"/>
    </xf>
    <xf numFmtId="0" fontId="26" fillId="32" borderId="49" applyNumberFormat="0">
      <protection locked="0"/>
    </xf>
    <xf numFmtId="0" fontId="26" fillId="32" borderId="49" applyNumberFormat="0">
      <protection locked="0"/>
    </xf>
    <xf numFmtId="183" fontId="26" fillId="32" borderId="49" applyNumberFormat="0">
      <protection locked="0"/>
    </xf>
    <xf numFmtId="184" fontId="26" fillId="32" borderId="49" applyNumberFormat="0">
      <protection locked="0"/>
    </xf>
    <xf numFmtId="184" fontId="26" fillId="32" borderId="49" applyNumberFormat="0">
      <protection locked="0"/>
    </xf>
    <xf numFmtId="183" fontId="26" fillId="32" borderId="49" applyNumberFormat="0">
      <protection locked="0"/>
    </xf>
    <xf numFmtId="184" fontId="26" fillId="32" borderId="49" applyNumberFormat="0">
      <protection locked="0"/>
    </xf>
    <xf numFmtId="184" fontId="26" fillId="32" borderId="49" applyNumberFormat="0">
      <protection locked="0"/>
    </xf>
    <xf numFmtId="0" fontId="8" fillId="0" borderId="0"/>
    <xf numFmtId="183" fontId="8" fillId="0" borderId="0"/>
    <xf numFmtId="184" fontId="8" fillId="0" borderId="0"/>
    <xf numFmtId="184" fontId="8" fillId="0" borderId="0"/>
    <xf numFmtId="183" fontId="26" fillId="32" borderId="49" applyNumberFormat="0">
      <protection locked="0"/>
    </xf>
    <xf numFmtId="184" fontId="26" fillId="32" borderId="49" applyNumberFormat="0">
      <protection locked="0"/>
    </xf>
    <xf numFmtId="184" fontId="26" fillId="32" borderId="49" applyNumberFormat="0">
      <protection locked="0"/>
    </xf>
    <xf numFmtId="182" fontId="147" fillId="31" borderId="50" applyBorder="0"/>
    <xf numFmtId="184" fontId="147" fillId="31" borderId="50" applyBorder="0"/>
    <xf numFmtId="182" fontId="147" fillId="31" borderId="50" applyBorder="0"/>
    <xf numFmtId="0" fontId="147" fillId="31" borderId="50" applyBorder="0"/>
    <xf numFmtId="183" fontId="147" fillId="31" borderId="50" applyBorder="0"/>
    <xf numFmtId="183" fontId="147" fillId="31" borderId="50" applyBorder="0"/>
    <xf numFmtId="183" fontId="147" fillId="31" borderId="50" applyBorder="0"/>
    <xf numFmtId="184" fontId="147" fillId="31" borderId="50" applyBorder="0"/>
    <xf numFmtId="184" fontId="147" fillId="31" borderId="50" applyBorder="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47" fillId="31" borderId="50" applyBorder="0"/>
    <xf numFmtId="184" fontId="147" fillId="31" borderId="50" applyBorder="0"/>
    <xf numFmtId="184" fontId="147" fillId="31" borderId="50" applyBorder="0"/>
    <xf numFmtId="185" fontId="147" fillId="31" borderId="50" applyBorder="0"/>
    <xf numFmtId="183" fontId="147" fillId="31" borderId="50" applyBorder="0"/>
    <xf numFmtId="183" fontId="147" fillId="31" borderId="50" applyBorder="0"/>
    <xf numFmtId="183" fontId="147" fillId="31" borderId="50" applyBorder="0"/>
    <xf numFmtId="184" fontId="147" fillId="31" borderId="50" applyBorder="0"/>
    <xf numFmtId="184" fontId="147" fillId="31" borderId="50" applyBorder="0"/>
    <xf numFmtId="0" fontId="8" fillId="0" borderId="0"/>
    <xf numFmtId="183" fontId="8" fillId="0" borderId="0"/>
    <xf numFmtId="184" fontId="8" fillId="0" borderId="0"/>
    <xf numFmtId="184" fontId="8" fillId="0" borderId="0"/>
    <xf numFmtId="183" fontId="147" fillId="31" borderId="50" applyBorder="0"/>
    <xf numFmtId="184" fontId="147" fillId="31" borderId="50" applyBorder="0"/>
    <xf numFmtId="184" fontId="147" fillId="31" borderId="50" applyBorder="0"/>
    <xf numFmtId="185" fontId="147" fillId="31" borderId="50" applyBorder="0"/>
    <xf numFmtId="183" fontId="147" fillId="31" borderId="50" applyBorder="0"/>
    <xf numFmtId="183" fontId="147" fillId="31" borderId="50" applyBorder="0"/>
    <xf numFmtId="184" fontId="147" fillId="31" borderId="50" applyBorder="0"/>
    <xf numFmtId="184" fontId="147" fillId="31" borderId="50" applyBorder="0"/>
    <xf numFmtId="185" fontId="147" fillId="31" borderId="50" applyBorder="0"/>
    <xf numFmtId="184" fontId="147" fillId="31" borderId="50" applyBorder="0"/>
    <xf numFmtId="184" fontId="147" fillId="31" borderId="50" applyBorder="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47" fillId="31" borderId="50" applyBorder="0"/>
    <xf numFmtId="184" fontId="147" fillId="31" borderId="50" applyBorder="0"/>
    <xf numFmtId="184" fontId="147" fillId="31" borderId="50" applyBorder="0"/>
    <xf numFmtId="0" fontId="147" fillId="31" borderId="50" applyBorder="0"/>
    <xf numFmtId="183" fontId="147" fillId="31" borderId="50" applyBorder="0"/>
    <xf numFmtId="183" fontId="147" fillId="31" borderId="50" applyBorder="0"/>
    <xf numFmtId="184" fontId="147" fillId="31" borderId="50" applyBorder="0"/>
    <xf numFmtId="184" fontId="147" fillId="31" borderId="50" applyBorder="0"/>
    <xf numFmtId="0" fontId="147" fillId="31" borderId="50" applyBorder="0"/>
    <xf numFmtId="184" fontId="147" fillId="31" borderId="50" applyBorder="0"/>
    <xf numFmtId="184" fontId="147" fillId="31" borderId="50" applyBorder="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147" fillId="31" borderId="50" applyBorder="0"/>
    <xf numFmtId="184" fontId="147" fillId="31" borderId="50" applyBorder="0"/>
    <xf numFmtId="184" fontId="147" fillId="31" borderId="50" applyBorder="0"/>
    <xf numFmtId="185" fontId="147" fillId="31" borderId="50" applyBorder="0"/>
    <xf numFmtId="183" fontId="147" fillId="31" borderId="50" applyBorder="0"/>
    <xf numFmtId="183" fontId="147" fillId="31" borderId="50" applyBorder="0"/>
    <xf numFmtId="183" fontId="147" fillId="31" borderId="50" applyBorder="0"/>
    <xf numFmtId="184" fontId="147" fillId="31" borderId="50" applyBorder="0"/>
    <xf numFmtId="184" fontId="147" fillId="31" borderId="50" applyBorder="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47" fillId="31" borderId="50" applyBorder="0"/>
    <xf numFmtId="184" fontId="147" fillId="31" borderId="50" applyBorder="0"/>
    <xf numFmtId="184" fontId="147" fillId="31" borderId="50" applyBorder="0"/>
    <xf numFmtId="185" fontId="147" fillId="31" borderId="50" applyBorder="0"/>
    <xf numFmtId="183" fontId="147" fillId="31" borderId="50" applyBorder="0"/>
    <xf numFmtId="183" fontId="147" fillId="31" borderId="50" applyBorder="0"/>
    <xf numFmtId="184" fontId="147" fillId="31" borderId="50" applyBorder="0"/>
    <xf numFmtId="184" fontId="147" fillId="31" borderId="50" applyBorder="0"/>
    <xf numFmtId="185" fontId="147" fillId="31" borderId="50" applyBorder="0"/>
    <xf numFmtId="184" fontId="147" fillId="31" borderId="50" applyBorder="0"/>
    <xf numFmtId="184" fontId="147" fillId="31" borderId="50" applyBorder="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47" fillId="31" borderId="50" applyBorder="0"/>
    <xf numFmtId="184" fontId="147" fillId="31" borderId="50" applyBorder="0"/>
    <xf numFmtId="184" fontId="147" fillId="31" borderId="50" applyBorder="0"/>
    <xf numFmtId="183" fontId="147" fillId="31" borderId="50" applyBorder="0"/>
    <xf numFmtId="183" fontId="147" fillId="31" borderId="50" applyBorder="0"/>
    <xf numFmtId="183" fontId="147" fillId="31" borderId="50" applyBorder="0"/>
    <xf numFmtId="184" fontId="147" fillId="31" borderId="50" applyBorder="0"/>
    <xf numFmtId="184" fontId="147" fillId="31" borderId="50" applyBorder="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47" fillId="31" borderId="50" applyBorder="0"/>
    <xf numFmtId="184" fontId="147" fillId="31" borderId="50" applyBorder="0"/>
    <xf numFmtId="184" fontId="147" fillId="31" borderId="50" applyBorder="0"/>
    <xf numFmtId="0" fontId="147" fillId="31" borderId="50" applyBorder="0"/>
    <xf numFmtId="183" fontId="147" fillId="31" borderId="50" applyBorder="0"/>
    <xf numFmtId="183" fontId="147" fillId="31" borderId="50" applyBorder="0"/>
    <xf numFmtId="184" fontId="147" fillId="31" borderId="50" applyBorder="0"/>
    <xf numFmtId="184" fontId="147" fillId="31" borderId="50" applyBorder="0"/>
    <xf numFmtId="0" fontId="147" fillId="31" borderId="50" applyBorder="0"/>
    <xf numFmtId="184" fontId="147" fillId="31" borderId="50" applyBorder="0"/>
    <xf numFmtId="184" fontId="147" fillId="31" borderId="50" applyBorder="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147" fillId="31" borderId="50" applyBorder="0"/>
    <xf numFmtId="187" fontId="147" fillId="31" borderId="50" applyBorder="0"/>
    <xf numFmtId="184" fontId="147" fillId="31" borderId="50" applyBorder="0"/>
    <xf numFmtId="184" fontId="147" fillId="31" borderId="50" applyBorder="0"/>
    <xf numFmtId="0" fontId="147" fillId="31" borderId="50" applyBorder="0"/>
    <xf numFmtId="184" fontId="147" fillId="31" borderId="50" applyBorder="0"/>
    <xf numFmtId="0" fontId="24" fillId="0" borderId="0"/>
    <xf numFmtId="184" fontId="24" fillId="0" borderId="0"/>
    <xf numFmtId="0" fontId="24" fillId="0" borderId="0"/>
    <xf numFmtId="184" fontId="24" fillId="0" borderId="0"/>
    <xf numFmtId="4" fontId="139" fillId="26" borderId="1" applyNumberFormat="0" applyProtection="0">
      <alignment vertical="center"/>
    </xf>
    <xf numFmtId="184" fontId="24" fillId="0" borderId="0"/>
    <xf numFmtId="4" fontId="43"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0" fontId="8" fillId="0" borderId="0"/>
    <xf numFmtId="183" fontId="8" fillId="0" borderId="0"/>
    <xf numFmtId="184" fontId="8" fillId="0" borderId="0"/>
    <xf numFmtId="184" fontId="8" fillId="0" borderId="0"/>
    <xf numFmtId="4" fontId="139" fillId="26" borderId="1" applyNumberFormat="0" applyProtection="0">
      <alignment vertical="center"/>
    </xf>
    <xf numFmtId="4" fontId="43" fillId="26" borderId="1" applyNumberFormat="0" applyProtection="0">
      <alignment vertical="center"/>
    </xf>
    <xf numFmtId="4" fontId="43" fillId="26" borderId="1" applyNumberFormat="0" applyProtection="0">
      <alignment vertical="center"/>
    </xf>
    <xf numFmtId="4" fontId="43" fillId="26" borderId="1" applyNumberFormat="0" applyProtection="0">
      <alignment vertical="center"/>
    </xf>
    <xf numFmtId="4" fontId="43" fillId="26" borderId="1" applyNumberFormat="0" applyProtection="0">
      <alignmen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26" borderId="1" applyNumberFormat="0" applyProtection="0">
      <alignment vertical="center"/>
    </xf>
    <xf numFmtId="4" fontId="43" fillId="26" borderId="1" applyNumberFormat="0" applyProtection="0">
      <alignment vertical="center"/>
    </xf>
    <xf numFmtId="4" fontId="43" fillId="26" borderId="1" applyNumberFormat="0" applyProtection="0">
      <alignmen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0" fontId="24" fillId="0" borderId="0"/>
    <xf numFmtId="184" fontId="24" fillId="0" borderId="0"/>
    <xf numFmtId="184" fontId="24" fillId="0" borderId="0"/>
    <xf numFmtId="4" fontId="49" fillId="26" borderId="1" applyNumberFormat="0" applyProtection="0">
      <alignment vertical="center"/>
    </xf>
    <xf numFmtId="4" fontId="145" fillId="102" borderId="3" applyNumberFormat="0" applyProtection="0">
      <alignment vertical="center"/>
    </xf>
    <xf numFmtId="4" fontId="145" fillId="102" borderId="3" applyNumberFormat="0" applyProtection="0">
      <alignment vertical="center"/>
    </xf>
    <xf numFmtId="0" fontId="8" fillId="0" borderId="0"/>
    <xf numFmtId="183" fontId="8" fillId="0" borderId="0"/>
    <xf numFmtId="184" fontId="8" fillId="0" borderId="0"/>
    <xf numFmtId="184" fontId="8" fillId="0" borderId="0"/>
    <xf numFmtId="4" fontId="49" fillId="26" borderId="1" applyNumberFormat="0" applyProtection="0">
      <alignment vertical="center"/>
    </xf>
    <xf numFmtId="4" fontId="49" fillId="26" borderId="1" applyNumberFormat="0" applyProtection="0">
      <alignmen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9" fillId="26" borderId="1" applyNumberFormat="0" applyProtection="0">
      <alignmen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24" fillId="0" borderId="0"/>
    <xf numFmtId="184" fontId="24" fillId="0" borderId="0"/>
    <xf numFmtId="0" fontId="24" fillId="0" borderId="0"/>
    <xf numFmtId="184" fontId="24" fillId="0" borderId="0"/>
    <xf numFmtId="4" fontId="139" fillId="75" borderId="1" applyNumberFormat="0" applyProtection="0">
      <alignment horizontal="left" vertical="center" indent="1"/>
    </xf>
    <xf numFmtId="184" fontId="24" fillId="0" borderId="0"/>
    <xf numFmtId="4" fontId="43" fillId="26"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0" fontId="8" fillId="0" borderId="0"/>
    <xf numFmtId="183" fontId="8" fillId="0" borderId="0"/>
    <xf numFmtId="184" fontId="8" fillId="0" borderId="0"/>
    <xf numFmtId="184" fontId="8" fillId="0" borderId="0"/>
    <xf numFmtId="4" fontId="139" fillId="75" borderId="1" applyNumberFormat="0" applyProtection="0">
      <alignment horizontal="left" vertical="center" indent="1"/>
    </xf>
    <xf numFmtId="4" fontId="43" fillId="26" borderId="1" applyNumberFormat="0" applyProtection="0">
      <alignment horizontal="left" vertical="center" indent="1"/>
    </xf>
    <xf numFmtId="4" fontId="43" fillId="26" borderId="1" applyNumberFormat="0" applyProtection="0">
      <alignment horizontal="left" vertical="center" indent="1"/>
    </xf>
    <xf numFmtId="4" fontId="43" fillId="26" borderId="1" applyNumberFormat="0" applyProtection="0">
      <alignment horizontal="left" vertical="center" indent="1"/>
    </xf>
    <xf numFmtId="4" fontId="43" fillId="26"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26" borderId="1" applyNumberFormat="0" applyProtection="0">
      <alignment horizontal="left" vertical="center" indent="1"/>
    </xf>
    <xf numFmtId="4" fontId="43" fillId="26" borderId="1" applyNumberFormat="0" applyProtection="0">
      <alignment horizontal="left" vertical="center" indent="1"/>
    </xf>
    <xf numFmtId="4" fontId="43" fillId="26" borderId="1" applyNumberFormat="0" applyProtection="0">
      <alignment horizontal="left" vertical="center"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8" fillId="0" borderId="0"/>
    <xf numFmtId="183" fontId="8" fillId="0" borderId="0"/>
    <xf numFmtId="184" fontId="8" fillId="0" borderId="0"/>
    <xf numFmtId="184" fontId="8" fillId="0" borderId="0"/>
    <xf numFmtId="0" fontId="24" fillId="0" borderId="0"/>
    <xf numFmtId="184" fontId="24" fillId="0" borderId="0"/>
    <xf numFmtId="187" fontId="43" fillId="26" borderId="1" applyNumberFormat="0" applyProtection="0">
      <alignment horizontal="left" vertical="top" indent="1"/>
    </xf>
    <xf numFmtId="0" fontId="24" fillId="0" borderId="0"/>
    <xf numFmtId="184" fontId="24" fillId="0" borderId="0"/>
    <xf numFmtId="187"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24" fillId="0" borderId="0"/>
    <xf numFmtId="184" fontId="24" fillId="0" borderId="0"/>
    <xf numFmtId="0" fontId="24" fillId="0" borderId="0"/>
    <xf numFmtId="184" fontId="24"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24" fillId="0" borderId="0"/>
    <xf numFmtId="182" fontId="139" fillId="26" borderId="1" applyNumberFormat="0" applyProtection="0">
      <alignment horizontal="left" vertical="top" indent="1"/>
    </xf>
    <xf numFmtId="0"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8" fillId="0" borderId="0"/>
    <xf numFmtId="183" fontId="8" fillId="0" borderId="0"/>
    <xf numFmtId="184" fontId="8" fillId="0" borderId="0"/>
    <xf numFmtId="184" fontId="8" fillId="0" borderId="0"/>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43" fillId="26" borderId="1" applyNumberFormat="0" applyProtection="0">
      <alignment horizontal="left" vertical="top" indent="1"/>
    </xf>
    <xf numFmtId="0"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3" fillId="26" borderId="1" applyNumberFormat="0" applyProtection="0">
      <alignment horizontal="left" vertical="top" indent="1"/>
    </xf>
    <xf numFmtId="0"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5"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43" fillId="26" borderId="1" applyNumberFormat="0" applyProtection="0">
      <alignment horizontal="left" vertical="top" indent="1"/>
    </xf>
    <xf numFmtId="0"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3" fillId="26" borderId="1" applyNumberFormat="0" applyProtection="0">
      <alignment horizontal="left" vertical="top" indent="1"/>
    </xf>
    <xf numFmtId="0"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43" fillId="26" borderId="1" applyNumberFormat="0" applyProtection="0">
      <alignment horizontal="left" vertical="top" indent="1"/>
    </xf>
    <xf numFmtId="184" fontId="43" fillId="26" borderId="1" applyNumberFormat="0" applyProtection="0">
      <alignment horizontal="left" vertical="top" indent="1"/>
    </xf>
    <xf numFmtId="184" fontId="43" fillId="26" borderId="1" applyNumberFormat="0" applyProtection="0">
      <alignment horizontal="left" vertical="top"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4" fontId="43" fillId="30" borderId="1" applyNumberFormat="0" applyProtection="0">
      <alignment horizontal="right" vertical="center"/>
    </xf>
    <xf numFmtId="4" fontId="43" fillId="30" borderId="1" applyNumberFormat="0" applyProtection="0">
      <alignment horizontal="right" vertical="center"/>
    </xf>
    <xf numFmtId="4" fontId="43" fillId="30" borderId="1" applyNumberFormat="0" applyProtection="0">
      <alignment horizontal="right" vertical="center"/>
    </xf>
    <xf numFmtId="4" fontId="43" fillId="30" borderId="1" applyNumberFormat="0" applyProtection="0">
      <alignment horizontal="right" vertical="center"/>
    </xf>
    <xf numFmtId="4" fontId="43" fillId="30"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30" borderId="1" applyNumberFormat="0" applyProtection="0">
      <alignment horizontal="right" vertical="center"/>
    </xf>
    <xf numFmtId="4" fontId="43" fillId="30" borderId="1"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43" fillId="30" borderId="1"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26" fillId="0" borderId="29" applyNumberFormat="0" applyProtection="0">
      <alignment horizontal="right" vertical="center"/>
    </xf>
    <xf numFmtId="4" fontId="49" fillId="30" borderId="1" applyNumberFormat="0" applyProtection="0">
      <alignment horizontal="right" vertical="center"/>
    </xf>
    <xf numFmtId="4" fontId="49" fillId="30" borderId="1" applyNumberFormat="0" applyProtection="0">
      <alignment horizontal="right" vertical="center"/>
    </xf>
    <xf numFmtId="4" fontId="49" fillId="30"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9" fillId="30" borderId="1"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145" fillId="110" borderId="29" applyNumberFormat="0" applyProtection="0">
      <alignment horizontal="right" vertical="center"/>
    </xf>
    <xf numFmtId="4" fontId="26" fillId="78" borderId="29" applyNumberFormat="0" applyProtection="0">
      <alignment horizontal="left" vertical="center" indent="1"/>
    </xf>
    <xf numFmtId="4" fontId="43" fillId="27" borderId="1" applyNumberFormat="0" applyProtection="0">
      <alignment horizontal="left" vertical="center" indent="1"/>
    </xf>
    <xf numFmtId="4" fontId="43" fillId="27" borderId="1" applyNumberFormat="0" applyProtection="0">
      <alignment horizontal="left" vertical="center" indent="1"/>
    </xf>
    <xf numFmtId="4" fontId="43" fillId="27" borderId="1" applyNumberFormat="0" applyProtection="0">
      <alignment horizontal="left" vertical="center" indent="1"/>
    </xf>
    <xf numFmtId="4" fontId="43" fillId="27" borderId="1"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3" fillId="27" borderId="1" applyNumberFormat="0" applyProtection="0">
      <alignment horizontal="left" vertical="center" indent="1"/>
    </xf>
    <xf numFmtId="4" fontId="43" fillId="27" borderId="1"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43" fillId="27" borderId="1"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4" fontId="26" fillId="78" borderId="29" applyNumberFormat="0" applyProtection="0">
      <alignment horizontal="left" vertical="center" indent="1"/>
    </xf>
    <xf numFmtId="0" fontId="8" fillId="0" borderId="0"/>
    <xf numFmtId="183" fontId="8" fillId="0" borderId="0"/>
    <xf numFmtId="184" fontId="8" fillId="0" borderId="0"/>
    <xf numFmtId="184" fontId="8" fillId="0" borderId="0"/>
    <xf numFmtId="0" fontId="24" fillId="0" borderId="0"/>
    <xf numFmtId="184" fontId="24" fillId="0" borderId="0"/>
    <xf numFmtId="187" fontId="43" fillId="27" borderId="1" applyNumberFormat="0" applyProtection="0">
      <alignment horizontal="left" vertical="top" indent="1"/>
    </xf>
    <xf numFmtId="0" fontId="24" fillId="0" borderId="0"/>
    <xf numFmtId="184" fontId="24" fillId="0" borderId="0"/>
    <xf numFmtId="187"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24" fillId="0" borderId="0"/>
    <xf numFmtId="184" fontId="24" fillId="0" borderId="0"/>
    <xf numFmtId="0" fontId="24" fillId="0" borderId="0"/>
    <xf numFmtId="184" fontId="24"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24" fillId="0" borderId="0"/>
    <xf numFmtId="182" fontId="139" fillId="27" borderId="1" applyNumberFormat="0" applyProtection="0">
      <alignment horizontal="left" vertical="top" indent="1"/>
    </xf>
    <xf numFmtId="0"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8" fillId="0" borderId="0"/>
    <xf numFmtId="183" fontId="8" fillId="0" borderId="0"/>
    <xf numFmtId="184" fontId="8" fillId="0" borderId="0"/>
    <xf numFmtId="184" fontId="8" fillId="0" borderId="0"/>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43" fillId="27" borderId="1" applyNumberFormat="0" applyProtection="0">
      <alignment horizontal="left" vertical="top" indent="1"/>
    </xf>
    <xf numFmtId="0"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3" fillId="27" borderId="1" applyNumberFormat="0" applyProtection="0">
      <alignment horizontal="left" vertical="top" indent="1"/>
    </xf>
    <xf numFmtId="0"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5"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43" fillId="27" borderId="1" applyNumberFormat="0" applyProtection="0">
      <alignment horizontal="left" vertical="top" indent="1"/>
    </xf>
    <xf numFmtId="0"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3" fillId="27" borderId="1" applyNumberFormat="0" applyProtection="0">
      <alignment horizontal="left" vertical="top" indent="1"/>
    </xf>
    <xf numFmtId="0"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43" fillId="27" borderId="1" applyNumberFormat="0" applyProtection="0">
      <alignment horizontal="left" vertical="top" indent="1"/>
    </xf>
    <xf numFmtId="184" fontId="43" fillId="27" borderId="1" applyNumberFormat="0" applyProtection="0">
      <alignment horizontal="left" vertical="top" indent="1"/>
    </xf>
    <xf numFmtId="184" fontId="43" fillId="27" borderId="1" applyNumberFormat="0" applyProtection="0">
      <alignment horizontal="left" vertical="top" indent="1"/>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184" fontId="24" fillId="0" borderId="0"/>
    <xf numFmtId="4" fontId="50" fillId="33" borderId="0"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0" fontId="8" fillId="0" borderId="0"/>
    <xf numFmtId="183" fontId="8" fillId="0" borderId="0"/>
    <xf numFmtId="184" fontId="8" fillId="0" borderId="0"/>
    <xf numFmtId="184" fontId="8" fillId="0" borderId="0"/>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148" fillId="33" borderId="48" applyNumberFormat="0" applyProtection="0">
      <alignment horizontal="left" vertical="center" indent="1"/>
    </xf>
    <xf numFmtId="4" fontId="50" fillId="33" borderId="0" applyNumberFormat="0" applyProtection="0">
      <alignment horizontal="left" vertical="center" inden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182" fontId="26" fillId="111" borderId="3"/>
    <xf numFmtId="184" fontId="26" fillId="111" borderId="3"/>
    <xf numFmtId="182" fontId="26" fillId="111" borderId="3"/>
    <xf numFmtId="0" fontId="26" fillId="111" borderId="3"/>
    <xf numFmtId="183" fontId="26" fillId="111" borderId="3"/>
    <xf numFmtId="183" fontId="26" fillId="111" borderId="3"/>
    <xf numFmtId="184" fontId="26" fillId="111" borderId="3"/>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6" fillId="111" borderId="3"/>
    <xf numFmtId="185" fontId="26" fillId="111" borderId="3"/>
    <xf numFmtId="183" fontId="26" fillId="111" borderId="3"/>
    <xf numFmtId="183" fontId="26" fillId="111" borderId="3"/>
    <xf numFmtId="184" fontId="26" fillId="111" borderId="3"/>
    <xf numFmtId="0" fontId="8" fillId="0" borderId="0"/>
    <xf numFmtId="183" fontId="8" fillId="0" borderId="0"/>
    <xf numFmtId="184" fontId="8" fillId="0" borderId="0"/>
    <xf numFmtId="184" fontId="8" fillId="0" borderId="0"/>
    <xf numFmtId="184" fontId="26" fillId="111" borderId="3"/>
    <xf numFmtId="185" fontId="26" fillId="111" borderId="3"/>
    <xf numFmtId="183" fontId="26" fillId="111" borderId="3"/>
    <xf numFmtId="184" fontId="26" fillId="111" borderId="3"/>
    <xf numFmtId="184" fontId="26" fillId="111" borderId="3"/>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6" fillId="111" borderId="3"/>
    <xf numFmtId="0" fontId="26" fillId="111" borderId="3"/>
    <xf numFmtId="183" fontId="26" fillId="111" borderId="3"/>
    <xf numFmtId="184" fontId="26" fillId="111" borderId="3"/>
    <xf numFmtId="184" fontId="26" fillId="111" borderId="3"/>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6" fillId="111" borderId="3"/>
    <xf numFmtId="185" fontId="26" fillId="111" borderId="3"/>
    <xf numFmtId="183" fontId="26" fillId="111" borderId="3"/>
    <xf numFmtId="183" fontId="26" fillId="111" borderId="3"/>
    <xf numFmtId="184" fontId="26" fillId="111" borderId="3"/>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6" fillId="111" borderId="3"/>
    <xf numFmtId="185" fontId="26" fillId="111" borderId="3"/>
    <xf numFmtId="183" fontId="26" fillId="111" borderId="3"/>
    <xf numFmtId="184" fontId="26" fillId="111" borderId="3"/>
    <xf numFmtId="184" fontId="26" fillId="111" borderId="3"/>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6" fillId="111" borderId="3"/>
    <xf numFmtId="183" fontId="26" fillId="111" borderId="3"/>
    <xf numFmtId="183" fontId="26" fillId="111" borderId="3"/>
    <xf numFmtId="184" fontId="26" fillId="111" borderId="3"/>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6" fillId="111" borderId="3"/>
    <xf numFmtId="0" fontId="26" fillId="111" borderId="3"/>
    <xf numFmtId="183" fontId="26" fillId="111" borderId="3"/>
    <xf numFmtId="184" fontId="26" fillId="111" borderId="3"/>
    <xf numFmtId="184" fontId="26" fillId="111" borderId="3"/>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26" fillId="111" borderId="3"/>
    <xf numFmtId="184" fontId="26" fillId="111" borderId="3"/>
    <xf numFmtId="0" fontId="26" fillId="111" borderId="3"/>
    <xf numFmtId="184" fontId="26" fillId="111" borderId="3"/>
    <xf numFmtId="0" fontId="24" fillId="0" borderId="0"/>
    <xf numFmtId="184" fontId="24" fillId="0" borderId="0"/>
    <xf numFmtId="0" fontId="24" fillId="0" borderId="0"/>
    <xf numFmtId="184" fontId="24" fillId="0" borderId="0"/>
    <xf numFmtId="4" fontId="149" fillId="32" borderId="29" applyNumberFormat="0" applyProtection="0">
      <alignment horizontal="right" vertical="center"/>
    </xf>
    <xf numFmtId="184" fontId="24" fillId="0" borderId="0"/>
    <xf numFmtId="4" fontId="44" fillId="30" borderId="1"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0" fontId="8" fillId="0" borderId="0"/>
    <xf numFmtId="183" fontId="8" fillId="0" borderId="0"/>
    <xf numFmtId="184" fontId="8" fillId="0" borderId="0"/>
    <xf numFmtId="184" fontId="8" fillId="0" borderId="0"/>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149" fillId="32" borderId="29" applyNumberFormat="0" applyProtection="0">
      <alignment horizontal="right" vertical="center"/>
    </xf>
    <xf numFmtId="4" fontId="44" fillId="30" borderId="1" applyNumberFormat="0" applyProtection="0">
      <alignment horizontal="right" vertical="center"/>
    </xf>
    <xf numFmtId="4" fontId="44" fillId="30" borderId="1" applyNumberFormat="0" applyProtection="0">
      <alignment horizontal="right" vertic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 fontId="44" fillId="30" borderId="1" applyNumberFormat="0" applyProtection="0">
      <alignment horizontal="right" vertical="center"/>
    </xf>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3" fontId="24" fillId="0" borderId="0"/>
    <xf numFmtId="184" fontId="24" fillId="0" borderId="0"/>
    <xf numFmtId="0" fontId="8" fillId="0" borderId="0"/>
    <xf numFmtId="183" fontId="8" fillId="0" borderId="0"/>
    <xf numFmtId="184" fontId="8" fillId="0" borderId="0"/>
    <xf numFmtId="184" fontId="8" fillId="0" borderId="0"/>
    <xf numFmtId="184" fontId="24" fillId="0" borderId="0"/>
    <xf numFmtId="185"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24" fillId="0" borderId="0"/>
    <xf numFmtId="0" fontId="24" fillId="0" borderId="0"/>
    <xf numFmtId="183" fontId="24" fillId="0" borderId="0"/>
    <xf numFmtId="184" fontId="24" fillId="0" borderId="0"/>
    <xf numFmtId="184" fontId="24"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24" fillId="0" borderId="0"/>
    <xf numFmtId="184" fontId="24" fillId="0" borderId="0"/>
    <xf numFmtId="0" fontId="24" fillId="0" borderId="0"/>
    <xf numFmtId="184" fontId="24"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2" fontId="51" fillId="0" borderId="0" applyNumberFormat="0" applyFill="0" applyBorder="0" applyAlignment="0" applyProtection="0"/>
    <xf numFmtId="0"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0"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0"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150" fillId="0" borderId="0" applyNumberFormat="0" applyFill="0" applyBorder="0" applyAlignment="0">
      <alignment horizontal="center"/>
    </xf>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150" fillId="0" borderId="0" applyNumberFormat="0" applyFill="0" applyBorder="0" applyAlignment="0">
      <alignment horizontal="center"/>
    </xf>
    <xf numFmtId="184" fontId="150" fillId="0" borderId="0" applyNumberFormat="0" applyFill="0" applyBorder="0" applyAlignment="0">
      <alignment horizontal="center"/>
    </xf>
    <xf numFmtId="183" fontId="151" fillId="0" borderId="0">
      <alignment horizontal="right"/>
    </xf>
    <xf numFmtId="183" fontId="151" fillId="0" borderId="0">
      <alignment horizontal="right"/>
    </xf>
    <xf numFmtId="184" fontId="151" fillId="0" borderId="0">
      <alignment horizontal="righ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1" fillId="0" borderId="0">
      <alignment horizontal="right"/>
    </xf>
    <xf numFmtId="186" fontId="24" fillId="0" borderId="0">
      <alignment horizontal="left" wrapText="1"/>
    </xf>
    <xf numFmtId="186" fontId="24" fillId="0" borderId="0">
      <alignment horizontal="left" wrapText="1"/>
    </xf>
    <xf numFmtId="186" fontId="24" fillId="0" borderId="0">
      <alignment horizontal="left" wrapTex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6" fontId="24" fillId="0" borderId="0">
      <alignment horizontal="left" wrapTex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0" fontId="152" fillId="0" borderId="0" applyBorder="0">
      <alignment horizontal="right"/>
    </xf>
    <xf numFmtId="40" fontId="152" fillId="0" borderId="0" applyBorder="0">
      <alignment horizontal="righ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49" fontId="153" fillId="0" borderId="0">
      <alignment horizontal="left"/>
    </xf>
    <xf numFmtId="49" fontId="153" fillId="0" borderId="0">
      <alignment horizontal="left"/>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154" fillId="112" borderId="0" applyNumberFormat="0" applyBorder="0" applyAlignment="0" applyProtection="0">
      <protection locked="0"/>
    </xf>
    <xf numFmtId="183" fontId="154" fillId="112" borderId="0" applyNumberFormat="0" applyBorder="0" applyAlignment="0" applyProtection="0">
      <protection locked="0"/>
    </xf>
    <xf numFmtId="184" fontId="154" fillId="112" borderId="0" applyNumberFormat="0" applyBorder="0" applyAlignment="0" applyProtection="0">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4" fillId="112" borderId="0" applyNumberFormat="0" applyBorder="0" applyAlignment="0" applyProtection="0">
      <protection locked="0"/>
    </xf>
    <xf numFmtId="0" fontId="15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51"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51" fillId="0" borderId="0" applyNumberFormat="0" applyFill="0" applyBorder="0" applyAlignment="0" applyProtection="0"/>
    <xf numFmtId="184" fontId="15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0"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0"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0"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0"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8" fillId="0" borderId="0"/>
    <xf numFmtId="183" fontId="8" fillId="0" borderId="0"/>
    <xf numFmtId="184" fontId="8" fillId="0" borderId="0"/>
    <xf numFmtId="184" fontId="8"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0" fontId="15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7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8" fillId="0" borderId="0"/>
    <xf numFmtId="183" fontId="8" fillId="0" borderId="0"/>
    <xf numFmtId="184" fontId="8" fillId="0" borderId="0"/>
    <xf numFmtId="184" fontId="8"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5"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5"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4" fontId="51"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1"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82" fontId="54" fillId="0" borderId="25" applyNumberFormat="0" applyFill="0" applyAlignment="0" applyProtection="0"/>
    <xf numFmtId="0" fontId="42" fillId="0" borderId="51"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42" fillId="0" borderId="52" applyNumberFormat="0" applyFill="0" applyAlignment="0" applyProtection="0"/>
    <xf numFmtId="0" fontId="42" fillId="0" borderId="51" applyNumberFormat="0" applyFill="0" applyAlignment="0" applyProtection="0"/>
    <xf numFmtId="0"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42" fillId="0" borderId="51" applyNumberFormat="0" applyFill="0" applyAlignment="0" applyProtection="0"/>
    <xf numFmtId="184" fontId="42" fillId="0" borderId="51" applyNumberFormat="0" applyFill="0" applyAlignment="0" applyProtection="0"/>
    <xf numFmtId="187"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42" fillId="0" borderId="51" applyNumberFormat="0" applyFill="0" applyAlignment="0" applyProtection="0"/>
    <xf numFmtId="0" fontId="42" fillId="0" borderId="51" applyNumberFormat="0" applyFill="0" applyAlignment="0" applyProtection="0"/>
    <xf numFmtId="184" fontId="42" fillId="0" borderId="51" applyNumberFormat="0" applyFill="0" applyAlignment="0" applyProtection="0"/>
    <xf numFmtId="0" fontId="42" fillId="0" borderId="52" applyNumberFormat="0" applyFill="0" applyAlignment="0" applyProtection="0"/>
    <xf numFmtId="184" fontId="42" fillId="0" borderId="52" applyNumberFormat="0" applyFill="0" applyAlignment="0" applyProtection="0"/>
    <xf numFmtId="184" fontId="42" fillId="0" borderId="51" applyNumberFormat="0" applyFill="0" applyAlignment="0" applyProtection="0"/>
    <xf numFmtId="182" fontId="42" fillId="0" borderId="52" applyNumberFormat="0" applyFill="0" applyAlignment="0" applyProtection="0"/>
    <xf numFmtId="0" fontId="54" fillId="0" borderId="25" applyNumberFormat="0" applyFill="0" applyAlignment="0" applyProtection="0"/>
    <xf numFmtId="183"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185" fontId="54" fillId="0" borderId="25" applyNumberFormat="0" applyFill="0" applyAlignment="0" applyProtection="0"/>
    <xf numFmtId="183"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185"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0"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0"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185"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8" fillId="0" borderId="0"/>
    <xf numFmtId="183" fontId="8" fillId="0" borderId="0"/>
    <xf numFmtId="184" fontId="8" fillId="0" borderId="0"/>
    <xf numFmtId="184" fontId="8" fillId="0" borderId="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185"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185"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42" fillId="0" borderId="51"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3"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185" fontId="54" fillId="0" borderId="25" applyNumberFormat="0" applyFill="0" applyAlignment="0" applyProtection="0"/>
    <xf numFmtId="183"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185"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0"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0" fontId="42" fillId="0" borderId="51" applyNumberFormat="0" applyFill="0" applyAlignment="0" applyProtection="0"/>
    <xf numFmtId="183"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185" fontId="54" fillId="0" borderId="25" applyNumberFormat="0" applyFill="0" applyAlignment="0" applyProtection="0"/>
    <xf numFmtId="183"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185"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0" fontId="54" fillId="0" borderId="25" applyNumberFormat="0" applyFill="0" applyAlignment="0" applyProtection="0"/>
    <xf numFmtId="183" fontId="54" fillId="0" borderId="25" applyNumberFormat="0" applyFill="0" applyAlignment="0" applyProtection="0"/>
    <xf numFmtId="184" fontId="54" fillId="0" borderId="25" applyNumberFormat="0" applyFill="0" applyAlignment="0" applyProtection="0"/>
    <xf numFmtId="184" fontId="54" fillId="0" borderId="25"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54" fillId="0" borderId="25" applyNumberFormat="0" applyFill="0" applyAlignment="0" applyProtection="0"/>
    <xf numFmtId="0"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185"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8" fillId="0" borderId="0"/>
    <xf numFmtId="183" fontId="8" fillId="0" borderId="0"/>
    <xf numFmtId="184" fontId="8" fillId="0" borderId="0"/>
    <xf numFmtId="184" fontId="8" fillId="0" borderId="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185"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185"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42" fillId="0" borderId="51" applyNumberFormat="0" applyFill="0" applyAlignment="0" applyProtection="0"/>
    <xf numFmtId="183" fontId="42" fillId="0" borderId="51" applyNumberFormat="0" applyFill="0" applyAlignment="0" applyProtection="0"/>
    <xf numFmtId="183"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42" fillId="0" borderId="51" applyNumberFormat="0" applyFill="0" applyAlignment="0" applyProtection="0"/>
    <xf numFmtId="184" fontId="42" fillId="0" borderId="51" applyNumberFormat="0" applyFill="0" applyAlignment="0" applyProtection="0"/>
    <xf numFmtId="184" fontId="42" fillId="0" borderId="51" applyNumberFormat="0" applyFill="0" applyAlignment="0" applyProtection="0"/>
    <xf numFmtId="197" fontId="24" fillId="0" borderId="13">
      <protection locked="0"/>
    </xf>
    <xf numFmtId="185"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3" fontId="42" fillId="0" borderId="52" applyNumberFormat="0" applyFill="0" applyAlignment="0" applyProtection="0"/>
    <xf numFmtId="183"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85"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5" fontId="42" fillId="0" borderId="52" applyNumberFormat="0" applyFill="0" applyAlignment="0" applyProtection="0"/>
    <xf numFmtId="184" fontId="42" fillId="0" borderId="52" applyNumberFormat="0" applyFill="0" applyAlignment="0" applyProtection="0"/>
    <xf numFmtId="184" fontId="42" fillId="0" borderId="52" applyNumberFormat="0" applyFill="0" applyAlignment="0" applyProtection="0"/>
    <xf numFmtId="197" fontId="24" fillId="0" borderId="13">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54" fillId="0" borderId="25" applyNumberFormat="0" applyFill="0" applyAlignment="0" applyProtection="0"/>
    <xf numFmtId="184" fontId="54" fillId="0" borderId="25" applyNumberFormat="0" applyFill="0" applyAlignment="0" applyProtection="0"/>
    <xf numFmtId="0" fontId="42" fillId="0" borderId="52" applyNumberFormat="0" applyFill="0" applyAlignment="0" applyProtection="0"/>
    <xf numFmtId="184" fontId="42" fillId="0" borderId="52" applyNumberFormat="0" applyFill="0" applyAlignment="0" applyProtection="0"/>
    <xf numFmtId="184" fontId="54" fillId="0" borderId="25" applyNumberFormat="0" applyFill="0" applyAlignment="0" applyProtection="0"/>
    <xf numFmtId="37" fontId="26" fillId="107" borderId="0" applyNumberFormat="0" applyBorder="0" applyAlignment="0" applyProtection="0"/>
    <xf numFmtId="37" fontId="26" fillId="107" borderId="0" applyNumberFormat="0" applyBorder="0" applyAlignment="0" applyProtection="0"/>
    <xf numFmtId="37" fontId="26" fillId="107" borderId="0" applyNumberFormat="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37" fontId="26" fillId="107" borderId="0" applyNumberFormat="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37" fontId="26" fillId="0" borderId="0"/>
    <xf numFmtId="37" fontId="26" fillId="0" borderId="0"/>
    <xf numFmtId="37" fontId="2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37" fontId="26" fillId="0" borderId="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37" fontId="26" fillId="0" borderId="0"/>
    <xf numFmtId="37" fontId="26" fillId="69" borderId="0" applyNumberFormat="0" applyBorder="0" applyAlignment="0" applyProtection="0"/>
    <xf numFmtId="3" fontId="156" fillId="0" borderId="39" applyProtection="0"/>
    <xf numFmtId="3" fontId="156" fillId="0" borderId="39"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182" fontId="158"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0" fontId="158"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8" fillId="0" borderId="0"/>
    <xf numFmtId="183" fontId="8" fillId="0" borderId="0"/>
    <xf numFmtId="184" fontId="8" fillId="0" borderId="0"/>
    <xf numFmtId="184" fontId="8" fillId="0" borderId="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8"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7"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0"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84" fontId="157" fillId="0" borderId="0" applyNumberFormat="0" applyFill="0" applyBorder="0" applyAlignment="0" applyProtection="0"/>
    <xf numFmtId="0"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9" fontId="159" fillId="110" borderId="53" applyNumberFormat="0" applyFill="0" applyBorder="0" applyAlignment="0" applyProtection="0">
      <alignment horizontal="center"/>
      <protection locked="0"/>
    </xf>
    <xf numFmtId="9" fontId="159" fillId="110" borderId="53" applyNumberFormat="0" applyFill="0" applyBorder="0" applyAlignment="0" applyProtection="0">
      <alignment horizontal="center"/>
      <protection locked="0"/>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190" fontId="100" fillId="0" borderId="0" applyNumberFormat="0" applyFont="0" applyFill="0" applyBorder="0" applyProtection="0">
      <alignment wrapText="1"/>
    </xf>
    <xf numFmtId="190" fontId="100" fillId="0" borderId="0" applyNumberFormat="0" applyFont="0" applyFill="0" applyBorder="0" applyProtection="0">
      <alignment wrapText="1"/>
    </xf>
    <xf numFmtId="0" fontId="8" fillId="0" borderId="0"/>
    <xf numFmtId="183" fontId="8" fillId="0" borderId="0"/>
    <xf numFmtId="184" fontId="8" fillId="0" borderId="0"/>
    <xf numFmtId="184" fontId="8" fillId="0" borderId="0"/>
    <xf numFmtId="0" fontId="8" fillId="0" borderId="0"/>
    <xf numFmtId="183" fontId="8" fillId="0" borderId="0"/>
    <xf numFmtId="184" fontId="8" fillId="0" borderId="0"/>
    <xf numFmtId="184" fontId="8" fillId="0" borderId="0"/>
    <xf numFmtId="0" fontId="8" fillId="0" borderId="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0" fontId="5" fillId="44" borderId="24" applyNumberFormat="0" applyFont="0" applyAlignment="0" applyProtection="0"/>
    <xf numFmtId="0" fontId="5" fillId="0" borderId="0"/>
    <xf numFmtId="43" fontId="5" fillId="0" borderId="0" applyFont="0" applyFill="0" applyBorder="0" applyAlignment="0" applyProtection="0"/>
    <xf numFmtId="41" fontId="167"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4" fillId="0" borderId="0"/>
    <xf numFmtId="0" fontId="24" fillId="0" borderId="0"/>
    <xf numFmtId="0" fontId="1" fillId="0" borderId="0"/>
    <xf numFmtId="0" fontId="1" fillId="0" borderId="0"/>
    <xf numFmtId="0" fontId="1" fillId="0" borderId="0"/>
    <xf numFmtId="0" fontId="24" fillId="0" borderId="0"/>
  </cellStyleXfs>
  <cellXfs count="1252">
    <xf numFmtId="0" fontId="0" fillId="0" borderId="0" xfId="0"/>
    <xf numFmtId="0" fontId="25" fillId="0" borderId="0" xfId="0" applyFont="1"/>
    <xf numFmtId="0" fontId="25" fillId="0" borderId="0" xfId="0" applyFont="1" applyAlignment="1">
      <alignment horizontal="center"/>
    </xf>
    <xf numFmtId="0" fontId="28" fillId="0" borderId="0" xfId="0" applyFont="1" applyAlignment="1">
      <alignment horizontal="center"/>
    </xf>
    <xf numFmtId="0" fontId="25"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9" fillId="35" borderId="0" xfId="0" applyFont="1" applyFill="1"/>
    <xf numFmtId="0" fontId="30" fillId="35" borderId="0" xfId="0" applyFont="1" applyFill="1"/>
    <xf numFmtId="0" fontId="27" fillId="0" borderId="0" xfId="0" applyFont="1"/>
    <xf numFmtId="0" fontId="0" fillId="0" borderId="0" xfId="0" applyAlignment="1">
      <alignment horizontal="left" indent="1"/>
    </xf>
    <xf numFmtId="0" fontId="27" fillId="0" borderId="0" xfId="28"/>
    <xf numFmtId="0" fontId="27" fillId="0" borderId="0" xfId="28" applyAlignment="1">
      <alignment horizontal="left"/>
    </xf>
    <xf numFmtId="0" fontId="25" fillId="0" borderId="0" xfId="28" applyFont="1" applyAlignment="1">
      <alignment horizontal="left"/>
    </xf>
    <xf numFmtId="3" fontId="27" fillId="0" borderId="0" xfId="28" applyNumberFormat="1"/>
    <xf numFmtId="1" fontId="27" fillId="0" borderId="0" xfId="28" applyNumberFormat="1" applyAlignment="1">
      <alignment horizontal="center"/>
    </xf>
    <xf numFmtId="0" fontId="28" fillId="0" borderId="0" xfId="28" applyFont="1" applyAlignment="1">
      <alignment horizontal="center"/>
    </xf>
    <xf numFmtId="0" fontId="25" fillId="0" borderId="0" xfId="28" applyFont="1" applyAlignment="1">
      <alignment horizontal="center"/>
    </xf>
    <xf numFmtId="167" fontId="27" fillId="0" borderId="0" xfId="28" applyNumberFormat="1" applyAlignment="1">
      <alignment horizontal="right"/>
    </xf>
    <xf numFmtId="3" fontId="27" fillId="0" borderId="0" xfId="28" applyNumberFormat="1" applyAlignment="1">
      <alignment horizontal="left" indent="1"/>
    </xf>
    <xf numFmtId="0" fontId="27" fillId="0" borderId="0" xfId="28" applyAlignment="1">
      <alignment horizontal="right"/>
    </xf>
    <xf numFmtId="167" fontId="27" fillId="0" borderId="0" xfId="28" quotePrefix="1" applyNumberFormat="1" applyAlignment="1">
      <alignment horizontal="left" indent="1"/>
    </xf>
    <xf numFmtId="165" fontId="31" fillId="0" borderId="0" xfId="20" applyNumberFormat="1" applyFont="1" applyFill="1" applyBorder="1" applyAlignment="1">
      <alignment horizontal="right"/>
    </xf>
    <xf numFmtId="0" fontId="0" fillId="0" borderId="0" xfId="0" applyAlignment="1">
      <alignment horizontal="right"/>
    </xf>
    <xf numFmtId="10" fontId="0" fillId="0" borderId="0" xfId="0" applyNumberFormat="1"/>
    <xf numFmtId="0" fontId="0" fillId="34" borderId="0" xfId="0" applyFill="1"/>
    <xf numFmtId="0" fontId="31" fillId="0" borderId="0" xfId="0" applyFont="1"/>
    <xf numFmtId="165" fontId="31" fillId="0" borderId="0" xfId="0" applyNumberFormat="1" applyFont="1"/>
    <xf numFmtId="0" fontId="28" fillId="0" borderId="0" xfId="0" applyFont="1"/>
    <xf numFmtId="0" fontId="0" fillId="0" borderId="0" xfId="0" quotePrefix="1"/>
    <xf numFmtId="0" fontId="28" fillId="0" borderId="0" xfId="0" applyFont="1" applyAlignment="1">
      <alignment horizontal="left"/>
    </xf>
    <xf numFmtId="0" fontId="0" fillId="0" borderId="0" xfId="0" quotePrefix="1" applyAlignment="1">
      <alignment horizontal="center"/>
    </xf>
    <xf numFmtId="0" fontId="25" fillId="0" borderId="0" xfId="0" applyFont="1" applyAlignment="1">
      <alignment horizontal="left" indent="2"/>
    </xf>
    <xf numFmtId="0" fontId="0" fillId="0" borderId="0" xfId="0" applyAlignment="1">
      <alignment horizontal="right" indent="1"/>
    </xf>
    <xf numFmtId="164" fontId="31"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25" fillId="0" borderId="0" xfId="0" applyFont="1" applyAlignment="1">
      <alignment horizontal="right"/>
    </xf>
    <xf numFmtId="0" fontId="25" fillId="0" borderId="0" xfId="0" applyFont="1" applyAlignment="1">
      <alignment horizontal="left" indent="1"/>
    </xf>
    <xf numFmtId="166" fontId="0" fillId="0" borderId="0" xfId="0" applyNumberFormat="1"/>
    <xf numFmtId="164" fontId="25" fillId="0" borderId="0" xfId="0" applyNumberFormat="1" applyFont="1"/>
    <xf numFmtId="167" fontId="25" fillId="0" borderId="0" xfId="20" applyNumberFormat="1" applyFont="1" applyFill="1" applyBorder="1" applyAlignment="1">
      <alignment horizontal="center"/>
    </xf>
    <xf numFmtId="0" fontId="31" fillId="0" borderId="0" xfId="0" applyFont="1" applyAlignment="1">
      <alignment horizontal="left"/>
    </xf>
    <xf numFmtId="0" fontId="27" fillId="0" borderId="0" xfId="28" applyAlignment="1">
      <alignment horizontal="left" indent="1"/>
    </xf>
    <xf numFmtId="3" fontId="0" fillId="0" borderId="0" xfId="0" applyNumberFormat="1" applyAlignment="1">
      <alignment horizontal="center"/>
    </xf>
    <xf numFmtId="0" fontId="25" fillId="0" borderId="0" xfId="0" applyFont="1" applyAlignment="1">
      <alignment horizontal="left"/>
    </xf>
    <xf numFmtId="0" fontId="28" fillId="0" borderId="0" xfId="0" quotePrefix="1" applyFont="1" applyAlignment="1">
      <alignment horizontal="center"/>
    </xf>
    <xf numFmtId="1" fontId="27" fillId="0" borderId="0" xfId="28" applyNumberFormat="1" applyAlignment="1">
      <alignment horizontal="right"/>
    </xf>
    <xf numFmtId="0" fontId="27" fillId="0" borderId="0" xfId="0" applyFont="1" applyAlignment="1">
      <alignment horizontal="center"/>
    </xf>
    <xf numFmtId="172" fontId="0" fillId="34" borderId="0" xfId="0" applyNumberFormat="1" applyFill="1"/>
    <xf numFmtId="0" fontId="25" fillId="0" borderId="0" xfId="0" applyFont="1" applyAlignment="1">
      <alignment wrapText="1"/>
    </xf>
    <xf numFmtId="164" fontId="31" fillId="0" borderId="0" xfId="0" applyNumberFormat="1" applyFont="1"/>
    <xf numFmtId="0" fontId="0" fillId="36" borderId="0" xfId="0" applyFill="1"/>
    <xf numFmtId="2" fontId="0" fillId="0" borderId="0" xfId="0" applyNumberFormat="1"/>
    <xf numFmtId="3" fontId="0" fillId="0" borderId="0" xfId="0" applyNumberFormat="1"/>
    <xf numFmtId="3" fontId="31" fillId="36" borderId="0" xfId="0" applyNumberFormat="1" applyFont="1" applyFill="1"/>
    <xf numFmtId="0" fontId="25" fillId="0" borderId="0" xfId="0" applyFont="1" applyAlignment="1">
      <alignment horizontal="left" indent="3"/>
    </xf>
    <xf numFmtId="164" fontId="0" fillId="36" borderId="0" xfId="0" applyNumberFormat="1" applyFill="1"/>
    <xf numFmtId="164" fontId="31" fillId="34" borderId="0" xfId="0" applyNumberFormat="1" applyFont="1" applyFill="1"/>
    <xf numFmtId="164" fontId="31" fillId="36" borderId="0" xfId="0" applyNumberFormat="1" applyFont="1" applyFill="1"/>
    <xf numFmtId="0" fontId="31" fillId="0" borderId="0" xfId="0" applyFont="1" applyAlignment="1">
      <alignment horizontal="center"/>
    </xf>
    <xf numFmtId="0" fontId="0" fillId="37" borderId="0" xfId="0" applyFill="1"/>
    <xf numFmtId="0" fontId="29" fillId="0" borderId="0" xfId="0" applyFont="1"/>
    <xf numFmtId="0" fontId="30" fillId="0" borderId="0" xfId="0" applyFont="1"/>
    <xf numFmtId="0" fontId="34" fillId="0" borderId="0" xfId="34" applyFont="1"/>
    <xf numFmtId="167" fontId="34" fillId="0" borderId="0" xfId="19" applyNumberFormat="1" applyFont="1" applyBorder="1"/>
    <xf numFmtId="0" fontId="34" fillId="0" borderId="0" xfId="34" applyFont="1" applyAlignment="1">
      <alignment horizontal="left"/>
    </xf>
    <xf numFmtId="10" fontId="34" fillId="0" borderId="0" xfId="37" applyNumberFormat="1" applyFont="1" applyBorder="1" applyAlignment="1">
      <alignment horizontal="left" indent="3"/>
    </xf>
    <xf numFmtId="0" fontId="34" fillId="0" borderId="0" xfId="34" applyFont="1" applyAlignment="1">
      <alignment horizontal="right" wrapText="1"/>
    </xf>
    <xf numFmtId="42" fontId="34" fillId="0" borderId="0" xfId="34" applyNumberFormat="1" applyFont="1"/>
    <xf numFmtId="175" fontId="34" fillId="0" borderId="0" xfId="34" applyNumberFormat="1" applyFont="1"/>
    <xf numFmtId="0" fontId="35" fillId="0" borderId="0" xfId="34" applyFont="1"/>
    <xf numFmtId="0" fontId="35" fillId="0" borderId="0" xfId="34" applyFont="1" applyAlignment="1">
      <alignment vertical="center" wrapText="1"/>
    </xf>
    <xf numFmtId="42" fontId="35" fillId="0" borderId="0" xfId="19" applyNumberFormat="1" applyFont="1" applyBorder="1" applyAlignment="1">
      <alignment vertical="center"/>
    </xf>
    <xf numFmtId="171" fontId="35" fillId="0" borderId="0" xfId="37" applyNumberFormat="1" applyFont="1" applyBorder="1" applyAlignment="1">
      <alignment horizontal="center" vertical="center"/>
    </xf>
    <xf numFmtId="164" fontId="34" fillId="0" borderId="0" xfId="19" applyNumberFormat="1" applyFont="1" applyBorder="1"/>
    <xf numFmtId="0" fontId="34" fillId="0" borderId="0" xfId="28" applyFont="1"/>
    <xf numFmtId="164" fontId="0" fillId="0" borderId="0" xfId="0" applyNumberFormat="1" applyAlignment="1">
      <alignment horizontal="right" indent="1"/>
    </xf>
    <xf numFmtId="165" fontId="36" fillId="0" borderId="0" xfId="0" applyNumberFormat="1" applyFont="1"/>
    <xf numFmtId="165" fontId="37" fillId="0" borderId="0" xfId="0" applyNumberFormat="1" applyFont="1"/>
    <xf numFmtId="1" fontId="27" fillId="36" borderId="0" xfId="28" applyNumberFormat="1" applyFill="1" applyAlignment="1">
      <alignment horizontal="center"/>
    </xf>
    <xf numFmtId="0" fontId="0" fillId="36" borderId="0" xfId="0" quotePrefix="1" applyFill="1" applyAlignment="1">
      <alignment horizontal="center"/>
    </xf>
    <xf numFmtId="0" fontId="0" fillId="36" borderId="0" xfId="0" applyFill="1" applyAlignment="1">
      <alignment horizontal="center"/>
    </xf>
    <xf numFmtId="0" fontId="25" fillId="0" borderId="0" xfId="0" quotePrefix="1" applyFont="1" applyAlignment="1">
      <alignment horizontal="right"/>
    </xf>
    <xf numFmtId="164" fontId="31" fillId="36" borderId="0" xfId="19" applyNumberFormat="1" applyFont="1" applyFill="1" applyBorder="1"/>
    <xf numFmtId="10" fontId="31" fillId="0" borderId="0" xfId="37" applyNumberFormat="1" applyFont="1" applyBorder="1" applyAlignment="1">
      <alignment horizontal="center"/>
    </xf>
    <xf numFmtId="164" fontId="25" fillId="0" borderId="0" xfId="19" applyNumberFormat="1" applyFont="1" applyBorder="1" applyAlignment="1">
      <alignment vertical="center"/>
    </xf>
    <xf numFmtId="10" fontId="25" fillId="0" borderId="0" xfId="37" applyNumberFormat="1" applyFont="1" applyBorder="1" applyAlignment="1">
      <alignment horizontal="center" vertical="center"/>
    </xf>
    <xf numFmtId="0" fontId="28" fillId="0" borderId="0" xfId="34" applyFont="1" applyAlignment="1">
      <alignment horizontal="center"/>
    </xf>
    <xf numFmtId="0" fontId="25" fillId="0" borderId="0" xfId="34" applyFont="1"/>
    <xf numFmtId="0" fontId="25" fillId="0" borderId="0" xfId="34" applyFont="1" applyAlignment="1">
      <alignment horizontal="left" wrapText="1"/>
    </xf>
    <xf numFmtId="0" fontId="27" fillId="0" borderId="0" xfId="34" applyAlignment="1">
      <alignment horizontal="left" wrapText="1"/>
    </xf>
    <xf numFmtId="0" fontId="25" fillId="0" borderId="0" xfId="34" applyFont="1" applyAlignment="1">
      <alignment vertical="center" wrapText="1"/>
    </xf>
    <xf numFmtId="0" fontId="25" fillId="0" borderId="0" xfId="34" applyFont="1" applyAlignment="1">
      <alignment horizontal="center"/>
    </xf>
    <xf numFmtId="0" fontId="27" fillId="0" borderId="0" xfId="34"/>
    <xf numFmtId="0" fontId="27" fillId="36" borderId="0" xfId="34" applyFill="1"/>
    <xf numFmtId="41" fontId="27" fillId="0" borderId="0" xfId="34" applyNumberFormat="1"/>
    <xf numFmtId="10" fontId="27" fillId="0" borderId="0" xfId="34" applyNumberFormat="1" applyAlignment="1">
      <alignment horizontal="center"/>
    </xf>
    <xf numFmtId="5" fontId="31" fillId="36" borderId="0" xfId="19" applyNumberFormat="1" applyFont="1" applyFill="1" applyBorder="1"/>
    <xf numFmtId="10" fontId="31" fillId="0" borderId="0" xfId="37" applyNumberFormat="1" applyFont="1" applyFill="1" applyBorder="1" applyAlignment="1">
      <alignment horizontal="center"/>
    </xf>
    <xf numFmtId="0" fontId="27" fillId="0" borderId="0" xfId="34" applyAlignment="1">
      <alignment horizontal="right" wrapText="1"/>
    </xf>
    <xf numFmtId="0" fontId="55" fillId="36" borderId="0" xfId="34" applyFont="1" applyFill="1"/>
    <xf numFmtId="0" fontId="25" fillId="36" borderId="0" xfId="0" applyFont="1" applyFill="1" applyAlignment="1">
      <alignment horizontal="center"/>
    </xf>
    <xf numFmtId="0" fontId="28" fillId="36" borderId="0" xfId="0" applyFont="1" applyFill="1" applyAlignment="1">
      <alignment horizontal="center"/>
    </xf>
    <xf numFmtId="0" fontId="25" fillId="0" borderId="3" xfId="0" applyFont="1" applyBorder="1" applyAlignment="1">
      <alignment horizontal="center"/>
    </xf>
    <xf numFmtId="0" fontId="25" fillId="0" borderId="3" xfId="0" applyFont="1" applyBorder="1" applyAlignment="1">
      <alignment horizontal="center" wrapText="1"/>
    </xf>
    <xf numFmtId="0" fontId="25" fillId="0" borderId="3" xfId="0" applyFont="1" applyBorder="1" applyAlignment="1">
      <alignment wrapText="1"/>
    </xf>
    <xf numFmtId="0" fontId="25" fillId="0" borderId="0" xfId="0" quotePrefix="1" applyFont="1"/>
    <xf numFmtId="37" fontId="25" fillId="0" borderId="0" xfId="0" applyNumberFormat="1" applyFont="1" applyAlignment="1">
      <alignment horizontal="center"/>
    </xf>
    <xf numFmtId="0" fontId="25" fillId="0" borderId="3" xfId="0" applyFont="1" applyBorder="1" applyAlignment="1">
      <alignment horizontal="right"/>
    </xf>
    <xf numFmtId="0" fontId="56" fillId="0" borderId="0" xfId="0" applyFont="1"/>
    <xf numFmtId="0" fontId="56" fillId="0" borderId="0" xfId="0" applyFont="1" applyAlignment="1">
      <alignment horizontal="right"/>
    </xf>
    <xf numFmtId="164" fontId="56" fillId="0" borderId="0" xfId="0" applyNumberFormat="1" applyFont="1"/>
    <xf numFmtId="0" fontId="57" fillId="0" borderId="0" xfId="0" applyFont="1" applyAlignment="1">
      <alignment horizontal="center"/>
    </xf>
    <xf numFmtId="164" fontId="56" fillId="36" borderId="0" xfId="0" applyNumberFormat="1" applyFont="1" applyFill="1"/>
    <xf numFmtId="164" fontId="56" fillId="0" borderId="0" xfId="0" applyNumberFormat="1" applyFont="1" applyAlignment="1">
      <alignment horizontal="right"/>
    </xf>
    <xf numFmtId="164" fontId="56" fillId="0" borderId="0" xfId="0" quotePrefix="1" applyNumberFormat="1" applyFont="1" applyAlignment="1">
      <alignment horizontal="center"/>
    </xf>
    <xf numFmtId="10" fontId="56" fillId="0" borderId="0" xfId="0" applyNumberFormat="1" applyFont="1"/>
    <xf numFmtId="0" fontId="54" fillId="0" borderId="0" xfId="0" applyFont="1" applyAlignment="1">
      <alignment horizontal="center"/>
    </xf>
    <xf numFmtId="0" fontId="59" fillId="0" borderId="0" xfId="0" applyFont="1" applyAlignment="1">
      <alignment horizontal="center"/>
    </xf>
    <xf numFmtId="166" fontId="56" fillId="0" borderId="0" xfId="0" applyNumberFormat="1" applyFont="1"/>
    <xf numFmtId="0" fontId="56" fillId="0" borderId="0" xfId="0" applyFont="1" applyAlignment="1">
      <alignment horizontal="left" indent="1"/>
    </xf>
    <xf numFmtId="165" fontId="56" fillId="0" borderId="0" xfId="0" applyNumberFormat="1" applyFont="1"/>
    <xf numFmtId="0" fontId="56" fillId="0" borderId="0" xfId="0" applyFont="1" applyAlignment="1">
      <alignment horizontal="center"/>
    </xf>
    <xf numFmtId="0" fontId="25" fillId="36" borderId="0" xfId="0" quotePrefix="1" applyFont="1" applyFill="1" applyAlignment="1">
      <alignment horizontal="center"/>
    </xf>
    <xf numFmtId="0" fontId="25" fillId="0" borderId="0" xfId="28" applyFont="1"/>
    <xf numFmtId="0" fontId="27" fillId="36" borderId="0" xfId="28" applyFill="1"/>
    <xf numFmtId="0" fontId="25" fillId="0" borderId="0" xfId="28" applyFont="1" applyAlignment="1">
      <alignment horizontal="left" vertical="center"/>
    </xf>
    <xf numFmtId="0" fontId="25" fillId="0" borderId="0" xfId="28" applyFont="1" applyAlignment="1">
      <alignment horizontal="center" vertical="center" wrapText="1"/>
    </xf>
    <xf numFmtId="0" fontId="25" fillId="0" borderId="0" xfId="28" applyFont="1" applyAlignment="1">
      <alignment horizontal="center" vertical="center"/>
    </xf>
    <xf numFmtId="0" fontId="27" fillId="0" borderId="0" xfId="28" applyAlignment="1">
      <alignment horizontal="left" vertical="center" indent="1"/>
    </xf>
    <xf numFmtId="164" fontId="27" fillId="0" borderId="0" xfId="28" applyNumberFormat="1" applyAlignment="1">
      <alignment horizontal="right" vertical="center" wrapText="1"/>
    </xf>
    <xf numFmtId="164" fontId="27" fillId="0" borderId="0" xfId="28" applyNumberFormat="1" applyAlignment="1">
      <alignment horizontal="right"/>
    </xf>
    <xf numFmtId="164" fontId="31" fillId="0" borderId="0" xfId="28" applyNumberFormat="1" applyFont="1" applyAlignment="1">
      <alignment horizontal="right" vertical="center" wrapText="1"/>
    </xf>
    <xf numFmtId="164" fontId="31" fillId="0" borderId="0" xfId="20" applyNumberFormat="1" applyFont="1" applyFill="1"/>
    <xf numFmtId="164" fontId="31" fillId="0" borderId="0" xfId="28" applyNumberFormat="1" applyFont="1" applyAlignment="1">
      <alignment horizontal="right"/>
    </xf>
    <xf numFmtId="164" fontId="27" fillId="0" borderId="0" xfId="28" applyNumberFormat="1" applyAlignment="1">
      <alignment vertical="center"/>
    </xf>
    <xf numFmtId="41" fontId="27" fillId="0" borderId="0" xfId="28" applyNumberFormat="1"/>
    <xf numFmtId="0" fontId="27" fillId="0" borderId="0" xfId="28" applyAlignment="1">
      <alignment horizontal="left" wrapText="1" indent="1"/>
    </xf>
    <xf numFmtId="164" fontId="27" fillId="0" borderId="0" xfId="28" applyNumberFormat="1"/>
    <xf numFmtId="164" fontId="38" fillId="0" borderId="0" xfId="20" applyNumberFormat="1" applyFont="1" applyFill="1"/>
    <xf numFmtId="42" fontId="38" fillId="0" borderId="0" xfId="28" applyNumberFormat="1" applyFont="1"/>
    <xf numFmtId="42" fontId="27" fillId="0" borderId="0" xfId="28" applyNumberFormat="1"/>
    <xf numFmtId="43" fontId="27" fillId="0" borderId="0" xfId="28" applyNumberFormat="1"/>
    <xf numFmtId="0" fontId="25" fillId="0" borderId="0" xfId="28" applyFont="1" applyAlignment="1">
      <alignment horizontal="center" wrapText="1"/>
    </xf>
    <xf numFmtId="0" fontId="28" fillId="0" borderId="0" xfId="28" applyFont="1"/>
    <xf numFmtId="0" fontId="27" fillId="0" borderId="0" xfId="28" applyAlignment="1">
      <alignment horizontal="right" vertical="center"/>
    </xf>
    <xf numFmtId="39" fontId="25" fillId="0" borderId="3" xfId="22" quotePrefix="1" applyNumberFormat="1" applyFont="1" applyBorder="1" applyAlignment="1">
      <alignment horizontal="center" wrapText="1"/>
    </xf>
    <xf numFmtId="39" fontId="25" fillId="0" borderId="3" xfId="22" applyNumberFormat="1" applyFont="1" applyBorder="1" applyAlignment="1">
      <alignment horizontal="center" wrapText="1"/>
    </xf>
    <xf numFmtId="176" fontId="25" fillId="0" borderId="3" xfId="22" applyFont="1" applyBorder="1" applyAlignment="1">
      <alignment horizontal="center" wrapText="1"/>
    </xf>
    <xf numFmtId="39" fontId="25" fillId="0" borderId="0" xfId="22" quotePrefix="1" applyNumberFormat="1" applyFont="1" applyBorder="1" applyAlignment="1">
      <alignment horizontal="center"/>
    </xf>
    <xf numFmtId="37" fontId="25" fillId="0" borderId="3" xfId="22" quotePrefix="1" applyNumberFormat="1" applyFont="1" applyBorder="1" applyAlignment="1">
      <alignment horizontal="center"/>
    </xf>
    <xf numFmtId="37" fontId="25" fillId="0" borderId="0" xfId="22" quotePrefix="1" applyNumberFormat="1" applyFont="1" applyBorder="1" applyAlignment="1">
      <alignment horizontal="center"/>
    </xf>
    <xf numFmtId="176" fontId="27" fillId="0" borderId="0" xfId="22" applyFont="1" applyBorder="1" applyAlignment="1">
      <alignment horizontal="center"/>
    </xf>
    <xf numFmtId="37" fontId="25" fillId="36" borderId="3" xfId="22" quotePrefix="1" applyNumberFormat="1" applyFont="1" applyFill="1" applyBorder="1" applyAlignment="1">
      <alignment horizontal="center"/>
    </xf>
    <xf numFmtId="37" fontId="25" fillId="0" borderId="0" xfId="22" quotePrefix="1" applyNumberFormat="1" applyFont="1" applyFill="1" applyBorder="1" applyAlignment="1">
      <alignment horizontal="center"/>
    </xf>
    <xf numFmtId="37" fontId="25" fillId="0" borderId="3" xfId="22" quotePrefix="1" applyNumberFormat="1" applyFont="1" applyFill="1" applyBorder="1" applyAlignment="1">
      <alignment horizontal="center"/>
    </xf>
    <xf numFmtId="39" fontId="25" fillId="0" borderId="0" xfId="22" quotePrefix="1" applyNumberFormat="1" applyFont="1" applyFill="1" applyBorder="1" applyAlignment="1">
      <alignment horizontal="center"/>
    </xf>
    <xf numFmtId="39" fontId="25" fillId="0" borderId="3" xfId="22" applyNumberFormat="1" applyFont="1" applyFill="1" applyBorder="1" applyAlignment="1">
      <alignment horizontal="center" wrapText="1"/>
    </xf>
    <xf numFmtId="39" fontId="27" fillId="0" borderId="0" xfId="22" applyNumberFormat="1" applyFont="1" applyFill="1" applyBorder="1" applyAlignment="1">
      <alignment horizontal="center"/>
    </xf>
    <xf numFmtId="39" fontId="55" fillId="0" borderId="0" xfId="22" quotePrefix="1" applyNumberFormat="1" applyFont="1" applyBorder="1" applyAlignment="1">
      <alignment horizontal="center"/>
    </xf>
    <xf numFmtId="177" fontId="55" fillId="0" borderId="0" xfId="22" applyNumberFormat="1" applyFont="1" applyBorder="1" applyAlignment="1">
      <alignment horizontal="center"/>
    </xf>
    <xf numFmtId="39" fontId="55" fillId="0" borderId="0" xfId="22" applyNumberFormat="1" applyFont="1" applyBorder="1" applyAlignment="1">
      <alignment horizontal="left"/>
    </xf>
    <xf numFmtId="37" fontId="25" fillId="37" borderId="3" xfId="22" quotePrefix="1" applyNumberFormat="1" applyFont="1" applyFill="1" applyBorder="1" applyAlignment="1">
      <alignment horizontal="center"/>
    </xf>
    <xf numFmtId="39" fontId="25" fillId="37" borderId="3" xfId="22" applyNumberFormat="1" applyFont="1" applyFill="1" applyBorder="1" applyAlignment="1">
      <alignment horizontal="center"/>
    </xf>
    <xf numFmtId="39" fontId="60" fillId="0" borderId="0" xfId="22" quotePrefix="1" applyNumberFormat="1" applyFont="1" applyBorder="1" applyAlignment="1">
      <alignment horizontal="center"/>
    </xf>
    <xf numFmtId="0" fontId="25" fillId="37" borderId="0" xfId="0" quotePrefix="1" applyFont="1" applyFill="1"/>
    <xf numFmtId="0" fontId="25" fillId="37" borderId="0" xfId="0" applyFont="1" applyFill="1"/>
    <xf numFmtId="37" fontId="60" fillId="0" borderId="0" xfId="22" quotePrefix="1" applyNumberFormat="1" applyFont="1" applyBorder="1" applyAlignment="1">
      <alignment horizontal="center"/>
    </xf>
    <xf numFmtId="0" fontId="25" fillId="37" borderId="3" xfId="0" applyFont="1" applyFill="1" applyBorder="1" applyAlignment="1">
      <alignment horizontal="center"/>
    </xf>
    <xf numFmtId="39" fontId="25" fillId="0" borderId="3" xfId="22" applyNumberFormat="1" applyFont="1" applyFill="1" applyBorder="1" applyAlignment="1">
      <alignment horizontal="right" wrapText="1"/>
    </xf>
    <xf numFmtId="0" fontId="25" fillId="36" borderId="3" xfId="0" quotePrefix="1" applyFont="1" applyFill="1" applyBorder="1"/>
    <xf numFmtId="39" fontId="25" fillId="36" borderId="3" xfId="22" quotePrefix="1" applyNumberFormat="1" applyFont="1" applyFill="1" applyBorder="1" applyAlignment="1">
      <alignment horizontal="center"/>
    </xf>
    <xf numFmtId="0" fontId="25" fillId="36" borderId="3" xfId="0" applyFont="1" applyFill="1" applyBorder="1"/>
    <xf numFmtId="37" fontId="25" fillId="0" borderId="0" xfId="22" applyNumberFormat="1" applyFont="1" applyFill="1" applyBorder="1" applyAlignment="1">
      <alignment horizontal="center"/>
    </xf>
    <xf numFmtId="39" fontId="25" fillId="0" borderId="0" xfId="22" applyNumberFormat="1" applyFont="1" applyBorder="1" applyAlignment="1">
      <alignment horizontal="center"/>
    </xf>
    <xf numFmtId="39" fontId="25" fillId="0" borderId="0" xfId="22" applyNumberFormat="1" applyFont="1" applyFill="1" applyBorder="1" applyAlignment="1">
      <alignment horizontal="center"/>
    </xf>
    <xf numFmtId="39" fontId="25" fillId="37" borderId="0" xfId="22" quotePrefix="1" applyNumberFormat="1" applyFont="1" applyFill="1" applyBorder="1" applyAlignment="1">
      <alignment horizontal="center"/>
    </xf>
    <xf numFmtId="39" fontId="27" fillId="0" borderId="0" xfId="22" applyNumberFormat="1" applyFont="1" applyBorder="1" applyAlignment="1">
      <alignment horizontal="center"/>
    </xf>
    <xf numFmtId="164" fontId="25" fillId="0" borderId="0" xfId="0" applyNumberFormat="1" applyFont="1" applyAlignment="1">
      <alignment horizontal="center"/>
    </xf>
    <xf numFmtId="164" fontId="28" fillId="0" borderId="0" xfId="0" applyNumberFormat="1" applyFont="1" applyAlignment="1">
      <alignment horizontal="center"/>
    </xf>
    <xf numFmtId="164" fontId="61" fillId="0" borderId="0" xfId="0" applyNumberFormat="1" applyFont="1"/>
    <xf numFmtId="0" fontId="58" fillId="0" borderId="0" xfId="0" applyFont="1" applyAlignment="1">
      <alignment horizontal="center"/>
    </xf>
    <xf numFmtId="3" fontId="56" fillId="36" borderId="0" xfId="0" applyNumberFormat="1" applyFont="1" applyFill="1"/>
    <xf numFmtId="0" fontId="54" fillId="0" borderId="0" xfId="0" applyFont="1"/>
    <xf numFmtId="0" fontId="32" fillId="0" borderId="0" xfId="27" applyAlignment="1" applyProtection="1"/>
    <xf numFmtId="0" fontId="0" fillId="0" borderId="0" xfId="0" applyAlignment="1">
      <alignment horizontal="left" indent="2"/>
    </xf>
    <xf numFmtId="166" fontId="56" fillId="0" borderId="0" xfId="0" quotePrefix="1" applyNumberFormat="1" applyFont="1" applyAlignment="1">
      <alignment horizontal="right"/>
    </xf>
    <xf numFmtId="168" fontId="31" fillId="0" borderId="0" xfId="0" applyNumberFormat="1" applyFont="1"/>
    <xf numFmtId="0" fontId="62" fillId="0" borderId="0" xfId="0" applyFont="1" applyAlignment="1">
      <alignment horizontal="center"/>
    </xf>
    <xf numFmtId="164" fontId="44" fillId="0" borderId="0" xfId="0" applyNumberFormat="1" applyFont="1"/>
    <xf numFmtId="0" fontId="0" fillId="36" borderId="0" xfId="0" applyFill="1" applyAlignment="1">
      <alignment horizontal="left" indent="1"/>
    </xf>
    <xf numFmtId="0" fontId="28" fillId="0" borderId="0" xfId="0" applyFont="1" applyAlignment="1">
      <alignment horizontal="left" indent="1"/>
    </xf>
    <xf numFmtId="168" fontId="56" fillId="0" borderId="0" xfId="0" applyNumberFormat="1" applyFont="1"/>
    <xf numFmtId="0" fontId="0" fillId="0" borderId="8" xfId="0" applyBorder="1" applyAlignment="1">
      <alignment horizontal="center"/>
    </xf>
    <xf numFmtId="0" fontId="57" fillId="0" borderId="0" xfId="0" applyFont="1"/>
    <xf numFmtId="0" fontId="56" fillId="36" borderId="0" xfId="0" applyFont="1" applyFill="1"/>
    <xf numFmtId="164" fontId="61" fillId="36" borderId="0" xfId="0" applyNumberFormat="1" applyFont="1" applyFill="1"/>
    <xf numFmtId="0" fontId="58" fillId="0" borderId="0" xfId="0" applyFont="1"/>
    <xf numFmtId="0" fontId="25" fillId="36" borderId="0" xfId="0" quotePrefix="1" applyFont="1" applyFill="1" applyAlignment="1">
      <alignment vertical="center"/>
    </xf>
    <xf numFmtId="164" fontId="59" fillId="0" borderId="0" xfId="0" applyNumberFormat="1" applyFont="1" applyAlignment="1">
      <alignment horizontal="center"/>
    </xf>
    <xf numFmtId="165" fontId="24" fillId="0" borderId="0" xfId="0" applyNumberFormat="1" applyFont="1"/>
    <xf numFmtId="37" fontId="25" fillId="0" borderId="3" xfId="22" applyNumberFormat="1" applyFont="1" applyFill="1" applyBorder="1" applyAlignment="1">
      <alignment horizontal="center"/>
    </xf>
    <xf numFmtId="37" fontId="25" fillId="37" borderId="3" xfId="0" applyNumberFormat="1" applyFont="1" applyFill="1" applyBorder="1" applyAlignment="1">
      <alignment horizontal="center"/>
    </xf>
    <xf numFmtId="164" fontId="31" fillId="36" borderId="0" xfId="0" applyNumberFormat="1" applyFont="1" applyFill="1" applyAlignment="1">
      <alignment horizontal="right"/>
    </xf>
    <xf numFmtId="0" fontId="53" fillId="0" borderId="0" xfId="28" applyFont="1" applyAlignment="1">
      <alignment horizontal="left"/>
    </xf>
    <xf numFmtId="0" fontId="53" fillId="0" borderId="0" xfId="28" applyFont="1" applyAlignment="1">
      <alignment horizontal="center"/>
    </xf>
    <xf numFmtId="0" fontId="53" fillId="36" borderId="0" xfId="28" applyFont="1" applyFill="1" applyAlignment="1">
      <alignment horizontal="center"/>
    </xf>
    <xf numFmtId="0" fontId="25" fillId="0" borderId="0" xfId="28" applyFont="1" applyAlignment="1">
      <alignment vertical="top"/>
    </xf>
    <xf numFmtId="0" fontId="25" fillId="0" borderId="0" xfId="28" applyFont="1" applyAlignment="1">
      <alignment horizontal="left" vertical="top"/>
    </xf>
    <xf numFmtId="0" fontId="25" fillId="0" borderId="0" xfId="28" applyFont="1" applyAlignment="1">
      <alignment horizontal="center" vertical="top"/>
    </xf>
    <xf numFmtId="0" fontId="53" fillId="0" borderId="0" xfId="28" applyFont="1" applyAlignment="1">
      <alignment horizontal="center" vertical="top"/>
    </xf>
    <xf numFmtId="0" fontId="28" fillId="0" borderId="0" xfId="0" quotePrefix="1" applyFont="1" applyAlignment="1">
      <alignment horizontal="center" vertical="top"/>
    </xf>
    <xf numFmtId="0" fontId="25" fillId="0" borderId="6" xfId="28" applyFont="1" applyBorder="1" applyAlignment="1">
      <alignment horizontal="center"/>
    </xf>
    <xf numFmtId="0" fontId="25" fillId="0" borderId="3" xfId="28" applyFont="1" applyBorder="1" applyAlignment="1">
      <alignment horizontal="center"/>
    </xf>
    <xf numFmtId="167" fontId="25" fillId="0" borderId="0" xfId="28" applyNumberFormat="1" applyFont="1" applyAlignment="1">
      <alignment horizontal="center"/>
    </xf>
    <xf numFmtId="167" fontId="25" fillId="0" borderId="0" xfId="28" applyNumberFormat="1" applyFont="1"/>
    <xf numFmtId="0" fontId="25" fillId="0" borderId="0" xfId="28" applyFont="1" applyAlignment="1">
      <alignment horizontal="right"/>
    </xf>
    <xf numFmtId="167" fontId="25" fillId="0" borderId="3" xfId="22" applyNumberFormat="1" applyFont="1" applyFill="1" applyBorder="1" applyAlignment="1">
      <alignment horizontal="center" wrapText="1"/>
    </xf>
    <xf numFmtId="171" fontId="25" fillId="0" borderId="0" xfId="37" applyNumberFormat="1" applyFont="1" applyFill="1" applyBorder="1" applyAlignment="1">
      <alignment horizontal="center" wrapText="1"/>
    </xf>
    <xf numFmtId="167" fontId="25" fillId="0" borderId="0" xfId="22" applyNumberFormat="1" applyFont="1" applyFill="1" applyBorder="1"/>
    <xf numFmtId="0" fontId="25" fillId="0" borderId="0" xfId="39" applyNumberFormat="1" applyFont="1" applyFill="1" applyBorder="1" applyAlignment="1">
      <alignment horizontal="center" wrapText="1"/>
    </xf>
    <xf numFmtId="171" fontId="25" fillId="0" borderId="0" xfId="39" applyNumberFormat="1" applyFont="1" applyFill="1" applyBorder="1" applyAlignment="1">
      <alignment horizontal="center" wrapText="1"/>
    </xf>
    <xf numFmtId="0" fontId="28" fillId="0" borderId="0" xfId="28" applyFont="1" applyAlignment="1">
      <alignment vertical="top" wrapText="1"/>
    </xf>
    <xf numFmtId="0" fontId="56" fillId="34" borderId="0" xfId="0" applyFont="1" applyFill="1"/>
    <xf numFmtId="0" fontId="56" fillId="0" borderId="0" xfId="0" applyFont="1" applyAlignment="1">
      <alignment horizontal="left" indent="2"/>
    </xf>
    <xf numFmtId="0" fontId="57" fillId="0" borderId="0" xfId="0" quotePrefix="1" applyFont="1" applyAlignment="1">
      <alignment horizontal="center"/>
    </xf>
    <xf numFmtId="0" fontId="56" fillId="0" borderId="0" xfId="0" quotePrefix="1" applyFont="1"/>
    <xf numFmtId="164" fontId="54" fillId="0" borderId="0" xfId="0" applyNumberFormat="1" applyFont="1" applyAlignment="1">
      <alignment horizontal="center"/>
    </xf>
    <xf numFmtId="0" fontId="24" fillId="0" borderId="0" xfId="0" applyFont="1" applyAlignment="1">
      <alignment horizontal="right"/>
    </xf>
    <xf numFmtId="0" fontId="24" fillId="0" borderId="0" xfId="0" applyFont="1" applyAlignment="1">
      <alignment horizontal="left" indent="1"/>
    </xf>
    <xf numFmtId="0" fontId="24" fillId="0" borderId="0" xfId="0" applyFont="1"/>
    <xf numFmtId="0" fontId="24" fillId="0" borderId="0" xfId="0" applyFont="1" applyAlignment="1">
      <alignment horizontal="center"/>
    </xf>
    <xf numFmtId="164" fontId="24" fillId="0" borderId="0" xfId="0" applyNumberFormat="1" applyFont="1"/>
    <xf numFmtId="179" fontId="24" fillId="34" borderId="0" xfId="35" applyNumberFormat="1" applyFont="1" applyFill="1" applyAlignment="1">
      <alignment horizontal="left"/>
    </xf>
    <xf numFmtId="179" fontId="24" fillId="0" borderId="0" xfId="35" applyNumberFormat="1" applyFont="1" applyAlignment="1">
      <alignment horizontal="left"/>
    </xf>
    <xf numFmtId="179" fontId="24" fillId="0" borderId="0" xfId="35" applyNumberFormat="1" applyFont="1" applyAlignment="1">
      <alignment horizontal="right"/>
    </xf>
    <xf numFmtId="0" fontId="24" fillId="0" borderId="0" xfId="0" quotePrefix="1" applyFont="1" applyAlignment="1">
      <alignment horizontal="center"/>
    </xf>
    <xf numFmtId="0" fontId="24" fillId="36" borderId="0" xfId="0" applyFont="1" applyFill="1"/>
    <xf numFmtId="0" fontId="24" fillId="0" borderId="0" xfId="28" applyFont="1"/>
    <xf numFmtId="10" fontId="0" fillId="0" borderId="0" xfId="37" applyNumberFormat="1" applyFont="1"/>
    <xf numFmtId="0" fontId="24" fillId="0" borderId="0" xfId="0" quotePrefix="1" applyFont="1"/>
    <xf numFmtId="17" fontId="24" fillId="0" borderId="0" xfId="0" quotePrefix="1" applyNumberFormat="1" applyFont="1" applyAlignment="1">
      <alignment horizontal="center"/>
    </xf>
    <xf numFmtId="0" fontId="24" fillId="0" borderId="0" xfId="0" applyFont="1" applyAlignment="1">
      <alignment wrapText="1"/>
    </xf>
    <xf numFmtId="0" fontId="24" fillId="0" borderId="0" xfId="0" applyFont="1" applyAlignment="1">
      <alignment horizontal="right" indent="1"/>
    </xf>
    <xf numFmtId="0" fontId="24" fillId="0" borderId="0" xfId="0" applyFont="1" applyAlignment="1">
      <alignment horizontal="left" indent="2"/>
    </xf>
    <xf numFmtId="0" fontId="24" fillId="0" borderId="0" xfId="0" quotePrefix="1" applyFont="1" applyAlignment="1">
      <alignment horizontal="center" vertical="justify"/>
    </xf>
    <xf numFmtId="10" fontId="31" fillId="0" borderId="0" xfId="0" applyNumberFormat="1" applyFont="1"/>
    <xf numFmtId="166" fontId="24" fillId="0" borderId="0" xfId="0" applyNumberFormat="1" applyFont="1" applyAlignment="1">
      <alignment horizontal="left" indent="1"/>
    </xf>
    <xf numFmtId="166" fontId="28" fillId="0" borderId="0" xfId="0" applyNumberFormat="1" applyFont="1" applyAlignment="1">
      <alignment horizontal="center"/>
    </xf>
    <xf numFmtId="0" fontId="24" fillId="0" borderId="0" xfId="28" applyFont="1" applyAlignment="1">
      <alignment horizontal="left"/>
    </xf>
    <xf numFmtId="164" fontId="24" fillId="36" borderId="0" xfId="0" applyNumberFormat="1" applyFont="1" applyFill="1"/>
    <xf numFmtId="0" fontId="24" fillId="0" borderId="0" xfId="28" applyFont="1" applyAlignment="1">
      <alignment horizontal="right"/>
    </xf>
    <xf numFmtId="3" fontId="24" fillId="0" borderId="0" xfId="28" applyNumberFormat="1" applyFont="1" applyAlignment="1">
      <alignment horizontal="left" indent="1"/>
    </xf>
    <xf numFmtId="1" fontId="24" fillId="0" borderId="0" xfId="28" applyNumberFormat="1" applyFont="1" applyAlignment="1">
      <alignment horizontal="center"/>
    </xf>
    <xf numFmtId="37" fontId="24" fillId="0" borderId="0" xfId="36" applyNumberFormat="1" applyFont="1" applyAlignment="1">
      <alignment horizontal="left" indent="1"/>
    </xf>
    <xf numFmtId="10" fontId="24" fillId="0" borderId="0" xfId="0" applyNumberFormat="1" applyFont="1"/>
    <xf numFmtId="0" fontId="24" fillId="36" borderId="0" xfId="34" applyFont="1" applyFill="1"/>
    <xf numFmtId="1" fontId="24" fillId="0" borderId="0" xfId="28" quotePrefix="1" applyNumberFormat="1" applyFont="1" applyAlignment="1">
      <alignment horizontal="right"/>
    </xf>
    <xf numFmtId="164" fontId="24" fillId="0" borderId="0" xfId="0" applyNumberFormat="1" applyFont="1" applyAlignment="1">
      <alignment horizontal="right"/>
    </xf>
    <xf numFmtId="164" fontId="25" fillId="0" borderId="0" xfId="0" applyNumberFormat="1" applyFont="1" applyAlignment="1">
      <alignment horizontal="right"/>
    </xf>
    <xf numFmtId="164" fontId="24" fillId="36" borderId="0" xfId="0" applyNumberFormat="1" applyFont="1" applyFill="1" applyAlignment="1">
      <alignment horizontal="right"/>
    </xf>
    <xf numFmtId="0" fontId="24" fillId="36" borderId="0" xfId="0" applyFont="1" applyFill="1" applyAlignment="1">
      <alignment horizontal="left" indent="1"/>
    </xf>
    <xf numFmtId="0" fontId="24" fillId="36" borderId="0" xfId="0" applyFont="1" applyFill="1" applyAlignment="1">
      <alignment horizontal="left"/>
    </xf>
    <xf numFmtId="0" fontId="24" fillId="36" borderId="0" xfId="0" quotePrefix="1" applyFont="1" applyFill="1"/>
    <xf numFmtId="164" fontId="24" fillId="0" borderId="0" xfId="0" applyNumberFormat="1" applyFont="1" applyAlignment="1">
      <alignment horizontal="left" indent="1"/>
    </xf>
    <xf numFmtId="0" fontId="63" fillId="0" borderId="0" xfId="0" applyFont="1"/>
    <xf numFmtId="37" fontId="56" fillId="0" borderId="0" xfId="0" applyNumberFormat="1" applyFont="1"/>
    <xf numFmtId="165" fontId="56" fillId="0" borderId="0" xfId="0" applyNumberFormat="1" applyFont="1" applyAlignment="1">
      <alignment horizontal="left" indent="1"/>
    </xf>
    <xf numFmtId="164" fontId="58" fillId="0" borderId="0" xfId="0" applyNumberFormat="1" applyFont="1"/>
    <xf numFmtId="39" fontId="56" fillId="0" borderId="0" xfId="0" applyNumberFormat="1" applyFont="1" applyAlignment="1">
      <alignment horizontal="left" indent="1"/>
    </xf>
    <xf numFmtId="39" fontId="56" fillId="0" borderId="0" xfId="0" applyNumberFormat="1" applyFont="1"/>
    <xf numFmtId="0" fontId="24" fillId="36" borderId="0" xfId="0" quotePrefix="1" applyFont="1" applyFill="1" applyAlignment="1">
      <alignment horizontal="center"/>
    </xf>
    <xf numFmtId="170" fontId="24" fillId="0" borderId="0" xfId="0" applyNumberFormat="1" applyFont="1" applyAlignment="1">
      <alignment horizontal="center"/>
    </xf>
    <xf numFmtId="0" fontId="24" fillId="0" borderId="0" xfId="0" applyFont="1" applyAlignment="1">
      <alignment horizontal="left"/>
    </xf>
    <xf numFmtId="164" fontId="31" fillId="0" borderId="0" xfId="28" applyNumberFormat="1" applyFont="1"/>
    <xf numFmtId="37" fontId="24" fillId="0" borderId="0" xfId="0" applyNumberFormat="1" applyFont="1" applyAlignment="1">
      <alignment horizontal="left" indent="1"/>
    </xf>
    <xf numFmtId="0" fontId="24" fillId="0" borderId="0" xfId="0" quotePrefix="1" applyFont="1" applyAlignment="1">
      <alignment horizontal="left" indent="1"/>
    </xf>
    <xf numFmtId="0" fontId="24" fillId="0" borderId="3" xfId="0" applyFont="1" applyBorder="1" applyAlignment="1">
      <alignment horizontal="center"/>
    </xf>
    <xf numFmtId="0" fontId="24" fillId="0" borderId="3" xfId="0" applyFont="1" applyBorder="1"/>
    <xf numFmtId="39" fontId="24" fillId="0" borderId="3" xfId="22" applyNumberFormat="1" applyFont="1" applyFill="1" applyBorder="1" applyAlignment="1">
      <alignment horizontal="center"/>
    </xf>
    <xf numFmtId="0" fontId="24" fillId="0" borderId="0" xfId="0" applyFont="1" applyAlignment="1">
      <alignment vertical="top"/>
    </xf>
    <xf numFmtId="37" fontId="56" fillId="36" borderId="0" xfId="81" applyNumberFormat="1" applyFont="1" applyFill="1" applyAlignment="1">
      <alignment horizontal="right"/>
    </xf>
    <xf numFmtId="6" fontId="0" fillId="0" borderId="0" xfId="0" applyNumberFormat="1"/>
    <xf numFmtId="180" fontId="0" fillId="0" borderId="0" xfId="0" applyNumberFormat="1"/>
    <xf numFmtId="0" fontId="24" fillId="0" borderId="0" xfId="0" quotePrefix="1" applyFont="1" applyAlignment="1">
      <alignment horizontal="center" vertical="center"/>
    </xf>
    <xf numFmtId="0" fontId="25" fillId="0" borderId="0" xfId="108" applyFont="1"/>
    <xf numFmtId="0" fontId="24" fillId="0" borderId="0" xfId="108"/>
    <xf numFmtId="0" fontId="28" fillId="0" borderId="0" xfId="108" applyFont="1"/>
    <xf numFmtId="0" fontId="25" fillId="0" borderId="0" xfId="108" applyFont="1" applyAlignment="1">
      <alignment horizontal="center"/>
    </xf>
    <xf numFmtId="0" fontId="28" fillId="0" borderId="0" xfId="108" applyFont="1" applyAlignment="1">
      <alignment horizontal="center"/>
    </xf>
    <xf numFmtId="0" fontId="28" fillId="0" borderId="0" xfId="108" applyFont="1" applyAlignment="1">
      <alignment horizontal="left"/>
    </xf>
    <xf numFmtId="164" fontId="24" fillId="0" borderId="0" xfId="108" applyNumberFormat="1"/>
    <xf numFmtId="0" fontId="24" fillId="36" borderId="0" xfId="108" applyFill="1"/>
    <xf numFmtId="164" fontId="24" fillId="36" borderId="0" xfId="108" applyNumberFormat="1" applyFill="1"/>
    <xf numFmtId="164" fontId="31" fillId="36" borderId="0" xfId="108" applyNumberFormat="1" applyFont="1" applyFill="1"/>
    <xf numFmtId="3" fontId="34" fillId="0" borderId="0" xfId="34" applyNumberFormat="1" applyFont="1"/>
    <xf numFmtId="171" fontId="0" fillId="36" borderId="0" xfId="0" applyNumberFormat="1" applyFill="1"/>
    <xf numFmtId="167" fontId="24" fillId="0" borderId="0" xfId="28" applyNumberFormat="1" applyFont="1"/>
    <xf numFmtId="0" fontId="68" fillId="0" borderId="0" xfId="0" applyFont="1"/>
    <xf numFmtId="0" fontId="24" fillId="0" borderId="0" xfId="28" applyFont="1" applyAlignment="1" applyProtection="1">
      <alignment horizontal="left" indent="1"/>
      <protection locked="0"/>
    </xf>
    <xf numFmtId="0" fontId="24" fillId="0" borderId="0" xfId="100"/>
    <xf numFmtId="0" fontId="24" fillId="0" borderId="0" xfId="100" applyAlignment="1">
      <alignment horizontal="left" indent="1"/>
    </xf>
    <xf numFmtId="164" fontId="24" fillId="0" borderId="0" xfId="100" applyNumberFormat="1"/>
    <xf numFmtId="164" fontId="55" fillId="0" borderId="0" xfId="100" applyNumberFormat="1" applyFont="1"/>
    <xf numFmtId="0" fontId="25" fillId="0" borderId="0" xfId="100" applyFont="1"/>
    <xf numFmtId="0" fontId="25" fillId="0" borderId="0" xfId="100" applyFont="1" applyAlignment="1">
      <alignment horizontal="left" indent="1"/>
    </xf>
    <xf numFmtId="0" fontId="64" fillId="0" borderId="0" xfId="100" applyFont="1" applyAlignment="1">
      <alignment horizontal="left"/>
    </xf>
    <xf numFmtId="0" fontId="25" fillId="0" borderId="0" xfId="100" applyFont="1" applyAlignment="1">
      <alignment horizontal="center"/>
    </xf>
    <xf numFmtId="0" fontId="24" fillId="0" borderId="0" xfId="100" applyAlignment="1">
      <alignment horizontal="right"/>
    </xf>
    <xf numFmtId="0" fontId="25" fillId="0" borderId="0" xfId="100" applyFont="1" applyAlignment="1">
      <alignment horizontal="right"/>
    </xf>
    <xf numFmtId="0" fontId="25" fillId="0" borderId="8" xfId="100" applyFont="1" applyBorder="1" applyAlignment="1">
      <alignment horizontal="center"/>
    </xf>
    <xf numFmtId="0" fontId="24" fillId="36" borderId="0" xfId="100" applyFill="1"/>
    <xf numFmtId="164" fontId="24" fillId="36" borderId="0" xfId="100" applyNumberFormat="1" applyFill="1"/>
    <xf numFmtId="170" fontId="24" fillId="0" borderId="0" xfId="100" applyNumberFormat="1" applyAlignment="1">
      <alignment horizontal="center"/>
    </xf>
    <xf numFmtId="170" fontId="24" fillId="0" borderId="0" xfId="100" quotePrefix="1" applyNumberFormat="1" applyAlignment="1">
      <alignment horizontal="center"/>
    </xf>
    <xf numFmtId="164" fontId="24" fillId="0" borderId="0" xfId="96" applyNumberFormat="1" applyFont="1" applyBorder="1"/>
    <xf numFmtId="164" fontId="24" fillId="0" borderId="0" xfId="96" applyNumberFormat="1" applyFont="1"/>
    <xf numFmtId="168" fontId="24" fillId="0" borderId="0" xfId="96" applyNumberFormat="1" applyFont="1" applyBorder="1"/>
    <xf numFmtId="0" fontId="24" fillId="0" borderId="0" xfId="100" quotePrefix="1" applyAlignment="1">
      <alignment horizontal="left" indent="1"/>
    </xf>
    <xf numFmtId="164" fontId="24" fillId="0" borderId="0" xfId="96" applyNumberFormat="1" applyFont="1" applyBorder="1" applyAlignment="1">
      <alignment horizontal="left" indent="1"/>
    </xf>
    <xf numFmtId="39" fontId="24" fillId="0" borderId="0" xfId="96" applyNumberFormat="1" applyFont="1" applyBorder="1"/>
    <xf numFmtId="37" fontId="24" fillId="0" borderId="0" xfId="96" applyNumberFormat="1" applyFont="1" applyBorder="1" applyAlignment="1">
      <alignment horizontal="center"/>
    </xf>
    <xf numFmtId="164" fontId="24" fillId="0" borderId="0" xfId="96" applyNumberFormat="1" applyFont="1" applyFill="1" applyBorder="1"/>
    <xf numFmtId="164" fontId="25" fillId="0" borderId="0" xfId="100" applyNumberFormat="1" applyFont="1" applyAlignment="1">
      <alignment horizontal="center"/>
    </xf>
    <xf numFmtId="164" fontId="25" fillId="0" borderId="8" xfId="100" applyNumberFormat="1" applyFont="1" applyBorder="1" applyAlignment="1">
      <alignment horizontal="center"/>
    </xf>
    <xf numFmtId="0" fontId="28" fillId="0" borderId="0" xfId="100" applyFont="1" applyAlignment="1">
      <alignment horizontal="center"/>
    </xf>
    <xf numFmtId="0" fontId="24" fillId="0" borderId="0" xfId="100" applyAlignment="1">
      <alignment horizontal="left"/>
    </xf>
    <xf numFmtId="1" fontId="24" fillId="36" borderId="0" xfId="100" applyNumberFormat="1" applyFill="1" applyAlignment="1">
      <alignment horizontal="center"/>
    </xf>
    <xf numFmtId="164" fontId="24" fillId="0" borderId="0" xfId="0" applyNumberFormat="1" applyFont="1" applyAlignment="1">
      <alignment horizontal="center"/>
    </xf>
    <xf numFmtId="1" fontId="24" fillId="0" borderId="0" xfId="100" quotePrefix="1" applyNumberFormat="1" applyAlignment="1">
      <alignment horizontal="right"/>
    </xf>
    <xf numFmtId="164" fontId="24" fillId="0" borderId="0" xfId="0" quotePrefix="1" applyNumberFormat="1" applyFont="1" applyAlignment="1">
      <alignment horizontal="center"/>
    </xf>
    <xf numFmtId="0" fontId="25" fillId="0" borderId="0" xfId="100" applyFont="1" applyAlignment="1">
      <alignment horizontal="left"/>
    </xf>
    <xf numFmtId="0" fontId="28" fillId="0" borderId="0" xfId="100" quotePrefix="1" applyFont="1" applyAlignment="1">
      <alignment horizontal="center"/>
    </xf>
    <xf numFmtId="0" fontId="24" fillId="0" borderId="0" xfId="100" quotePrefix="1" applyAlignment="1">
      <alignment horizontal="center"/>
    </xf>
    <xf numFmtId="0" fontId="24" fillId="0" borderId="0" xfId="100" applyAlignment="1">
      <alignment horizontal="center"/>
    </xf>
    <xf numFmtId="0" fontId="28" fillId="0" borderId="0" xfId="100" applyFont="1"/>
    <xf numFmtId="10" fontId="24" fillId="0" borderId="0" xfId="37" applyNumberFormat="1" applyFont="1" applyFill="1" applyAlignment="1"/>
    <xf numFmtId="167" fontId="24" fillId="0" borderId="0" xfId="100" applyNumberFormat="1"/>
    <xf numFmtId="164" fontId="31" fillId="0" borderId="0" xfId="100" applyNumberFormat="1" applyFont="1"/>
    <xf numFmtId="0" fontId="24" fillId="0" borderId="0" xfId="100" applyAlignment="1">
      <alignment horizontal="right" indent="1"/>
    </xf>
    <xf numFmtId="167" fontId="0" fillId="0" borderId="0" xfId="19" applyNumberFormat="1" applyFont="1"/>
    <xf numFmtId="164" fontId="24" fillId="0" borderId="0" xfId="100" applyNumberFormat="1" applyAlignment="1">
      <alignment horizontal="right"/>
    </xf>
    <xf numFmtId="164" fontId="24" fillId="36" borderId="0" xfId="100" applyNumberFormat="1" applyFill="1" applyAlignment="1">
      <alignment horizontal="right"/>
    </xf>
    <xf numFmtId="10" fontId="0" fillId="0" borderId="0" xfId="37" applyNumberFormat="1" applyFont="1" applyAlignment="1">
      <alignment horizontal="center"/>
    </xf>
    <xf numFmtId="10" fontId="28" fillId="0" borderId="0" xfId="100" applyNumberFormat="1" applyFont="1" applyAlignment="1">
      <alignment horizontal="center"/>
    </xf>
    <xf numFmtId="10" fontId="24" fillId="0" borderId="0" xfId="37" applyNumberFormat="1" applyAlignment="1">
      <alignment horizontal="center"/>
    </xf>
    <xf numFmtId="0" fontId="26" fillId="0" borderId="0" xfId="0" applyFont="1" applyAlignment="1">
      <alignment horizontal="center"/>
    </xf>
    <xf numFmtId="0" fontId="25" fillId="0" borderId="0" xfId="0" applyFont="1" applyAlignment="1">
      <alignment horizontal="center" wrapText="1"/>
    </xf>
    <xf numFmtId="164" fontId="25" fillId="0" borderId="0" xfId="0" applyNumberFormat="1" applyFont="1" applyAlignment="1">
      <alignment horizontal="right" indent="1"/>
    </xf>
    <xf numFmtId="0" fontId="24" fillId="0" borderId="0" xfId="0" quotePrefix="1" applyFont="1" applyAlignment="1">
      <alignment horizontal="center" wrapText="1"/>
    </xf>
    <xf numFmtId="0" fontId="26" fillId="0" borderId="0" xfId="0" quotePrefix="1" applyFont="1" applyAlignment="1">
      <alignment horizontal="center"/>
    </xf>
    <xf numFmtId="0" fontId="24" fillId="0" borderId="0" xfId="100" quotePrefix="1" applyAlignment="1">
      <alignment horizontal="right"/>
    </xf>
    <xf numFmtId="164" fontId="25" fillId="0" borderId="0" xfId="100" applyNumberFormat="1" applyFont="1"/>
    <xf numFmtId="166" fontId="25" fillId="0" borderId="0" xfId="100" applyNumberFormat="1" applyFont="1"/>
    <xf numFmtId="10" fontId="28" fillId="0" borderId="0" xfId="37" applyNumberFormat="1" applyFont="1" applyAlignment="1">
      <alignment horizontal="center"/>
    </xf>
    <xf numFmtId="5" fontId="24"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4" fillId="0" borderId="0" xfId="23" applyNumberFormat="1" applyFont="1"/>
    <xf numFmtId="10" fontId="24" fillId="0" borderId="0" xfId="100" applyNumberFormat="1"/>
    <xf numFmtId="0" fontId="31" fillId="0" borderId="0" xfId="100" applyFont="1" applyAlignment="1">
      <alignment horizontal="center"/>
    </xf>
    <xf numFmtId="5" fontId="24" fillId="0" borderId="0" xfId="19" applyNumberFormat="1"/>
    <xf numFmtId="5" fontId="24" fillId="0" borderId="0" xfId="100" applyNumberFormat="1"/>
    <xf numFmtId="172" fontId="0" fillId="0" borderId="0" xfId="0" applyNumberFormat="1"/>
    <xf numFmtId="0" fontId="24" fillId="36" borderId="0" xfId="0" applyFont="1" applyFill="1" applyAlignment="1">
      <alignment horizontal="center"/>
    </xf>
    <xf numFmtId="0" fontId="25" fillId="0" borderId="8" xfId="108" applyFont="1" applyBorder="1" applyAlignment="1">
      <alignment horizontal="center"/>
    </xf>
    <xf numFmtId="0" fontId="44" fillId="0" borderId="0" xfId="0" applyFont="1"/>
    <xf numFmtId="164" fontId="24" fillId="0" borderId="12" xfId="108" applyNumberFormat="1" applyBorder="1"/>
    <xf numFmtId="0" fontId="25" fillId="0" borderId="0" xfId="108" quotePrefix="1" applyFont="1" applyAlignment="1">
      <alignment horizontal="center"/>
    </xf>
    <xf numFmtId="0" fontId="42" fillId="0" borderId="0" xfId="0" applyFont="1" applyAlignment="1">
      <alignment horizontal="center"/>
    </xf>
    <xf numFmtId="164" fontId="24" fillId="0" borderId="0" xfId="108" applyNumberFormat="1" applyAlignment="1">
      <alignment horizontal="right"/>
    </xf>
    <xf numFmtId="164" fontId="24" fillId="0" borderId="13" xfId="108" applyNumberFormat="1" applyBorder="1"/>
    <xf numFmtId="0" fontId="24" fillId="0" borderId="8" xfId="0" applyFont="1" applyBorder="1" applyAlignment="1">
      <alignment horizontal="center"/>
    </xf>
    <xf numFmtId="164" fontId="24" fillId="0" borderId="0" xfId="19" applyNumberFormat="1" applyFont="1" applyFill="1" applyBorder="1"/>
    <xf numFmtId="37" fontId="24"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2" xfId="19" applyNumberFormat="1" applyFont="1" applyBorder="1"/>
    <xf numFmtId="164" fontId="0" fillId="0" borderId="0" xfId="19" applyNumberFormat="1" applyFont="1" applyFill="1" applyBorder="1"/>
    <xf numFmtId="164" fontId="0" fillId="0" borderId="12" xfId="0" applyNumberFormat="1" applyBorder="1"/>
    <xf numFmtId="0" fontId="44" fillId="0" borderId="0" xfId="0" applyFont="1" applyAlignment="1">
      <alignment wrapText="1"/>
    </xf>
    <xf numFmtId="164" fontId="24" fillId="36" borderId="0" xfId="19" applyNumberFormat="1" applyFont="1" applyFill="1" applyBorder="1"/>
    <xf numFmtId="9" fontId="0" fillId="0" borderId="8" xfId="0" applyNumberFormat="1" applyBorder="1"/>
    <xf numFmtId="0" fontId="24" fillId="36" borderId="0" xfId="100" quotePrefix="1" applyFill="1" applyAlignment="1">
      <alignment horizontal="left"/>
    </xf>
    <xf numFmtId="0" fontId="24" fillId="0" borderId="0" xfId="0" quotePrefix="1" applyFont="1" applyAlignment="1">
      <alignment horizontal="right"/>
    </xf>
    <xf numFmtId="49" fontId="24" fillId="0" borderId="0" xfId="19" applyNumberFormat="1" applyFont="1" applyBorder="1" applyAlignment="1">
      <alignment horizontal="left" indent="1"/>
    </xf>
    <xf numFmtId="5" fontId="24" fillId="36" borderId="0" xfId="19" applyNumberFormat="1" applyFont="1" applyFill="1" applyBorder="1"/>
    <xf numFmtId="37" fontId="24" fillId="36" borderId="3" xfId="0" applyNumberFormat="1" applyFont="1" applyFill="1" applyBorder="1" applyAlignment="1">
      <alignment horizontal="center"/>
    </xf>
    <xf numFmtId="0" fontId="55" fillId="36" borderId="0" xfId="0" applyFont="1" applyFill="1"/>
    <xf numFmtId="164" fontId="56" fillId="36" borderId="0" xfId="125" applyNumberFormat="1" applyFont="1" applyFill="1"/>
    <xf numFmtId="164" fontId="24" fillId="36" borderId="0" xfId="125" applyNumberFormat="1" applyFill="1"/>
    <xf numFmtId="39" fontId="24" fillId="0" borderId="0" xfId="0" applyNumberFormat="1" applyFont="1" applyAlignment="1">
      <alignment horizontal="left" indent="1"/>
    </xf>
    <xf numFmtId="164" fontId="24" fillId="36" borderId="0" xfId="23" applyNumberFormat="1" applyFont="1" applyFill="1" applyAlignment="1">
      <alignment horizontal="right"/>
    </xf>
    <xf numFmtId="0" fontId="24" fillId="36" borderId="0" xfId="0" applyFont="1" applyFill="1" applyAlignment="1">
      <alignment wrapText="1"/>
    </xf>
    <xf numFmtId="0" fontId="70" fillId="0" borderId="0" xfId="126" applyFont="1"/>
    <xf numFmtId="0" fontId="24" fillId="0" borderId="0" xfId="126"/>
    <xf numFmtId="0" fontId="24" fillId="0" borderId="0" xfId="126" applyAlignment="1">
      <alignment horizontal="center"/>
    </xf>
    <xf numFmtId="0" fontId="28" fillId="0" borderId="0" xfId="126" applyFont="1" applyAlignment="1">
      <alignment horizontal="center"/>
    </xf>
    <xf numFmtId="0" fontId="25" fillId="0" borderId="0" xfId="126" applyFont="1" applyAlignment="1">
      <alignment horizontal="right"/>
    </xf>
    <xf numFmtId="0" fontId="24" fillId="0" borderId="0" xfId="126" applyAlignment="1">
      <alignment horizontal="left" indent="1"/>
    </xf>
    <xf numFmtId="0" fontId="25" fillId="34" borderId="0" xfId="127" applyFont="1" applyFill="1"/>
    <xf numFmtId="0" fontId="24" fillId="36" borderId="0" xfId="127" applyFill="1"/>
    <xf numFmtId="164" fontId="24" fillId="0" borderId="0" xfId="126" applyNumberFormat="1"/>
    <xf numFmtId="0" fontId="28" fillId="0" borderId="0" xfId="126" quotePrefix="1" applyFont="1" applyAlignment="1">
      <alignment horizontal="center"/>
    </xf>
    <xf numFmtId="0" fontId="24" fillId="0" borderId="0" xfId="126" quotePrefix="1" applyAlignment="1">
      <alignment horizontal="center" wrapText="1"/>
    </xf>
    <xf numFmtId="0" fontId="28" fillId="0" borderId="0" xfId="126" quotePrefix="1" applyFont="1" applyAlignment="1">
      <alignment horizontal="center" vertical="center" wrapText="1"/>
    </xf>
    <xf numFmtId="0" fontId="25" fillId="0" borderId="3" xfId="126" applyFont="1" applyBorder="1" applyAlignment="1">
      <alignment horizontal="center" wrapText="1"/>
    </xf>
    <xf numFmtId="0" fontId="25" fillId="0" borderId="3" xfId="126" quotePrefix="1" applyFont="1" applyBorder="1" applyAlignment="1">
      <alignment horizontal="center" wrapText="1"/>
    </xf>
    <xf numFmtId="0" fontId="25" fillId="0" borderId="6" xfId="126" applyFont="1" applyBorder="1" applyAlignment="1">
      <alignment horizontal="center" wrapText="1"/>
    </xf>
    <xf numFmtId="0" fontId="25" fillId="0" borderId="3" xfId="126" applyFont="1" applyBorder="1" applyAlignment="1">
      <alignment horizontal="center"/>
    </xf>
    <xf numFmtId="0" fontId="25" fillId="0" borderId="4" xfId="126" applyFont="1" applyBorder="1" applyAlignment="1">
      <alignment horizontal="center" wrapText="1"/>
    </xf>
    <xf numFmtId="0" fontId="25" fillId="0" borderId="0" xfId="126" applyFont="1" applyAlignment="1">
      <alignment horizontal="center"/>
    </xf>
    <xf numFmtId="0" fontId="24" fillId="0" borderId="0" xfId="126" quotePrefix="1" applyAlignment="1">
      <alignment horizontal="center"/>
    </xf>
    <xf numFmtId="179" fontId="24" fillId="34" borderId="0" xfId="35" quotePrefix="1" applyNumberFormat="1" applyFont="1" applyFill="1" applyAlignment="1">
      <alignment horizontal="left"/>
    </xf>
    <xf numFmtId="3" fontId="24" fillId="0" borderId="0" xfId="126" applyNumberFormat="1"/>
    <xf numFmtId="3" fontId="46" fillId="0" borderId="0" xfId="129" applyNumberFormat="1"/>
    <xf numFmtId="2" fontId="25" fillId="0" borderId="3" xfId="126" applyNumberFormat="1" applyFont="1" applyBorder="1" applyAlignment="1">
      <alignment horizontal="center" wrapText="1"/>
    </xf>
    <xf numFmtId="2" fontId="24" fillId="0" borderId="0" xfId="126" applyNumberFormat="1" applyAlignment="1">
      <alignment horizontal="center" wrapText="1"/>
    </xf>
    <xf numFmtId="2" fontId="25" fillId="0" borderId="0" xfId="126" applyNumberFormat="1" applyFont="1" applyAlignment="1">
      <alignment horizontal="center"/>
    </xf>
    <xf numFmtId="2" fontId="24" fillId="0" borderId="0" xfId="126" applyNumberFormat="1"/>
    <xf numFmtId="2" fontId="24" fillId="0" borderId="0" xfId="126" applyNumberFormat="1" applyAlignment="1">
      <alignment horizontal="center"/>
    </xf>
    <xf numFmtId="0" fontId="25" fillId="0" borderId="0" xfId="126" applyFont="1" applyAlignment="1">
      <alignment horizontal="center" vertical="center" wrapText="1"/>
    </xf>
    <xf numFmtId="179" fontId="25" fillId="0" borderId="3" xfId="35" applyNumberFormat="1" applyFont="1" applyBorder="1" applyAlignment="1">
      <alignment horizontal="center"/>
    </xf>
    <xf numFmtId="0" fontId="28" fillId="0" borderId="0" xfId="126" applyFont="1"/>
    <xf numFmtId="0" fontId="24" fillId="0" borderId="0" xfId="126" applyAlignment="1">
      <alignment horizontal="left"/>
    </xf>
    <xf numFmtId="0" fontId="25" fillId="0" borderId="6" xfId="126" applyFont="1" applyBorder="1"/>
    <xf numFmtId="0" fontId="24" fillId="0" borderId="9" xfId="126" applyBorder="1"/>
    <xf numFmtId="0" fontId="24" fillId="36" borderId="0" xfId="126" applyFill="1"/>
    <xf numFmtId="0" fontId="25" fillId="0" borderId="0" xfId="126" applyFont="1" applyAlignment="1">
      <alignment horizontal="center" vertical="center"/>
    </xf>
    <xf numFmtId="0" fontId="28" fillId="0" borderId="0" xfId="126" quotePrefix="1" applyFont="1" applyAlignment="1">
      <alignment horizontal="center" wrapText="1"/>
    </xf>
    <xf numFmtId="0" fontId="25" fillId="34" borderId="7" xfId="126" applyFont="1" applyFill="1" applyBorder="1" applyAlignment="1">
      <alignment horizontal="center" wrapText="1"/>
    </xf>
    <xf numFmtId="0" fontId="28" fillId="0" borderId="7" xfId="126" quotePrefix="1" applyFont="1" applyBorder="1" applyAlignment="1">
      <alignment horizontal="center"/>
    </xf>
    <xf numFmtId="0" fontId="25" fillId="0" borderId="5" xfId="126" applyFont="1" applyBorder="1" applyAlignment="1">
      <alignment horizontal="center" wrapText="1"/>
    </xf>
    <xf numFmtId="0" fontId="25" fillId="34" borderId="10" xfId="126" applyFont="1" applyFill="1" applyBorder="1" applyAlignment="1">
      <alignment horizontal="center" wrapText="1"/>
    </xf>
    <xf numFmtId="0" fontId="25" fillId="34" borderId="5" xfId="126" applyFont="1" applyFill="1" applyBorder="1" applyAlignment="1">
      <alignment horizontal="center" wrapText="1"/>
    </xf>
    <xf numFmtId="164" fontId="55" fillId="0" borderId="0" xfId="135" applyNumberFormat="1" applyFont="1"/>
    <xf numFmtId="164" fontId="72" fillId="0" borderId="0" xfId="135" applyNumberFormat="1" applyFont="1"/>
    <xf numFmtId="164" fontId="60" fillId="0" borderId="0" xfId="135" applyNumberFormat="1" applyFont="1"/>
    <xf numFmtId="0" fontId="24" fillId="0" borderId="0" xfId="28" applyFont="1" applyAlignment="1">
      <alignment horizontal="center" vertical="center"/>
    </xf>
    <xf numFmtId="43" fontId="24" fillId="0" borderId="0" xfId="0" applyNumberFormat="1" applyFont="1"/>
    <xf numFmtId="0" fontId="24" fillId="0" borderId="0" xfId="28" applyFont="1" applyAlignment="1">
      <alignment horizontal="center"/>
    </xf>
    <xf numFmtId="167" fontId="24" fillId="0" borderId="0" xfId="22" applyNumberFormat="1" applyFont="1"/>
    <xf numFmtId="164" fontId="24" fillId="0" borderId="0" xfId="28" applyNumberFormat="1" applyFont="1"/>
    <xf numFmtId="164" fontId="24" fillId="0" borderId="0" xfId="28" applyNumberFormat="1" applyFont="1" applyAlignment="1">
      <alignment horizontal="center"/>
    </xf>
    <xf numFmtId="0" fontId="24" fillId="36" borderId="0" xfId="28" applyFont="1" applyFill="1"/>
    <xf numFmtId="167" fontId="24" fillId="36" borderId="0" xfId="28" quotePrefix="1" applyNumberFormat="1" applyFont="1" applyFill="1" applyAlignment="1">
      <alignment horizontal="center"/>
    </xf>
    <xf numFmtId="167" fontId="24" fillId="0" borderId="8" xfId="28" applyNumberFormat="1" applyFont="1" applyBorder="1" applyAlignment="1">
      <alignment horizontal="center"/>
    </xf>
    <xf numFmtId="164" fontId="24" fillId="0" borderId="8" xfId="28" applyNumberFormat="1" applyFont="1" applyBorder="1" applyAlignment="1">
      <alignment horizontal="center"/>
    </xf>
    <xf numFmtId="5" fontId="24" fillId="0" borderId="8" xfId="28" quotePrefix="1" applyNumberFormat="1" applyFont="1" applyBorder="1" applyAlignment="1">
      <alignment horizontal="right"/>
    </xf>
    <xf numFmtId="164" fontId="24" fillId="0" borderId="0" xfId="22" applyNumberFormat="1" applyFont="1" applyFill="1" applyBorder="1"/>
    <xf numFmtId="164" fontId="24" fillId="0" borderId="0" xfId="22" applyNumberFormat="1" applyFont="1" applyFill="1" applyBorder="1" applyAlignment="1">
      <alignment horizontal="center"/>
    </xf>
    <xf numFmtId="164" fontId="24" fillId="0" borderId="0" xfId="22" applyNumberFormat="1" applyFont="1" applyBorder="1"/>
    <xf numFmtId="167" fontId="24" fillId="0" borderId="0" xfId="22" applyNumberFormat="1" applyFont="1" applyFill="1" applyBorder="1"/>
    <xf numFmtId="0" fontId="24" fillId="0" borderId="0" xfId="22" applyNumberFormat="1" applyFont="1" applyFill="1" applyBorder="1" applyAlignment="1">
      <alignment horizontal="center"/>
    </xf>
    <xf numFmtId="167" fontId="24" fillId="0" borderId="0" xfId="28" applyNumberFormat="1" applyFont="1" applyAlignment="1">
      <alignment horizontal="center"/>
    </xf>
    <xf numFmtId="167" fontId="24" fillId="0" borderId="0" xfId="22" applyNumberFormat="1" applyFont="1" applyBorder="1"/>
    <xf numFmtId="167" fontId="24" fillId="0" borderId="0" xfId="22" applyNumberFormat="1" applyFont="1" applyFill="1" applyBorder="1" applyAlignment="1">
      <alignment horizontal="center"/>
    </xf>
    <xf numFmtId="167" fontId="24" fillId="0" borderId="8" xfId="28" quotePrefix="1" applyNumberFormat="1" applyFont="1" applyBorder="1" applyAlignment="1">
      <alignment horizontal="center"/>
    </xf>
    <xf numFmtId="167" fontId="24" fillId="0" borderId="8" xfId="28" applyNumberFormat="1" applyFont="1" applyBorder="1"/>
    <xf numFmtId="0" fontId="24" fillId="0" borderId="0" xfId="22" applyNumberFormat="1" applyFont="1" applyFill="1" applyBorder="1"/>
    <xf numFmtId="164" fontId="24" fillId="0" borderId="0" xfId="28" applyNumberFormat="1" applyFont="1" applyAlignment="1">
      <alignment vertical="top" wrapText="1"/>
    </xf>
    <xf numFmtId="167" fontId="24" fillId="0" borderId="0" xfId="22" applyNumberFormat="1" applyFont="1" applyFill="1" applyBorder="1" applyAlignment="1">
      <alignment horizontal="center" wrapText="1"/>
    </xf>
    <xf numFmtId="167" fontId="24" fillId="0" borderId="0" xfId="22" applyNumberFormat="1" applyFont="1" applyFill="1" applyBorder="1" applyAlignment="1"/>
    <xf numFmtId="171" fontId="24" fillId="0" borderId="8" xfId="37" applyNumberFormat="1" applyFont="1" applyFill="1" applyBorder="1" applyAlignment="1">
      <alignment horizontal="center" wrapText="1"/>
    </xf>
    <xf numFmtId="167" fontId="24" fillId="0" borderId="8" xfId="22" applyNumberFormat="1" applyFont="1" applyFill="1" applyBorder="1" applyAlignment="1">
      <alignment horizontal="center" wrapText="1"/>
    </xf>
    <xf numFmtId="0" fontId="24" fillId="0" borderId="0" xfId="39" applyNumberFormat="1" applyFont="1" applyFill="1" applyBorder="1" applyAlignment="1">
      <alignment horizontal="center" wrapText="1"/>
    </xf>
    <xf numFmtId="171" fontId="24" fillId="0" borderId="0" xfId="39" applyNumberFormat="1" applyFont="1" applyFill="1" applyBorder="1" applyAlignment="1">
      <alignment horizontal="center" wrapText="1"/>
    </xf>
    <xf numFmtId="0" fontId="24" fillId="0" borderId="0" xfId="28" applyFont="1" applyAlignment="1">
      <alignment vertical="justify"/>
    </xf>
    <xf numFmtId="167" fontId="24" fillId="0" borderId="0" xfId="28" applyNumberFormat="1" applyFont="1" applyAlignment="1">
      <alignment vertical="justify"/>
    </xf>
    <xf numFmtId="0" fontId="24" fillId="0" borderId="0" xfId="28" applyFont="1" applyAlignment="1">
      <alignment vertical="top"/>
    </xf>
    <xf numFmtId="167" fontId="24" fillId="0" borderId="0" xfId="22" applyNumberFormat="1" applyFont="1" applyFill="1"/>
    <xf numFmtId="0" fontId="24" fillId="0" borderId="0" xfId="28" applyFont="1" applyAlignment="1">
      <alignment vertical="top" wrapText="1"/>
    </xf>
    <xf numFmtId="0" fontId="24" fillId="0" borderId="0" xfId="28" applyFont="1" applyAlignment="1" applyProtection="1">
      <alignment horizontal="left" vertical="top" indent="1"/>
      <protection locked="0"/>
    </xf>
    <xf numFmtId="0" fontId="24" fillId="0" borderId="0" xfId="28" applyFont="1" applyAlignment="1">
      <alignment horizontal="left" indent="1"/>
    </xf>
    <xf numFmtId="165" fontId="24" fillId="0" borderId="0" xfId="28" applyNumberFormat="1" applyFont="1"/>
    <xf numFmtId="0" fontId="24" fillId="36" borderId="0" xfId="100" applyFill="1" applyAlignment="1">
      <alignment horizontal="center"/>
    </xf>
    <xf numFmtId="0" fontId="24" fillId="0" borderId="0" xfId="0" quotePrefix="1" applyFont="1" applyAlignment="1">
      <alignment horizontal="left" indent="2"/>
    </xf>
    <xf numFmtId="0" fontId="24" fillId="0" borderId="0" xfId="0" applyFont="1" applyAlignment="1">
      <alignment horizontal="left" indent="3"/>
    </xf>
    <xf numFmtId="0" fontId="56" fillId="0" borderId="0" xfId="0" applyFont="1" applyAlignment="1">
      <alignment horizontal="left"/>
    </xf>
    <xf numFmtId="10" fontId="24" fillId="0" borderId="0" xfId="0" quotePrefix="1" applyNumberFormat="1" applyFont="1" applyAlignment="1">
      <alignment horizontal="right"/>
    </xf>
    <xf numFmtId="0" fontId="57" fillId="36" borderId="0" xfId="0" quotePrefix="1" applyFont="1" applyFill="1" applyAlignment="1">
      <alignment horizontal="center"/>
    </xf>
    <xf numFmtId="0" fontId="24" fillId="0" borderId="0" xfId="34" applyFont="1" applyAlignment="1">
      <alignment horizontal="right"/>
    </xf>
    <xf numFmtId="0" fontId="58" fillId="0" borderId="0" xfId="0" applyFont="1" applyAlignment="1">
      <alignment horizontal="left" indent="1"/>
    </xf>
    <xf numFmtId="0" fontId="56" fillId="0" borderId="0" xfId="0" quotePrefix="1" applyFont="1" applyAlignment="1">
      <alignment horizontal="center"/>
    </xf>
    <xf numFmtId="164" fontId="0" fillId="0" borderId="0" xfId="0" applyNumberFormat="1" applyAlignment="1">
      <alignment horizontal="right"/>
    </xf>
    <xf numFmtId="10" fontId="24" fillId="0" borderId="0" xfId="37" applyNumberFormat="1" applyFont="1" applyFill="1" applyAlignment="1">
      <alignment horizontal="center"/>
    </xf>
    <xf numFmtId="0" fontId="25" fillId="0" borderId="7" xfId="28" applyFont="1" applyBorder="1" applyAlignment="1">
      <alignment horizontal="center"/>
    </xf>
    <xf numFmtId="0" fontId="24" fillId="0" borderId="0" xfId="28" quotePrefix="1" applyFont="1"/>
    <xf numFmtId="0" fontId="24" fillId="0" borderId="0" xfId="28" applyFont="1" applyAlignment="1" applyProtection="1">
      <alignment horizontal="left" indent="2"/>
      <protection locked="0"/>
    </xf>
    <xf numFmtId="10" fontId="24" fillId="0" borderId="0" xfId="28" applyNumberFormat="1" applyFont="1"/>
    <xf numFmtId="0" fontId="66" fillId="0" borderId="0" xfId="0" applyFont="1"/>
    <xf numFmtId="37" fontId="24" fillId="0" borderId="3" xfId="0" applyNumberFormat="1" applyFont="1" applyBorder="1" applyAlignment="1">
      <alignment horizontal="center"/>
    </xf>
    <xf numFmtId="37" fontId="24" fillId="0" borderId="3" xfId="97" quotePrefix="1" applyNumberFormat="1" applyFont="1" applyFill="1" applyBorder="1" applyAlignment="1">
      <alignment horizontal="center"/>
    </xf>
    <xf numFmtId="0" fontId="24" fillId="0" borderId="3" xfId="0" quotePrefix="1" applyFont="1" applyBorder="1"/>
    <xf numFmtId="0" fontId="24" fillId="0" borderId="3" xfId="0" quotePrefix="1" applyFont="1" applyBorder="1" applyAlignment="1">
      <alignment horizontal="center"/>
    </xf>
    <xf numFmtId="49" fontId="24" fillId="0" borderId="0" xfId="22" applyNumberFormat="1" applyFont="1" applyFill="1" applyBorder="1" applyAlignment="1">
      <alignment horizontal="left"/>
    </xf>
    <xf numFmtId="0" fontId="24" fillId="0" borderId="0" xfId="108" applyAlignment="1">
      <alignment horizontal="left" indent="1"/>
    </xf>
    <xf numFmtId="171" fontId="0" fillId="0" borderId="0" xfId="0" applyNumberFormat="1"/>
    <xf numFmtId="0" fontId="39" fillId="0" borderId="0" xfId="28" applyFont="1" applyAlignment="1">
      <alignment vertical="center"/>
    </xf>
    <xf numFmtId="164" fontId="24" fillId="0" borderId="0" xfId="106" applyNumberFormat="1" applyFont="1" applyFill="1"/>
    <xf numFmtId="0" fontId="34" fillId="0" borderId="0" xfId="100" applyFont="1"/>
    <xf numFmtId="0" fontId="24" fillId="0" borderId="0" xfId="28" applyFont="1" applyAlignment="1">
      <alignment vertical="center"/>
    </xf>
    <xf numFmtId="164" fontId="24" fillId="0" borderId="8" xfId="96" applyNumberFormat="1" applyFont="1" applyBorder="1"/>
    <xf numFmtId="17" fontId="24" fillId="36" borderId="0" xfId="100" quotePrefix="1" applyNumberFormat="1" applyFill="1" applyAlignment="1">
      <alignment horizontal="left"/>
    </xf>
    <xf numFmtId="42" fontId="24" fillId="0" borderId="0" xfId="0" applyNumberFormat="1" applyFont="1"/>
    <xf numFmtId="164" fontId="24" fillId="36" borderId="0" xfId="19" applyNumberFormat="1" applyFont="1" applyFill="1" applyBorder="1" applyAlignment="1">
      <alignment wrapText="1"/>
    </xf>
    <xf numFmtId="167" fontId="56" fillId="36" borderId="0" xfId="133" applyNumberFormat="1" applyFont="1" applyFill="1"/>
    <xf numFmtId="167" fontId="56" fillId="36" borderId="0" xfId="133" applyNumberFormat="1" applyFont="1" applyFill="1" applyBorder="1"/>
    <xf numFmtId="3" fontId="24" fillId="36" borderId="0" xfId="128" applyNumberFormat="1" applyFont="1" applyFill="1"/>
    <xf numFmtId="3" fontId="24" fillId="36" borderId="0" xfId="129" applyNumberFormat="1" applyFont="1" applyFill="1"/>
    <xf numFmtId="3" fontId="24" fillId="36" borderId="0" xfId="130" applyNumberFormat="1" applyFont="1" applyFill="1"/>
    <xf numFmtId="3" fontId="24" fillId="36" borderId="0" xfId="126" applyNumberFormat="1" applyFill="1"/>
    <xf numFmtId="3" fontId="24" fillId="36" borderId="0" xfId="128" applyNumberFormat="1" applyFont="1" applyFill="1" applyAlignment="1">
      <alignment horizontal="center"/>
    </xf>
    <xf numFmtId="3" fontId="24" fillId="36" borderId="0" xfId="129" applyNumberFormat="1" applyFont="1" applyFill="1" applyAlignment="1">
      <alignment horizontal="center"/>
    </xf>
    <xf numFmtId="3" fontId="24" fillId="36" borderId="0" xfId="130" applyNumberFormat="1" applyFont="1" applyFill="1" applyAlignment="1">
      <alignment horizontal="center"/>
    </xf>
    <xf numFmtId="164" fontId="24" fillId="36" borderId="0" xfId="255" applyNumberFormat="1" applyFont="1" applyFill="1" applyAlignment="1">
      <alignment horizontal="right"/>
    </xf>
    <xf numFmtId="3" fontId="0" fillId="36" borderId="0" xfId="0" applyNumberFormat="1" applyFill="1"/>
    <xf numFmtId="170" fontId="24" fillId="36" borderId="0" xfId="100" applyNumberFormat="1" applyFill="1" applyAlignment="1">
      <alignment horizontal="center"/>
    </xf>
    <xf numFmtId="164" fontId="24" fillId="36" borderId="0" xfId="96" applyNumberFormat="1" applyFont="1" applyFill="1" applyBorder="1"/>
    <xf numFmtId="0" fontId="56" fillId="36" borderId="0" xfId="125" applyFont="1" applyFill="1"/>
    <xf numFmtId="170" fontId="24" fillId="36" borderId="0" xfId="125" quotePrefix="1" applyNumberFormat="1" applyFill="1" applyAlignment="1">
      <alignment horizontal="center"/>
    </xf>
    <xf numFmtId="0" fontId="24" fillId="36" borderId="0" xfId="125" applyFill="1"/>
    <xf numFmtId="164" fontId="56" fillId="36" borderId="0" xfId="96" applyNumberFormat="1" applyFont="1" applyFill="1" applyBorder="1"/>
    <xf numFmtId="37" fontId="24" fillId="36" borderId="3" xfId="97" quotePrefix="1" applyNumberFormat="1" applyFont="1" applyFill="1" applyBorder="1" applyAlignment="1">
      <alignment horizontal="center"/>
    </xf>
    <xf numFmtId="0" fontId="0" fillId="36" borderId="0" xfId="0" applyFill="1" applyAlignment="1">
      <alignment horizontal="left" vertical="top" wrapText="1"/>
    </xf>
    <xf numFmtId="164" fontId="24" fillId="34" borderId="0" xfId="0" applyNumberFormat="1" applyFont="1" applyFill="1"/>
    <xf numFmtId="181" fontId="25" fillId="36" borderId="0" xfId="19" applyNumberFormat="1" applyFont="1" applyFill="1" applyAlignment="1">
      <alignment horizontal="center"/>
    </xf>
    <xf numFmtId="0" fontId="55" fillId="0" borderId="0" xfId="126" applyFont="1" applyAlignment="1">
      <alignment horizontal="center"/>
    </xf>
    <xf numFmtId="0" fontId="24" fillId="0" borderId="5" xfId="126" applyBorder="1" applyAlignment="1">
      <alignment horizontal="center" wrapText="1"/>
    </xf>
    <xf numFmtId="0" fontId="24" fillId="0" borderId="0" xfId="126" applyAlignment="1">
      <alignment horizontal="center" wrapText="1"/>
    </xf>
    <xf numFmtId="0" fontId="24" fillId="0" borderId="16" xfId="126" applyBorder="1" applyAlignment="1">
      <alignment horizontal="center"/>
    </xf>
    <xf numFmtId="9" fontId="24" fillId="0" borderId="0" xfId="37" applyFont="1" applyFill="1"/>
    <xf numFmtId="0" fontId="160" fillId="0" borderId="0" xfId="126" applyFont="1" applyAlignment="1">
      <alignment horizontal="center"/>
    </xf>
    <xf numFmtId="0" fontId="25" fillId="0" borderId="4" xfId="126" applyFont="1" applyBorder="1" applyAlignment="1">
      <alignment horizontal="center"/>
    </xf>
    <xf numFmtId="0" fontId="160" fillId="0" borderId="0" xfId="126" quotePrefix="1" applyFont="1" applyAlignment="1">
      <alignment horizontal="center" wrapText="1"/>
    </xf>
    <xf numFmtId="0" fontId="162" fillId="0" borderId="0" xfId="126" quotePrefix="1" applyFont="1" applyAlignment="1">
      <alignment horizontal="center"/>
    </xf>
    <xf numFmtId="2" fontId="163" fillId="0" borderId="26" xfId="126" applyNumberFormat="1" applyFont="1" applyBorder="1" applyAlignment="1">
      <alignment horizontal="center" wrapText="1"/>
    </xf>
    <xf numFmtId="2" fontId="163" fillId="0" borderId="0" xfId="126" applyNumberFormat="1" applyFont="1" applyAlignment="1">
      <alignment horizontal="center" wrapText="1"/>
    </xf>
    <xf numFmtId="2" fontId="160" fillId="0" borderId="0" xfId="126" applyNumberFormat="1" applyFont="1"/>
    <xf numFmtId="164" fontId="160" fillId="0" borderId="0" xfId="126" applyNumberFormat="1" applyFont="1"/>
    <xf numFmtId="1" fontId="160" fillId="0" borderId="0" xfId="126" applyNumberFormat="1" applyFont="1"/>
    <xf numFmtId="0" fontId="24" fillId="0" borderId="0" xfId="126" applyAlignment="1">
      <alignment readingOrder="1"/>
    </xf>
    <xf numFmtId="0" fontId="24" fillId="0" borderId="0" xfId="126" applyAlignment="1">
      <alignment wrapText="1"/>
    </xf>
    <xf numFmtId="10" fontId="24" fillId="0" borderId="0" xfId="126" applyNumberFormat="1"/>
    <xf numFmtId="0" fontId="24" fillId="0" borderId="0" xfId="100" applyAlignment="1">
      <alignment horizontal="left" indent="2"/>
    </xf>
    <xf numFmtId="0" fontId="24" fillId="0" borderId="0" xfId="0" applyFont="1" applyAlignment="1">
      <alignment horizontal="left" indent="4"/>
    </xf>
    <xf numFmtId="49" fontId="24" fillId="0" borderId="0" xfId="0" applyNumberFormat="1" applyFont="1" applyAlignment="1">
      <alignment horizontal="left" indent="1"/>
    </xf>
    <xf numFmtId="37" fontId="24" fillId="36" borderId="3" xfId="22" quotePrefix="1" applyNumberFormat="1" applyFont="1" applyFill="1" applyBorder="1" applyAlignment="1">
      <alignment horizontal="center"/>
    </xf>
    <xf numFmtId="37" fontId="0" fillId="36" borderId="0" xfId="19" applyNumberFormat="1" applyFont="1" applyFill="1"/>
    <xf numFmtId="3" fontId="24" fillId="0" borderId="0" xfId="100" applyNumberFormat="1" applyAlignment="1">
      <alignment horizontal="left" indent="1"/>
    </xf>
    <xf numFmtId="167" fontId="25" fillId="0" borderId="0" xfId="96" applyNumberFormat="1" applyFont="1" applyFill="1" applyBorder="1" applyAlignment="1">
      <alignment horizontal="center"/>
    </xf>
    <xf numFmtId="165" fontId="0" fillId="36" borderId="0" xfId="0" applyNumberFormat="1" applyFill="1"/>
    <xf numFmtId="164" fontId="24" fillId="36" borderId="0" xfId="100" applyNumberFormat="1" applyFill="1" applyAlignment="1">
      <alignment vertical="top" wrapText="1"/>
    </xf>
    <xf numFmtId="1" fontId="24" fillId="36" borderId="0" xfId="0" applyNumberFormat="1" applyFont="1" applyFill="1" applyAlignment="1">
      <alignment horizontal="center"/>
    </xf>
    <xf numFmtId="164" fontId="24" fillId="34" borderId="0" xfId="96" applyNumberFormat="1" applyFont="1" applyFill="1" applyBorder="1" applyAlignment="1">
      <alignment horizontal="right"/>
    </xf>
    <xf numFmtId="0" fontId="24" fillId="0" borderId="0" xfId="100" quotePrefix="1" applyAlignment="1">
      <alignment horizontal="left"/>
    </xf>
    <xf numFmtId="164" fontId="24" fillId="0" borderId="0" xfId="96" applyNumberFormat="1" applyFont="1" applyFill="1" applyBorder="1" applyAlignment="1">
      <alignment horizontal="right"/>
    </xf>
    <xf numFmtId="167" fontId="24" fillId="0" borderId="0" xfId="100" quotePrefix="1" applyNumberFormat="1" applyAlignment="1">
      <alignment horizontal="left" indent="1"/>
    </xf>
    <xf numFmtId="0" fontId="28" fillId="0" borderId="0" xfId="100" applyFont="1" applyAlignment="1">
      <alignment horizontal="left"/>
    </xf>
    <xf numFmtId="167" fontId="24" fillId="0" borderId="0" xfId="96" applyNumberFormat="1" applyFont="1" applyFill="1" applyBorder="1" applyAlignment="1">
      <alignment horizontal="right"/>
    </xf>
    <xf numFmtId="167" fontId="24" fillId="0" borderId="0" xfId="100" applyNumberFormat="1" applyAlignment="1">
      <alignment horizontal="right"/>
    </xf>
    <xf numFmtId="1" fontId="24" fillId="0" borderId="0" xfId="100" applyNumberFormat="1" applyAlignment="1">
      <alignment horizontal="center"/>
    </xf>
    <xf numFmtId="3" fontId="24" fillId="0" borderId="0" xfId="100" applyNumberFormat="1"/>
    <xf numFmtId="3" fontId="28" fillId="0" borderId="0" xfId="100" applyNumberFormat="1" applyFont="1" applyAlignment="1">
      <alignment horizontal="center"/>
    </xf>
    <xf numFmtId="165" fontId="31" fillId="0" borderId="0" xfId="96" applyNumberFormat="1" applyFont="1" applyFill="1" applyBorder="1" applyAlignment="1">
      <alignment horizontal="right"/>
    </xf>
    <xf numFmtId="42" fontId="24" fillId="0" borderId="0" xfId="0" quotePrefix="1" applyNumberFormat="1" applyFont="1" applyAlignment="1">
      <alignment horizontal="center"/>
    </xf>
    <xf numFmtId="0" fontId="24" fillId="0" borderId="0" xfId="0" quotePrefix="1" applyFont="1" applyAlignment="1">
      <alignment horizontal="left"/>
    </xf>
    <xf numFmtId="164" fontId="24" fillId="36" borderId="0" xfId="0" quotePrefix="1" applyNumberFormat="1" applyFont="1" applyFill="1" applyAlignment="1">
      <alignment horizontal="right"/>
    </xf>
    <xf numFmtId="171" fontId="24" fillId="0" borderId="0" xfId="0" quotePrefix="1" applyNumberFormat="1" applyFont="1" applyAlignment="1">
      <alignment horizontal="right"/>
    </xf>
    <xf numFmtId="165" fontId="24" fillId="0" borderId="0" xfId="96" applyNumberFormat="1" applyFont="1" applyFill="1" applyBorder="1" applyAlignment="1">
      <alignment horizontal="right"/>
    </xf>
    <xf numFmtId="3" fontId="24" fillId="0" borderId="0" xfId="100" applyNumberFormat="1" applyAlignment="1">
      <alignment horizontal="left"/>
    </xf>
    <xf numFmtId="171" fontId="24" fillId="0" borderId="0" xfId="0" applyNumberFormat="1" applyFont="1"/>
    <xf numFmtId="37" fontId="25" fillId="36" borderId="3" xfId="97" quotePrefix="1" applyNumberFormat="1" applyFont="1" applyFill="1" applyBorder="1" applyAlignment="1">
      <alignment horizontal="center"/>
    </xf>
    <xf numFmtId="0" fontId="24" fillId="36" borderId="3" xfId="0" quotePrefix="1" applyFont="1" applyFill="1" applyBorder="1" applyAlignment="1">
      <alignment horizontal="center"/>
    </xf>
    <xf numFmtId="0" fontId="24" fillId="36" borderId="3" xfId="0" applyFont="1" applyFill="1" applyBorder="1"/>
    <xf numFmtId="0" fontId="24" fillId="36" borderId="3" xfId="0" applyFont="1" applyFill="1" applyBorder="1" applyAlignment="1">
      <alignment horizontal="center"/>
    </xf>
    <xf numFmtId="164" fontId="24" fillId="36" borderId="0" xfId="100" applyNumberFormat="1" applyFill="1" applyAlignment="1">
      <alignment horizontal="right" vertical="center" wrapText="1"/>
    </xf>
    <xf numFmtId="164" fontId="31" fillId="36" borderId="0" xfId="100" applyNumberFormat="1" applyFont="1" applyFill="1" applyAlignment="1">
      <alignment horizontal="right" vertical="center" wrapText="1"/>
    </xf>
    <xf numFmtId="164" fontId="24" fillId="36" borderId="0" xfId="96" applyNumberFormat="1" applyFont="1" applyFill="1"/>
    <xf numFmtId="164" fontId="38" fillId="36" borderId="0" xfId="96" applyNumberFormat="1" applyFont="1" applyFill="1"/>
    <xf numFmtId="164" fontId="38" fillId="36" borderId="0" xfId="100" applyNumberFormat="1" applyFont="1" applyFill="1"/>
    <xf numFmtId="1" fontId="24" fillId="36" borderId="0" xfId="126" applyNumberFormat="1" applyFill="1"/>
    <xf numFmtId="0" fontId="55" fillId="0" borderId="0" xfId="0" applyFont="1"/>
    <xf numFmtId="0" fontId="24" fillId="0" borderId="11" xfId="0" applyFont="1" applyBorder="1" applyAlignment="1">
      <alignment horizontal="center"/>
    </xf>
    <xf numFmtId="0" fontId="24" fillId="0" borderId="4" xfId="0" applyFont="1" applyBorder="1" applyAlignment="1">
      <alignment horizontal="center"/>
    </xf>
    <xf numFmtId="0" fontId="24" fillId="0" borderId="54" xfId="0" applyFont="1" applyBorder="1" applyAlignment="1">
      <alignment horizontal="center"/>
    </xf>
    <xf numFmtId="3" fontId="56" fillId="0" borderId="0" xfId="0" applyNumberFormat="1" applyFont="1"/>
    <xf numFmtId="164" fontId="24" fillId="0" borderId="0" xfId="23" applyNumberFormat="1" applyFont="1" applyFill="1" applyAlignment="1">
      <alignment horizontal="right"/>
    </xf>
    <xf numFmtId="49" fontId="24" fillId="0" borderId="0" xfId="0" applyNumberFormat="1" applyFont="1" applyAlignment="1">
      <alignment horizontal="center"/>
    </xf>
    <xf numFmtId="0" fontId="24" fillId="0" borderId="0" xfId="0" applyFont="1" applyAlignment="1">
      <alignment horizontal="left" wrapText="1"/>
    </xf>
    <xf numFmtId="0" fontId="74" fillId="0" borderId="0" xfId="0" applyFont="1" applyAlignment="1">
      <alignment horizontal="left" wrapText="1"/>
    </xf>
    <xf numFmtId="49" fontId="74" fillId="0" borderId="0" xfId="0" quotePrefix="1" applyNumberFormat="1" applyFont="1" applyAlignment="1">
      <alignment horizontal="left" indent="1"/>
    </xf>
    <xf numFmtId="0" fontId="74" fillId="0" borderId="0" xfId="0" applyFont="1"/>
    <xf numFmtId="49" fontId="74" fillId="0" borderId="0" xfId="0" applyNumberFormat="1" applyFont="1" applyAlignment="1">
      <alignment horizontal="left" indent="1"/>
    </xf>
    <xf numFmtId="3" fontId="24" fillId="0" borderId="0" xfId="23" applyNumberFormat="1" applyFont="1" applyBorder="1" applyAlignment="1">
      <alignment horizontal="right"/>
    </xf>
    <xf numFmtId="3" fontId="24" fillId="0" borderId="0" xfId="0" applyNumberFormat="1" applyFont="1"/>
    <xf numFmtId="49" fontId="58" fillId="0" borderId="0" xfId="0" applyNumberFormat="1" applyFont="1" applyAlignment="1">
      <alignment horizontal="center"/>
    </xf>
    <xf numFmtId="0" fontId="25" fillId="0" borderId="0" xfId="0" applyFont="1" applyAlignment="1">
      <alignment horizontal="center" vertical="top"/>
    </xf>
    <xf numFmtId="3" fontId="24" fillId="36" borderId="0" xfId="0" applyNumberFormat="1" applyFont="1" applyFill="1"/>
    <xf numFmtId="0" fontId="60" fillId="0" borderId="0" xfId="0" applyFont="1" applyAlignment="1">
      <alignment horizontal="center"/>
    </xf>
    <xf numFmtId="37" fontId="55" fillId="0" borderId="0" xfId="0" applyNumberFormat="1" applyFont="1"/>
    <xf numFmtId="0" fontId="24" fillId="0" borderId="3" xfId="0" applyFont="1" applyBorder="1" applyAlignment="1">
      <alignment horizontal="left"/>
    </xf>
    <xf numFmtId="0" fontId="24" fillId="0" borderId="3" xfId="0" quotePrefix="1" applyFont="1" applyBorder="1" applyAlignment="1">
      <alignment horizontal="left"/>
    </xf>
    <xf numFmtId="207" fontId="24" fillId="36" borderId="0" xfId="0" quotePrefix="1" applyNumberFormat="1" applyFont="1" applyFill="1" applyAlignment="1">
      <alignment horizontal="center"/>
    </xf>
    <xf numFmtId="37" fontId="25" fillId="0" borderId="3" xfId="0" applyNumberFormat="1" applyFont="1" applyBorder="1" applyAlignment="1">
      <alignment horizontal="center"/>
    </xf>
    <xf numFmtId="10" fontId="24" fillId="36" borderId="0" xfId="0" applyNumberFormat="1" applyFont="1" applyFill="1" applyAlignment="1">
      <alignment horizontal="right"/>
    </xf>
    <xf numFmtId="0" fontId="72" fillId="0" borderId="0" xfId="0" applyFont="1"/>
    <xf numFmtId="167" fontId="24" fillId="0" borderId="0" xfId="28" applyNumberFormat="1" applyFont="1" applyAlignment="1">
      <alignment vertical="center"/>
    </xf>
    <xf numFmtId="0" fontId="25" fillId="0" borderId="0" xfId="0" applyFont="1" applyAlignment="1">
      <alignment horizontal="center" vertical="center"/>
    </xf>
    <xf numFmtId="171" fontId="24" fillId="0" borderId="0" xfId="39" applyNumberFormat="1" applyFont="1" applyFill="1" applyBorder="1" applyAlignment="1">
      <alignment horizontal="center" vertical="justify" wrapText="1"/>
    </xf>
    <xf numFmtId="171" fontId="24" fillId="0" borderId="8" xfId="39" applyNumberFormat="1" applyFont="1" applyFill="1" applyBorder="1" applyAlignment="1">
      <alignment horizontal="center" wrapText="1"/>
    </xf>
    <xf numFmtId="0" fontId="24" fillId="0" borderId="0" xfId="100" quotePrefix="1"/>
    <xf numFmtId="0" fontId="24" fillId="0" borderId="0" xfId="100" quotePrefix="1" applyAlignment="1">
      <alignment horizontal="center" wrapText="1"/>
    </xf>
    <xf numFmtId="10" fontId="24" fillId="0" borderId="0" xfId="37" quotePrefix="1" applyNumberFormat="1" applyFont="1" applyFill="1" applyAlignment="1">
      <alignment horizontal="center" wrapText="1"/>
    </xf>
    <xf numFmtId="0" fontId="24" fillId="0" borderId="0" xfId="100" applyAlignment="1">
      <alignment horizontal="center" wrapText="1"/>
    </xf>
    <xf numFmtId="164" fontId="24" fillId="0" borderId="0" xfId="100" quotePrefix="1" applyNumberFormat="1" applyAlignment="1">
      <alignment horizontal="center"/>
    </xf>
    <xf numFmtId="10" fontId="0" fillId="0" borderId="0" xfId="37" applyNumberFormat="1" applyFont="1" applyFill="1" applyAlignment="1">
      <alignment horizontal="center"/>
    </xf>
    <xf numFmtId="1" fontId="27" fillId="0" borderId="0" xfId="28" quotePrefix="1" applyNumberFormat="1" applyAlignment="1">
      <alignment horizontal="right"/>
    </xf>
    <xf numFmtId="164" fontId="24" fillId="0" borderId="0" xfId="96" applyNumberFormat="1" applyFont="1" applyFill="1" applyBorder="1" applyAlignment="1">
      <alignment horizontal="left" indent="1"/>
    </xf>
    <xf numFmtId="0" fontId="24" fillId="0" borderId="0" xfId="28" quotePrefix="1" applyFont="1" applyAlignment="1">
      <alignment horizontal="center" vertical="center"/>
    </xf>
    <xf numFmtId="0" fontId="24" fillId="0" borderId="0" xfId="28" quotePrefix="1" applyFont="1" applyAlignment="1">
      <alignment horizontal="center"/>
    </xf>
    <xf numFmtId="167" fontId="24" fillId="0" borderId="0" xfId="28" quotePrefix="1" applyNumberFormat="1" applyFont="1" applyAlignment="1">
      <alignment horizontal="center"/>
    </xf>
    <xf numFmtId="0" fontId="24" fillId="0" borderId="0" xfId="28" quotePrefix="1" applyFont="1" applyAlignment="1">
      <alignment vertical="center"/>
    </xf>
    <xf numFmtId="0" fontId="27" fillId="0" borderId="0" xfId="28" applyAlignment="1">
      <alignment vertical="center"/>
    </xf>
    <xf numFmtId="0" fontId="25" fillId="0" borderId="0" xfId="28" applyFont="1" applyAlignment="1">
      <alignment horizontal="right" vertical="center"/>
    </xf>
    <xf numFmtId="0" fontId="24" fillId="0" borderId="0" xfId="126" applyAlignment="1">
      <alignment vertical="center" wrapText="1"/>
    </xf>
    <xf numFmtId="0" fontId="24" fillId="0" borderId="0" xfId="126" applyAlignment="1">
      <alignment horizontal="center" vertical="center" wrapText="1"/>
    </xf>
    <xf numFmtId="0" fontId="24" fillId="0" borderId="15" xfId="0" applyFont="1" applyBorder="1" applyAlignment="1">
      <alignment horizontal="center"/>
    </xf>
    <xf numFmtId="166" fontId="24" fillId="0" borderId="0" xfId="126" applyNumberFormat="1"/>
    <xf numFmtId="3" fontId="24" fillId="0" borderId="0" xfId="131" applyNumberFormat="1" applyFont="1"/>
    <xf numFmtId="3" fontId="24" fillId="0" borderId="0" xfId="132" applyNumberFormat="1" applyFont="1"/>
    <xf numFmtId="3" fontId="24" fillId="0" borderId="0" xfId="130" applyNumberFormat="1" applyFont="1" applyAlignment="1">
      <alignment horizontal="center"/>
    </xf>
    <xf numFmtId="179" fontId="25" fillId="0" borderId="0" xfId="35" applyNumberFormat="1" applyFont="1" applyAlignment="1">
      <alignment horizontal="left"/>
    </xf>
    <xf numFmtId="0" fontId="24" fillId="0" borderId="7" xfId="126" applyBorder="1"/>
    <xf numFmtId="0" fontId="24" fillId="0" borderId="7" xfId="126" applyBorder="1" applyAlignment="1">
      <alignment horizontal="center"/>
    </xf>
    <xf numFmtId="174" fontId="24" fillId="36" borderId="0" xfId="0" applyNumberFormat="1" applyFont="1" applyFill="1" applyAlignment="1">
      <alignment horizontal="center"/>
    </xf>
    <xf numFmtId="0" fontId="55" fillId="0" borderId="10" xfId="126" applyFont="1" applyBorder="1" applyAlignment="1">
      <alignment horizontal="center"/>
    </xf>
    <xf numFmtId="9" fontId="0" fillId="0" borderId="0" xfId="0" applyNumberFormat="1" applyAlignment="1">
      <alignment horizontal="left"/>
    </xf>
    <xf numFmtId="0" fontId="24" fillId="0" borderId="4" xfId="126" applyBorder="1" applyAlignment="1">
      <alignment wrapText="1"/>
    </xf>
    <xf numFmtId="0" fontId="24" fillId="0" borderId="0" xfId="126" quotePrefix="1" applyAlignment="1">
      <alignment horizontal="center" vertical="center" wrapText="1"/>
    </xf>
    <xf numFmtId="0" fontId="24" fillId="0" borderId="0" xfId="126" quotePrefix="1" applyAlignment="1">
      <alignment horizontal="center" vertical="top" wrapText="1"/>
    </xf>
    <xf numFmtId="3" fontId="24" fillId="0" borderId="3" xfId="126" applyNumberFormat="1" applyBorder="1"/>
    <xf numFmtId="10" fontId="24" fillId="0" borderId="3" xfId="126" applyNumberFormat="1" applyBorder="1"/>
    <xf numFmtId="10" fontId="56" fillId="0" borderId="3" xfId="134" applyNumberFormat="1" applyFont="1" applyFill="1" applyBorder="1"/>
    <xf numFmtId="0" fontId="66" fillId="0" borderId="0" xfId="126" quotePrefix="1" applyFont="1" applyAlignment="1">
      <alignment horizontal="center" vertical="center" wrapText="1"/>
    </xf>
    <xf numFmtId="0" fontId="24" fillId="0" borderId="6" xfId="126" quotePrefix="1" applyBorder="1" applyAlignment="1">
      <alignment horizontal="center" wrapText="1"/>
    </xf>
    <xf numFmtId="0" fontId="24" fillId="0" borderId="5" xfId="126" quotePrefix="1" applyBorder="1" applyAlignment="1">
      <alignment horizontal="center" wrapText="1"/>
    </xf>
    <xf numFmtId="0" fontId="25" fillId="0" borderId="9" xfId="126" applyFont="1" applyBorder="1"/>
    <xf numFmtId="0" fontId="24" fillId="0" borderId="4" xfId="126" applyBorder="1"/>
    <xf numFmtId="164" fontId="24" fillId="0" borderId="8" xfId="0" applyNumberFormat="1" applyFont="1" applyBorder="1"/>
    <xf numFmtId="208" fontId="0" fillId="36" borderId="0" xfId="0" applyNumberFormat="1" applyFill="1" applyAlignment="1">
      <alignment horizontal="center"/>
    </xf>
    <xf numFmtId="0" fontId="24" fillId="36" borderId="0" xfId="125" quotePrefix="1" applyFill="1"/>
    <xf numFmtId="208" fontId="24" fillId="36" borderId="0" xfId="0" quotePrefix="1" applyNumberFormat="1" applyFont="1" applyFill="1" applyAlignment="1">
      <alignment horizontal="center"/>
    </xf>
    <xf numFmtId="0" fontId="72" fillId="0" borderId="0" xfId="0" applyFont="1" applyAlignment="1">
      <alignment horizontal="left" indent="2"/>
    </xf>
    <xf numFmtId="0" fontId="165" fillId="0" borderId="0" xfId="0" applyFont="1"/>
    <xf numFmtId="0" fontId="72" fillId="0" borderId="0" xfId="0" applyFont="1" applyAlignment="1">
      <alignment horizontal="left" indent="1"/>
    </xf>
    <xf numFmtId="0" fontId="29" fillId="37" borderId="0" xfId="0" applyFont="1" applyFill="1"/>
    <xf numFmtId="0" fontId="165" fillId="0" borderId="0" xfId="0" applyFont="1" applyAlignment="1">
      <alignment horizontal="right"/>
    </xf>
    <xf numFmtId="0" fontId="166" fillId="0" borderId="0" xfId="0" applyFont="1"/>
    <xf numFmtId="0" fontId="0" fillId="0" borderId="0" xfId="0" applyAlignment="1">
      <alignment horizontal="left" vertical="center" indent="1"/>
    </xf>
    <xf numFmtId="3" fontId="63" fillId="0" borderId="0" xfId="0" applyNumberFormat="1" applyFont="1"/>
    <xf numFmtId="0" fontId="25" fillId="0" borderId="0" xfId="34" applyFont="1" applyAlignment="1">
      <alignment horizontal="right"/>
    </xf>
    <xf numFmtId="0" fontId="25" fillId="0" borderId="0" xfId="0" applyFont="1" applyAlignment="1">
      <alignment horizontal="right" indent="1"/>
    </xf>
    <xf numFmtId="0" fontId="24" fillId="0" borderId="4" xfId="0" applyFont="1" applyBorder="1"/>
    <xf numFmtId="167" fontId="57" fillId="0" borderId="0" xfId="19" quotePrefix="1" applyNumberFormat="1" applyFont="1"/>
    <xf numFmtId="167" fontId="57" fillId="0" borderId="0" xfId="19" applyNumberFormat="1" applyFont="1" applyBorder="1" applyAlignment="1">
      <alignment horizontal="center"/>
    </xf>
    <xf numFmtId="167" fontId="54" fillId="0" borderId="0" xfId="19" applyNumberFormat="1" applyFont="1" applyBorder="1" applyAlignment="1"/>
    <xf numFmtId="167" fontId="56" fillId="0" borderId="0" xfId="19" applyNumberFormat="1" applyFont="1"/>
    <xf numFmtId="167" fontId="57" fillId="0" borderId="0" xfId="19" quotePrefix="1" applyNumberFormat="1" applyFont="1" applyAlignment="1">
      <alignment horizontal="right"/>
    </xf>
    <xf numFmtId="181" fontId="57" fillId="36" borderId="0" xfId="19" quotePrefix="1" applyNumberFormat="1" applyFont="1" applyFill="1" applyAlignment="1">
      <alignment horizontal="center"/>
    </xf>
    <xf numFmtId="167" fontId="56" fillId="0" borderId="0" xfId="19" applyNumberFormat="1" applyFont="1" applyAlignment="1">
      <alignment horizontal="center"/>
    </xf>
    <xf numFmtId="167" fontId="57" fillId="0" borderId="0" xfId="19" quotePrefix="1" applyNumberFormat="1" applyFont="1" applyAlignment="1">
      <alignment horizontal="center"/>
    </xf>
    <xf numFmtId="167" fontId="0" fillId="0" borderId="0" xfId="19" applyNumberFormat="1" applyFont="1" applyAlignment="1">
      <alignment horizontal="center"/>
    </xf>
    <xf numFmtId="167" fontId="63" fillId="0" borderId="0" xfId="19" applyNumberFormat="1" applyFont="1" applyAlignment="1">
      <alignment horizontal="center"/>
    </xf>
    <xf numFmtId="167" fontId="57" fillId="0" borderId="59" xfId="19" applyNumberFormat="1" applyFont="1" applyBorder="1" applyAlignment="1">
      <alignment horizontal="center" vertical="center"/>
    </xf>
    <xf numFmtId="167" fontId="57" fillId="0" borderId="59" xfId="19" quotePrefix="1" applyNumberFormat="1" applyFont="1" applyBorder="1" applyAlignment="1">
      <alignment horizontal="center" vertical="center"/>
    </xf>
    <xf numFmtId="167" fontId="168" fillId="0" borderId="0" xfId="19" applyNumberFormat="1" applyFont="1" applyAlignment="1">
      <alignment horizontal="center"/>
    </xf>
    <xf numFmtId="167" fontId="57" fillId="0" borderId="0" xfId="19" applyNumberFormat="1" applyFont="1" applyFill="1" applyBorder="1" applyAlignment="1">
      <alignment horizontal="center" wrapText="1"/>
    </xf>
    <xf numFmtId="167" fontId="0" fillId="0" borderId="0" xfId="19" applyNumberFormat="1" applyFont="1" applyFill="1" applyBorder="1" applyAlignment="1">
      <alignment horizontal="center" vertical="center" wrapText="1"/>
    </xf>
    <xf numFmtId="0" fontId="57" fillId="0" borderId="0" xfId="19" applyNumberFormat="1" applyFont="1" applyAlignment="1">
      <alignment horizontal="center"/>
    </xf>
    <xf numFmtId="167" fontId="58" fillId="0" borderId="0" xfId="19" applyNumberFormat="1" applyFont="1"/>
    <xf numFmtId="167" fontId="169" fillId="0" borderId="0" xfId="19" applyNumberFormat="1" applyFont="1"/>
    <xf numFmtId="167" fontId="56" fillId="0" borderId="0" xfId="19" applyNumberFormat="1" applyFont="1" applyFill="1"/>
    <xf numFmtId="0" fontId="56" fillId="0" borderId="0" xfId="19" applyNumberFormat="1" applyFont="1" applyFill="1" applyAlignment="1">
      <alignment horizontal="center"/>
    </xf>
    <xf numFmtId="167" fontId="56" fillId="36" borderId="0" xfId="19" applyNumberFormat="1" applyFont="1" applyFill="1"/>
    <xf numFmtId="167" fontId="56" fillId="36" borderId="0" xfId="19" quotePrefix="1" applyNumberFormat="1" applyFont="1" applyFill="1" applyAlignment="1">
      <alignment vertical="center"/>
    </xf>
    <xf numFmtId="0" fontId="56" fillId="36" borderId="0" xfId="19" applyNumberFormat="1" applyFont="1" applyFill="1"/>
    <xf numFmtId="0" fontId="57" fillId="0" borderId="0" xfId="19" quotePrefix="1" applyNumberFormat="1" applyFont="1" applyAlignment="1">
      <alignment horizontal="center"/>
    </xf>
    <xf numFmtId="167" fontId="56" fillId="0" borderId="0" xfId="19" applyNumberFormat="1" applyFont="1" applyFill="1" applyAlignment="1">
      <alignment horizontal="right"/>
    </xf>
    <xf numFmtId="0" fontId="56" fillId="0" borderId="0" xfId="19" applyNumberFormat="1" applyFont="1" applyFill="1"/>
    <xf numFmtId="167" fontId="169" fillId="0" borderId="0" xfId="19" applyNumberFormat="1" applyFont="1" applyFill="1"/>
    <xf numFmtId="0" fontId="169" fillId="0" borderId="0" xfId="19" applyNumberFormat="1" applyFont="1" applyFill="1"/>
    <xf numFmtId="41" fontId="56" fillId="0" borderId="0" xfId="0" applyNumberFormat="1" applyFont="1"/>
    <xf numFmtId="167" fontId="170" fillId="0" borderId="0" xfId="19" applyNumberFormat="1" applyFont="1" applyFill="1"/>
    <xf numFmtId="41" fontId="56" fillId="36" borderId="9" xfId="0" applyNumberFormat="1" applyFont="1" applyFill="1" applyBorder="1"/>
    <xf numFmtId="167" fontId="57" fillId="0" borderId="0" xfId="19" applyNumberFormat="1" applyFont="1" applyFill="1"/>
    <xf numFmtId="0" fontId="57" fillId="0" borderId="0" xfId="19" applyNumberFormat="1" applyFont="1" applyFill="1"/>
    <xf numFmtId="167" fontId="55" fillId="0" borderId="0" xfId="19" applyNumberFormat="1" applyFont="1" applyFill="1"/>
    <xf numFmtId="0" fontId="55" fillId="0" borderId="0" xfId="19" applyNumberFormat="1" applyFont="1" applyFill="1"/>
    <xf numFmtId="167" fontId="57" fillId="0" borderId="0" xfId="19" applyNumberFormat="1" applyFont="1"/>
    <xf numFmtId="41" fontId="56" fillId="0" borderId="0" xfId="53892" applyFont="1"/>
    <xf numFmtId="167" fontId="55" fillId="0" borderId="0" xfId="19" applyNumberFormat="1" applyFont="1"/>
    <xf numFmtId="167" fontId="56" fillId="0" borderId="0" xfId="19" applyNumberFormat="1" applyFont="1" applyBorder="1"/>
    <xf numFmtId="167" fontId="28" fillId="0" borderId="0" xfId="19" applyNumberFormat="1" applyFont="1"/>
    <xf numFmtId="167" fontId="171" fillId="0" borderId="0" xfId="19" applyNumberFormat="1" applyFont="1"/>
    <xf numFmtId="167" fontId="24" fillId="0" borderId="0" xfId="19" applyNumberFormat="1" applyFont="1" applyAlignment="1">
      <alignment horizontal="left" indent="1"/>
    </xf>
    <xf numFmtId="167" fontId="56" fillId="0" borderId="0" xfId="19" applyNumberFormat="1" applyFont="1" applyAlignment="1">
      <alignment horizontal="left" indent="1"/>
    </xf>
    <xf numFmtId="167" fontId="56" fillId="0" borderId="0" xfId="19" applyNumberFormat="1" applyFont="1" applyAlignment="1">
      <alignment horizontal="right"/>
    </xf>
    <xf numFmtId="167" fontId="56" fillId="36" borderId="0" xfId="19" quotePrefix="1" applyNumberFormat="1" applyFont="1" applyFill="1" applyAlignment="1">
      <alignment horizontal="right"/>
    </xf>
    <xf numFmtId="181" fontId="56" fillId="36" borderId="0" xfId="19" applyNumberFormat="1" applyFont="1" applyFill="1" applyAlignment="1">
      <alignment horizontal="right"/>
    </xf>
    <xf numFmtId="167" fontId="57" fillId="0" borderId="0" xfId="19" quotePrefix="1" applyNumberFormat="1" applyFont="1" applyBorder="1" applyAlignment="1">
      <alignment horizontal="center"/>
    </xf>
    <xf numFmtId="167" fontId="57" fillId="36" borderId="0" xfId="19" quotePrefix="1" applyNumberFormat="1" applyFont="1" applyFill="1" applyAlignment="1">
      <alignment horizontal="center"/>
    </xf>
    <xf numFmtId="167" fontId="57" fillId="0" borderId="0" xfId="19" applyNumberFormat="1" applyFont="1" applyAlignment="1">
      <alignment horizontal="right"/>
    </xf>
    <xf numFmtId="10" fontId="56" fillId="36" borderId="0" xfId="19" applyNumberFormat="1" applyFont="1" applyFill="1" applyAlignment="1">
      <alignment horizontal="center"/>
    </xf>
    <xf numFmtId="167" fontId="57" fillId="0" borderId="64" xfId="19" applyNumberFormat="1" applyFont="1" applyBorder="1" applyAlignment="1">
      <alignment horizontal="center"/>
    </xf>
    <xf numFmtId="167" fontId="57" fillId="0" borderId="38" xfId="19" applyNumberFormat="1" applyFont="1" applyBorder="1" applyAlignment="1">
      <alignment horizontal="center"/>
    </xf>
    <xf numFmtId="167" fontId="57" fillId="0" borderId="59" xfId="19" quotePrefix="1" applyNumberFormat="1" applyFont="1" applyBorder="1" applyAlignment="1">
      <alignment horizontal="center"/>
    </xf>
    <xf numFmtId="167" fontId="57" fillId="0" borderId="38" xfId="19" quotePrefix="1" applyNumberFormat="1" applyFont="1" applyBorder="1" applyAlignment="1">
      <alignment horizontal="center"/>
    </xf>
    <xf numFmtId="167" fontId="57" fillId="0" borderId="59" xfId="19" applyNumberFormat="1" applyFont="1" applyFill="1" applyBorder="1" applyAlignment="1">
      <alignment horizontal="center" wrapText="1"/>
    </xf>
    <xf numFmtId="41" fontId="56" fillId="36" borderId="0" xfId="53892" applyFont="1" applyFill="1"/>
    <xf numFmtId="167" fontId="58" fillId="0" borderId="0" xfId="19" applyNumberFormat="1" applyFont="1" applyFill="1"/>
    <xf numFmtId="167" fontId="56" fillId="0" borderId="0" xfId="19" applyNumberFormat="1" applyFont="1" applyFill="1" applyAlignment="1">
      <alignment horizontal="left" indent="1"/>
    </xf>
    <xf numFmtId="167" fontId="25" fillId="0" borderId="0" xfId="19" quotePrefix="1" applyNumberFormat="1" applyFont="1"/>
    <xf numFmtId="0" fontId="57" fillId="0" borderId="0" xfId="0" applyFont="1" applyAlignment="1">
      <alignment horizontal="right"/>
    </xf>
    <xf numFmtId="5" fontId="56" fillId="0" borderId="0" xfId="19" applyNumberFormat="1" applyFont="1" applyFill="1"/>
    <xf numFmtId="5" fontId="56" fillId="0" borderId="60" xfId="19" applyNumberFormat="1" applyFont="1" applyFill="1" applyBorder="1"/>
    <xf numFmtId="5" fontId="56" fillId="0" borderId="9" xfId="53892" applyNumberFormat="1" applyFont="1" applyFill="1" applyBorder="1"/>
    <xf numFmtId="5" fontId="56" fillId="0" borderId="9" xfId="19" applyNumberFormat="1" applyFont="1" applyFill="1" applyBorder="1"/>
    <xf numFmtId="5" fontId="56" fillId="0" borderId="13" xfId="0" applyNumberFormat="1" applyFont="1" applyBorder="1"/>
    <xf numFmtId="5" fontId="56" fillId="0" borderId="0" xfId="19" applyNumberFormat="1" applyFont="1"/>
    <xf numFmtId="5" fontId="56" fillId="0" borderId="13" xfId="53892" applyNumberFormat="1" applyFont="1" applyBorder="1"/>
    <xf numFmtId="5" fontId="56" fillId="0" borderId="13" xfId="53892" applyNumberFormat="1" applyFont="1" applyFill="1" applyBorder="1"/>
    <xf numFmtId="5" fontId="56" fillId="0" borderId="13" xfId="19" applyNumberFormat="1" applyFont="1" applyBorder="1"/>
    <xf numFmtId="5" fontId="56" fillId="0" borderId="60" xfId="19" applyNumberFormat="1" applyFont="1" applyBorder="1"/>
    <xf numFmtId="164" fontId="56" fillId="0" borderId="9" xfId="19" applyNumberFormat="1" applyFont="1" applyFill="1" applyBorder="1"/>
    <xf numFmtId="164" fontId="56" fillId="0" borderId="9" xfId="0" applyNumberFormat="1" applyFont="1" applyBorder="1"/>
    <xf numFmtId="0" fontId="24" fillId="0" borderId="3" xfId="126" applyBorder="1" applyAlignment="1">
      <alignment horizontal="center" wrapText="1"/>
    </xf>
    <xf numFmtId="0" fontId="24" fillId="0" borderId="3" xfId="126" applyBorder="1" applyAlignment="1">
      <alignment wrapText="1"/>
    </xf>
    <xf numFmtId="0" fontId="24" fillId="0" borderId="3" xfId="0" applyFont="1" applyBorder="1" applyAlignment="1">
      <alignment horizontal="left" vertical="center" wrapText="1"/>
    </xf>
    <xf numFmtId="0" fontId="24" fillId="0" borderId="3" xfId="0" applyFont="1" applyBorder="1" applyAlignment="1">
      <alignment vertical="center" wrapText="1"/>
    </xf>
    <xf numFmtId="0" fontId="24" fillId="0" borderId="0" xfId="0" applyFont="1" applyAlignment="1">
      <alignment vertical="center" wrapText="1"/>
    </xf>
    <xf numFmtId="0" fontId="24" fillId="36" borderId="3" xfId="0" applyFont="1" applyFill="1" applyBorder="1" applyAlignment="1">
      <alignment horizontal="center" vertical="center" wrapText="1"/>
    </xf>
    <xf numFmtId="0" fontId="24" fillId="0" borderId="4" xfId="0" applyFont="1" applyBorder="1" applyAlignment="1">
      <alignment vertical="center" wrapText="1"/>
    </xf>
    <xf numFmtId="0" fontId="28" fillId="0" borderId="0" xfId="0" applyFont="1" applyAlignment="1">
      <alignment horizontal="center" vertical="center" wrapText="1"/>
    </xf>
    <xf numFmtId="0" fontId="25" fillId="0" borderId="0" xfId="0" applyFont="1" applyAlignment="1">
      <alignment horizontal="center" vertical="center" wrapText="1"/>
    </xf>
    <xf numFmtId="0" fontId="172" fillId="36" borderId="0" xfId="0" applyFont="1" applyFill="1" applyAlignment="1">
      <alignment horizontal="center"/>
    </xf>
    <xf numFmtId="0" fontId="67" fillId="36" borderId="0" xfId="0" applyFont="1" applyFill="1" applyAlignment="1">
      <alignment vertical="center"/>
    </xf>
    <xf numFmtId="10" fontId="24" fillId="36" borderId="0" xfId="131" quotePrefix="1" applyNumberFormat="1" applyFont="1" applyFill="1"/>
    <xf numFmtId="10" fontId="24" fillId="36" borderId="0" xfId="131" quotePrefix="1" applyNumberFormat="1" applyFont="1" applyFill="1" applyAlignment="1">
      <alignment horizontal="left"/>
    </xf>
    <xf numFmtId="168" fontId="24" fillId="36" borderId="0" xfId="131" quotePrefix="1" applyNumberFormat="1" applyFont="1" applyFill="1" applyAlignment="1">
      <alignment horizontal="left"/>
    </xf>
    <xf numFmtId="0" fontId="24" fillId="36" borderId="0" xfId="131" applyFont="1" applyFill="1"/>
    <xf numFmtId="0" fontId="24" fillId="36" borderId="3" xfId="22" applyNumberFormat="1" applyFont="1" applyFill="1" applyBorder="1" applyAlignment="1">
      <alignment horizontal="left"/>
    </xf>
    <xf numFmtId="39" fontId="25" fillId="0" borderId="8" xfId="22" quotePrefix="1" applyNumberFormat="1" applyFont="1" applyBorder="1" applyAlignment="1">
      <alignment horizontal="center"/>
    </xf>
    <xf numFmtId="37" fontId="55" fillId="36" borderId="3" xfId="22" quotePrefix="1" applyNumberFormat="1" applyFont="1" applyFill="1" applyBorder="1" applyAlignment="1">
      <alignment horizontal="center"/>
    </xf>
    <xf numFmtId="0" fontId="55" fillId="36" borderId="3" xfId="0" applyFont="1" applyFill="1" applyBorder="1" applyAlignment="1">
      <alignment horizontal="center"/>
    </xf>
    <xf numFmtId="0" fontId="24" fillId="36" borderId="3" xfId="0" applyFont="1" applyFill="1" applyBorder="1" applyAlignment="1">
      <alignment horizontal="left"/>
    </xf>
    <xf numFmtId="177" fontId="55" fillId="36" borderId="3" xfId="22" applyNumberFormat="1" applyFont="1" applyFill="1" applyBorder="1"/>
    <xf numFmtId="10" fontId="24" fillId="34" borderId="0" xfId="0" applyNumberFormat="1" applyFont="1" applyFill="1"/>
    <xf numFmtId="3" fontId="24" fillId="36" borderId="3" xfId="97" quotePrefix="1" applyNumberFormat="1" applyFont="1" applyFill="1" applyBorder="1" applyAlignment="1">
      <alignment horizontal="center"/>
    </xf>
    <xf numFmtId="3" fontId="24" fillId="36" borderId="3" xfId="0" applyNumberFormat="1" applyFont="1" applyFill="1" applyBorder="1" applyAlignment="1">
      <alignment horizontal="center"/>
    </xf>
    <xf numFmtId="3" fontId="25" fillId="0" borderId="3" xfId="22" quotePrefix="1" applyNumberFormat="1" applyFont="1" applyFill="1" applyBorder="1" applyAlignment="1">
      <alignment horizontal="center"/>
    </xf>
    <xf numFmtId="3" fontId="25" fillId="0" borderId="3" xfId="0" applyNumberFormat="1" applyFont="1" applyBorder="1" applyAlignment="1">
      <alignment horizontal="center"/>
    </xf>
    <xf numFmtId="3" fontId="25" fillId="37" borderId="3" xfId="22" quotePrefix="1" applyNumberFormat="1" applyFont="1" applyFill="1" applyBorder="1" applyAlignment="1">
      <alignment horizontal="center"/>
    </xf>
    <xf numFmtId="3" fontId="24" fillId="36" borderId="3" xfId="22" quotePrefix="1" applyNumberFormat="1" applyFont="1" applyFill="1" applyBorder="1" applyAlignment="1">
      <alignment horizontal="center"/>
    </xf>
    <xf numFmtId="3" fontId="24" fillId="0" borderId="3" xfId="22" quotePrefix="1" applyNumberFormat="1" applyFont="1" applyFill="1" applyBorder="1" applyAlignment="1">
      <alignment horizontal="center"/>
    </xf>
    <xf numFmtId="3" fontId="24" fillId="0" borderId="3" xfId="0" applyNumberFormat="1" applyFont="1" applyBorder="1" applyAlignment="1">
      <alignment horizontal="center"/>
    </xf>
    <xf numFmtId="3" fontId="24" fillId="36" borderId="3" xfId="97" applyNumberFormat="1" applyFont="1" applyFill="1" applyBorder="1" applyAlignment="1">
      <alignment horizontal="center"/>
    </xf>
    <xf numFmtId="3" fontId="24" fillId="0" borderId="3" xfId="97" applyNumberFormat="1" applyFont="1" applyFill="1" applyBorder="1" applyAlignment="1">
      <alignment horizontal="center"/>
    </xf>
    <xf numFmtId="3" fontId="24" fillId="0" borderId="3" xfId="97" quotePrefix="1" applyNumberFormat="1" applyFont="1" applyFill="1" applyBorder="1" applyAlignment="1">
      <alignment horizontal="center"/>
    </xf>
    <xf numFmtId="3" fontId="25" fillId="0" borderId="3" xfId="22" applyNumberFormat="1" applyFont="1" applyFill="1" applyBorder="1" applyAlignment="1">
      <alignment horizontal="center"/>
    </xf>
    <xf numFmtId="3" fontId="25" fillId="37" borderId="7" xfId="22" applyNumberFormat="1" applyFont="1" applyFill="1" applyBorder="1" applyAlignment="1">
      <alignment horizontal="center"/>
    </xf>
    <xf numFmtId="3" fontId="25" fillId="0" borderId="0" xfId="22" applyNumberFormat="1" applyFont="1" applyFill="1" applyBorder="1" applyAlignment="1">
      <alignment horizontal="center"/>
    </xf>
    <xf numFmtId="3" fontId="25" fillId="0" borderId="0" xfId="22" applyNumberFormat="1" applyFont="1" applyBorder="1" applyAlignment="1">
      <alignment horizontal="center"/>
    </xf>
    <xf numFmtId="0" fontId="164" fillId="0" borderId="0" xfId="0" applyFont="1"/>
    <xf numFmtId="0" fontId="24" fillId="36" borderId="0" xfId="100" applyFill="1" applyAlignment="1" applyProtection="1">
      <alignment horizontal="left" indent="1"/>
      <protection locked="0"/>
    </xf>
    <xf numFmtId="0" fontId="24" fillId="36" borderId="0" xfId="28" applyFont="1" applyFill="1" applyAlignment="1">
      <alignment horizontal="center"/>
    </xf>
    <xf numFmtId="167" fontId="24" fillId="36" borderId="0" xfId="22" applyNumberFormat="1" applyFont="1" applyFill="1"/>
    <xf numFmtId="10" fontId="56" fillId="36" borderId="0" xfId="0" applyNumberFormat="1" applyFont="1" applyFill="1" applyAlignment="1">
      <alignment horizontal="center"/>
    </xf>
    <xf numFmtId="165" fontId="0" fillId="0" borderId="0" xfId="0" applyNumberFormat="1" applyAlignment="1">
      <alignment horizontal="center"/>
    </xf>
    <xf numFmtId="165" fontId="31" fillId="0" borderId="0" xfId="0" applyNumberFormat="1" applyFont="1" applyAlignment="1">
      <alignment horizontal="center"/>
    </xf>
    <xf numFmtId="164" fontId="31" fillId="36" borderId="0" xfId="0" quotePrefix="1" applyNumberFormat="1" applyFont="1" applyFill="1" applyAlignment="1">
      <alignment horizontal="right"/>
    </xf>
    <xf numFmtId="164" fontId="24" fillId="0" borderId="0" xfId="0" quotePrefix="1" applyNumberFormat="1" applyFont="1" applyAlignment="1">
      <alignment horizontal="right"/>
    </xf>
    <xf numFmtId="164" fontId="31" fillId="0" borderId="0" xfId="0" quotePrefix="1" applyNumberFormat="1" applyFont="1" applyAlignment="1">
      <alignment horizontal="right"/>
    </xf>
    <xf numFmtId="164" fontId="24" fillId="36" borderId="0" xfId="53893" applyNumberFormat="1" applyFont="1" applyFill="1"/>
    <xf numFmtId="0" fontId="28" fillId="36" borderId="0" xfId="0" quotePrefix="1" applyFont="1" applyFill="1" applyAlignment="1">
      <alignment horizontal="center"/>
    </xf>
    <xf numFmtId="0" fontId="24" fillId="36" borderId="0" xfId="0" applyFont="1" applyFill="1" applyAlignment="1">
      <alignment horizontal="right"/>
    </xf>
    <xf numFmtId="0" fontId="24" fillId="36" borderId="3" xfId="0" quotePrefix="1" applyFont="1" applyFill="1" applyBorder="1" applyAlignment="1">
      <alignment horizontal="left"/>
    </xf>
    <xf numFmtId="0" fontId="24" fillId="36" borderId="4" xfId="0" applyFont="1" applyFill="1" applyBorder="1"/>
    <xf numFmtId="0" fontId="24" fillId="36" borderId="3" xfId="0" quotePrefix="1" applyFont="1" applyFill="1" applyBorder="1"/>
    <xf numFmtId="0" fontId="24" fillId="36" borderId="3" xfId="97" applyNumberFormat="1" applyFont="1" applyFill="1" applyBorder="1" applyAlignment="1">
      <alignment horizontal="left"/>
    </xf>
    <xf numFmtId="0" fontId="56" fillId="36" borderId="0" xfId="0" applyFont="1" applyFill="1" applyAlignment="1">
      <alignment horizontal="left"/>
    </xf>
    <xf numFmtId="164" fontId="24" fillId="36" borderId="0" xfId="96" applyNumberFormat="1" applyFont="1" applyFill="1" applyBorder="1" applyAlignment="1">
      <alignment horizontal="right"/>
    </xf>
    <xf numFmtId="10" fontId="56" fillId="36" borderId="0" xfId="100" applyNumberFormat="1" applyFont="1" applyFill="1"/>
    <xf numFmtId="164" fontId="56" fillId="36" borderId="0" xfId="0" applyNumberFormat="1" applyFont="1" applyFill="1" applyAlignment="1">
      <alignment wrapText="1"/>
    </xf>
    <xf numFmtId="164" fontId="56" fillId="36" borderId="0" xfId="19" applyNumberFormat="1" applyFont="1" applyFill="1" applyBorder="1"/>
    <xf numFmtId="37" fontId="55" fillId="36" borderId="3" xfId="97" quotePrefix="1" applyNumberFormat="1" applyFont="1" applyFill="1" applyBorder="1" applyAlignment="1">
      <alignment horizontal="center"/>
    </xf>
    <xf numFmtId="37" fontId="55" fillId="36" borderId="3" xfId="0" applyNumberFormat="1" applyFont="1" applyFill="1" applyBorder="1" applyAlignment="1">
      <alignment horizontal="center"/>
    </xf>
    <xf numFmtId="39" fontId="24" fillId="0" borderId="0" xfId="97" applyNumberFormat="1" applyFont="1" applyFill="1" applyBorder="1" applyAlignment="1">
      <alignment horizontal="right"/>
    </xf>
    <xf numFmtId="37" fontId="56" fillId="36" borderId="3" xfId="97" quotePrefix="1" applyNumberFormat="1" applyFont="1" applyFill="1" applyBorder="1" applyAlignment="1">
      <alignment horizontal="center"/>
    </xf>
    <xf numFmtId="0" fontId="57" fillId="36" borderId="0" xfId="0" applyFont="1" applyFill="1" applyAlignment="1">
      <alignment horizontal="center"/>
    </xf>
    <xf numFmtId="0" fontId="25" fillId="36" borderId="0" xfId="34" applyFont="1" applyFill="1" applyAlignment="1">
      <alignment horizontal="center"/>
    </xf>
    <xf numFmtId="10" fontId="24" fillId="0" borderId="0" xfId="0" applyNumberFormat="1" applyFont="1" applyAlignment="1">
      <alignment horizontal="left" indent="1"/>
    </xf>
    <xf numFmtId="0" fontId="24" fillId="36" borderId="0" xfId="28" applyFont="1" applyFill="1" applyAlignment="1">
      <alignment horizontal="left"/>
    </xf>
    <xf numFmtId="5" fontId="24" fillId="0" borderId="0" xfId="0" quotePrefix="1" applyNumberFormat="1" applyFont="1" applyAlignment="1">
      <alignment horizontal="right"/>
    </xf>
    <xf numFmtId="5" fontId="31" fillId="0" borderId="0" xfId="0" quotePrefix="1" applyNumberFormat="1" applyFont="1" applyAlignment="1">
      <alignment horizontal="right"/>
    </xf>
    <xf numFmtId="167" fontId="24" fillId="0" borderId="0" xfId="97" applyNumberFormat="1" applyFont="1" applyFill="1"/>
    <xf numFmtId="167" fontId="24" fillId="0" borderId="0" xfId="97" applyNumberFormat="1" applyFont="1"/>
    <xf numFmtId="0" fontId="165" fillId="0" borderId="0" xfId="100" applyFont="1" applyAlignment="1">
      <alignment horizontal="center"/>
    </xf>
    <xf numFmtId="0" fontId="55" fillId="0" borderId="0" xfId="0" quotePrefix="1" applyFont="1"/>
    <xf numFmtId="164" fontId="55" fillId="0" borderId="0" xfId="0" applyNumberFormat="1" applyFont="1"/>
    <xf numFmtId="39" fontId="24" fillId="0" borderId="0" xfId="97" applyNumberFormat="1" applyFont="1" applyBorder="1" applyAlignment="1">
      <alignment horizontal="center"/>
    </xf>
    <xf numFmtId="0" fontId="60" fillId="0" borderId="0" xfId="28" applyFont="1"/>
    <xf numFmtId="167" fontId="55" fillId="0" borderId="0" xfId="28" applyNumberFormat="1" applyFont="1"/>
    <xf numFmtId="0" fontId="60" fillId="0" borderId="0" xfId="39" applyNumberFormat="1" applyFont="1" applyFill="1" applyBorder="1" applyAlignment="1">
      <alignment horizontal="center" wrapText="1"/>
    </xf>
    <xf numFmtId="167" fontId="55" fillId="0" borderId="0" xfId="22" applyNumberFormat="1" applyFont="1" applyBorder="1"/>
    <xf numFmtId="167" fontId="55" fillId="0" borderId="0" xfId="22" applyNumberFormat="1" applyFont="1" applyFill="1" applyBorder="1"/>
    <xf numFmtId="0" fontId="55" fillId="0" borderId="0" xfId="28" applyFont="1"/>
    <xf numFmtId="0" fontId="55" fillId="0" borderId="0" xfId="0" applyFont="1" applyAlignment="1">
      <alignment horizontal="left" indent="3"/>
    </xf>
    <xf numFmtId="0" fontId="25" fillId="0" borderId="6" xfId="28" applyFont="1" applyBorder="1"/>
    <xf numFmtId="0" fontId="25" fillId="0" borderId="9" xfId="0" applyFont="1" applyBorder="1" applyAlignment="1">
      <alignment horizontal="center"/>
    </xf>
    <xf numFmtId="0" fontId="25" fillId="0" borderId="4" xfId="0" applyFont="1" applyBorder="1"/>
    <xf numFmtId="167" fontId="24" fillId="0" borderId="4" xfId="28" applyNumberFormat="1" applyFont="1" applyBorder="1"/>
    <xf numFmtId="0" fontId="55" fillId="0" borderId="0" xfId="0" applyFont="1" applyAlignment="1">
      <alignment horizontal="left"/>
    </xf>
    <xf numFmtId="164" fontId="24" fillId="0" borderId="8" xfId="28" applyNumberFormat="1" applyFont="1" applyBorder="1"/>
    <xf numFmtId="0" fontId="55" fillId="0" borderId="0" xfId="0" applyFont="1" applyAlignment="1">
      <alignment horizontal="center"/>
    </xf>
    <xf numFmtId="164" fontId="72" fillId="0" borderId="0" xfId="0" applyNumberFormat="1" applyFont="1"/>
    <xf numFmtId="0" fontId="55" fillId="0" borderId="0" xfId="0" quotePrefix="1" applyFont="1" applyAlignment="1">
      <alignment horizontal="center"/>
    </xf>
    <xf numFmtId="167" fontId="25" fillId="0" borderId="0" xfId="97" applyNumberFormat="1" applyFont="1" applyFill="1"/>
    <xf numFmtId="3" fontId="55" fillId="0" borderId="0" xfId="0" applyNumberFormat="1" applyFont="1"/>
    <xf numFmtId="167" fontId="173" fillId="0" borderId="0" xfId="28" applyNumberFormat="1" applyFont="1"/>
    <xf numFmtId="0" fontId="173" fillId="0" borderId="0" xfId="0" applyFont="1"/>
    <xf numFmtId="0" fontId="160" fillId="0" borderId="0" xfId="0" applyFont="1"/>
    <xf numFmtId="39" fontId="173" fillId="0" borderId="0" xfId="97" applyNumberFormat="1" applyFont="1" applyBorder="1" applyAlignment="1">
      <alignment horizontal="center"/>
    </xf>
    <xf numFmtId="0" fontId="173" fillId="0" borderId="0" xfId="0" applyFont="1" applyAlignment="1">
      <alignment horizontal="center"/>
    </xf>
    <xf numFmtId="164" fontId="173" fillId="0" borderId="0" xfId="0" applyNumberFormat="1" applyFont="1"/>
    <xf numFmtId="39" fontId="60" fillId="36" borderId="3" xfId="22" quotePrefix="1" applyNumberFormat="1" applyFont="1" applyFill="1" applyBorder="1" applyAlignment="1">
      <alignment horizontal="center"/>
    </xf>
    <xf numFmtId="37" fontId="60" fillId="36" borderId="3" xfId="22" quotePrefix="1" applyNumberFormat="1" applyFont="1" applyFill="1" applyBorder="1" applyAlignment="1">
      <alignment horizontal="center"/>
    </xf>
    <xf numFmtId="37" fontId="60" fillId="0" borderId="0" xfId="22" quotePrefix="1" applyNumberFormat="1" applyFont="1" applyFill="1" applyBorder="1" applyAlignment="1">
      <alignment horizontal="center"/>
    </xf>
    <xf numFmtId="39" fontId="60" fillId="0" borderId="0" xfId="22" quotePrefix="1" applyNumberFormat="1" applyFont="1" applyFill="1" applyBorder="1" applyAlignment="1">
      <alignment horizontal="center"/>
    </xf>
    <xf numFmtId="0" fontId="0" fillId="0" borderId="0" xfId="0" applyAlignment="1">
      <alignment wrapText="1"/>
    </xf>
    <xf numFmtId="3" fontId="25" fillId="0" borderId="0" xfId="97" applyNumberFormat="1" applyFont="1" applyFill="1" applyBorder="1" applyAlignment="1">
      <alignment horizontal="center"/>
    </xf>
    <xf numFmtId="39" fontId="55" fillId="0" borderId="0" xfId="22" applyNumberFormat="1" applyFont="1" applyBorder="1" applyAlignment="1">
      <alignment horizontal="center"/>
    </xf>
    <xf numFmtId="39" fontId="55" fillId="0" borderId="0" xfId="22" applyNumberFormat="1" applyFont="1" applyFill="1" applyBorder="1" applyAlignment="1">
      <alignment horizontal="center"/>
    </xf>
    <xf numFmtId="176" fontId="55" fillId="0" borderId="0" xfId="22" applyFont="1" applyBorder="1" applyAlignment="1">
      <alignment horizontal="center"/>
    </xf>
    <xf numFmtId="39" fontId="60" fillId="37" borderId="3" xfId="22" applyNumberFormat="1" applyFont="1" applyFill="1" applyBorder="1" applyAlignment="1">
      <alignment horizontal="center"/>
    </xf>
    <xf numFmtId="3" fontId="60" fillId="0" borderId="0" xfId="22" applyNumberFormat="1" applyFont="1" applyFill="1" applyBorder="1" applyAlignment="1">
      <alignment horizontal="center"/>
    </xf>
    <xf numFmtId="3" fontId="60" fillId="0" borderId="0" xfId="22" applyNumberFormat="1" applyFont="1" applyBorder="1" applyAlignment="1">
      <alignment horizontal="center"/>
    </xf>
    <xf numFmtId="39" fontId="60" fillId="0" borderId="0" xfId="22" applyNumberFormat="1" applyFont="1" applyFill="1" applyBorder="1" applyAlignment="1">
      <alignment horizontal="center"/>
    </xf>
    <xf numFmtId="39" fontId="60" fillId="0" borderId="0" xfId="22" applyNumberFormat="1" applyFont="1" applyBorder="1" applyAlignment="1">
      <alignment horizontal="center"/>
    </xf>
    <xf numFmtId="3" fontId="60" fillId="37" borderId="3" xfId="22" applyNumberFormat="1" applyFont="1" applyFill="1" applyBorder="1" applyAlignment="1">
      <alignment horizontal="center"/>
    </xf>
    <xf numFmtId="0" fontId="55" fillId="36" borderId="3" xfId="0" quotePrefix="1" applyFont="1" applyFill="1" applyBorder="1" applyAlignment="1">
      <alignment horizontal="center"/>
    </xf>
    <xf numFmtId="0" fontId="55" fillId="36" borderId="3" xfId="0" quotePrefix="1" applyFont="1" applyFill="1" applyBorder="1"/>
    <xf numFmtId="0" fontId="165" fillId="0" borderId="0" xfId="100" applyFont="1"/>
    <xf numFmtId="167" fontId="165" fillId="0" borderId="0" xfId="97" applyNumberFormat="1" applyFont="1" applyFill="1" applyAlignment="1">
      <alignment horizontal="center"/>
    </xf>
    <xf numFmtId="168" fontId="24" fillId="0" borderId="0" xfId="0" applyNumberFormat="1" applyFont="1" applyAlignment="1">
      <alignment horizontal="right"/>
    </xf>
    <xf numFmtId="172" fontId="24" fillId="0" borderId="0" xfId="0" applyNumberFormat="1" applyFont="1" applyAlignment="1">
      <alignment horizontal="right"/>
    </xf>
    <xf numFmtId="168" fontId="24" fillId="0" borderId="0" xfId="0" applyNumberFormat="1" applyFont="1"/>
    <xf numFmtId="165" fontId="24" fillId="0" borderId="0" xfId="0" applyNumberFormat="1" applyFont="1" applyAlignment="1">
      <alignment horizontal="left" indent="1"/>
    </xf>
    <xf numFmtId="164" fontId="24" fillId="0" borderId="60" xfId="0" applyNumberFormat="1" applyFont="1" applyBorder="1"/>
    <xf numFmtId="167" fontId="24" fillId="0" borderId="0" xfId="19" applyNumberFormat="1" applyFont="1" applyBorder="1"/>
    <xf numFmtId="171" fontId="24" fillId="0" borderId="0" xfId="37" applyNumberFormat="1" applyFont="1" applyBorder="1" applyAlignment="1">
      <alignment horizontal="left" indent="3"/>
    </xf>
    <xf numFmtId="10" fontId="24" fillId="0" borderId="0" xfId="37" applyNumberFormat="1" applyFont="1" applyBorder="1" applyAlignment="1">
      <alignment horizontal="center"/>
    </xf>
    <xf numFmtId="164" fontId="24" fillId="0" borderId="0" xfId="19" applyNumberFormat="1" applyFont="1" applyBorder="1"/>
    <xf numFmtId="41" fontId="24" fillId="0" borderId="0" xfId="19" applyNumberFormat="1" applyFont="1" applyBorder="1"/>
    <xf numFmtId="10" fontId="24" fillId="0" borderId="0" xfId="37" applyNumberFormat="1" applyFont="1" applyFill="1" applyBorder="1" applyAlignment="1">
      <alignment horizontal="center"/>
    </xf>
    <xf numFmtId="164" fontId="24" fillId="0" borderId="0" xfId="19" applyNumberFormat="1" applyFont="1" applyBorder="1" applyAlignment="1">
      <alignment horizontal="left" indent="1"/>
    </xf>
    <xf numFmtId="164" fontId="24" fillId="0" borderId="60" xfId="96" applyNumberFormat="1" applyFont="1" applyBorder="1"/>
    <xf numFmtId="164" fontId="24" fillId="0" borderId="60" xfId="96" applyNumberFormat="1" applyFont="1" applyFill="1" applyBorder="1"/>
    <xf numFmtId="164" fontId="24" fillId="36" borderId="8" xfId="0" applyNumberFormat="1" applyFont="1" applyFill="1" applyBorder="1"/>
    <xf numFmtId="164" fontId="24" fillId="0" borderId="0" xfId="20" applyNumberFormat="1" applyFont="1" applyFill="1" applyBorder="1" applyAlignment="1">
      <alignment horizontal="right"/>
    </xf>
    <xf numFmtId="167" fontId="24" fillId="0" borderId="0" xfId="20" applyNumberFormat="1" applyFont="1" applyFill="1" applyBorder="1" applyAlignment="1">
      <alignment horizontal="right"/>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39" fontId="24" fillId="0" borderId="3" xfId="22" applyNumberFormat="1" applyFont="1" applyBorder="1" applyAlignment="1">
      <alignment horizontal="center" wrapText="1"/>
    </xf>
    <xf numFmtId="37" fontId="24" fillId="0" borderId="3" xfId="22" quotePrefix="1" applyNumberFormat="1" applyFont="1" applyFill="1" applyBorder="1" applyAlignment="1">
      <alignment horizontal="center"/>
    </xf>
    <xf numFmtId="39" fontId="24" fillId="0"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9" fontId="24" fillId="36" borderId="3" xfId="22" quotePrefix="1" applyNumberFormat="1" applyFont="1" applyFill="1" applyBorder="1" applyAlignment="1">
      <alignment horizontal="center"/>
    </xf>
    <xf numFmtId="3" fontId="24" fillId="0" borderId="3" xfId="22" applyNumberFormat="1" applyFont="1" applyFill="1" applyBorder="1" applyAlignment="1">
      <alignment horizontal="center"/>
    </xf>
    <xf numFmtId="37" fontId="24" fillId="0" borderId="0" xfId="0" applyNumberFormat="1" applyFont="1" applyAlignment="1">
      <alignment horizontal="center"/>
    </xf>
    <xf numFmtId="37" fontId="24" fillId="0" borderId="3" xfId="22" applyNumberFormat="1" applyFont="1" applyFill="1" applyBorder="1" applyAlignment="1">
      <alignment horizontal="center"/>
    </xf>
    <xf numFmtId="37" fontId="24" fillId="36" borderId="3" xfId="22" applyNumberFormat="1" applyFont="1" applyFill="1" applyBorder="1" applyAlignment="1">
      <alignment horizontal="center"/>
    </xf>
    <xf numFmtId="39" fontId="24" fillId="0" borderId="0" xfId="22" applyNumberFormat="1" applyFont="1" applyBorder="1" applyAlignment="1">
      <alignment horizontal="center"/>
    </xf>
    <xf numFmtId="39" fontId="24" fillId="0" borderId="0" xfId="22" applyNumberFormat="1" applyFont="1" applyFill="1" applyBorder="1" applyAlignment="1">
      <alignment horizontal="center"/>
    </xf>
    <xf numFmtId="176" fontId="24" fillId="0" borderId="0" xfId="22" applyFont="1" applyBorder="1" applyAlignment="1">
      <alignment horizontal="center"/>
    </xf>
    <xf numFmtId="0" fontId="24" fillId="36" borderId="6"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39" fontId="24" fillId="0" borderId="0" xfId="22" quotePrefix="1" applyNumberFormat="1" applyFont="1" applyBorder="1" applyAlignment="1">
      <alignment horizontal="center"/>
    </xf>
    <xf numFmtId="39" fontId="24" fillId="0" borderId="0" xfId="22" quotePrefix="1" applyNumberFormat="1" applyFont="1" applyFill="1" applyBorder="1" applyAlignment="1">
      <alignment horizontal="center"/>
    </xf>
    <xf numFmtId="0" fontId="24" fillId="37" borderId="3" xfId="0" quotePrefix="1" applyFont="1" applyFill="1" applyBorder="1"/>
    <xf numFmtId="39" fontId="24" fillId="0" borderId="3" xfId="22" applyNumberFormat="1" applyFont="1" applyBorder="1" applyAlignment="1">
      <alignment horizontal="right"/>
    </xf>
    <xf numFmtId="49" fontId="24" fillId="0" borderId="0" xfId="22" applyNumberFormat="1" applyFont="1" applyBorder="1" applyAlignment="1">
      <alignment horizontal="left"/>
    </xf>
    <xf numFmtId="39" fontId="24" fillId="0" borderId="3" xfId="22" quotePrefix="1" applyNumberFormat="1" applyFont="1" applyBorder="1" applyAlignment="1">
      <alignment horizontal="center"/>
    </xf>
    <xf numFmtId="49" fontId="24" fillId="0" borderId="0" xfId="22" quotePrefix="1" applyNumberFormat="1" applyFont="1" applyFill="1" applyBorder="1" applyAlignment="1">
      <alignment horizontal="left"/>
    </xf>
    <xf numFmtId="49" fontId="24" fillId="0" borderId="0" xfId="0" applyNumberFormat="1" applyFont="1" applyAlignment="1">
      <alignment horizontal="left"/>
    </xf>
    <xf numFmtId="10" fontId="24" fillId="0" borderId="3" xfId="38" applyNumberFormat="1" applyFont="1" applyFill="1" applyBorder="1" applyAlignment="1">
      <alignment horizontal="center"/>
    </xf>
    <xf numFmtId="176" fontId="24" fillId="0" borderId="0" xfId="22" applyFont="1" applyFill="1" applyBorder="1" applyAlignment="1">
      <alignment horizontal="center"/>
    </xf>
    <xf numFmtId="39" fontId="24" fillId="0" borderId="0" xfId="19" applyNumberFormat="1" applyFont="1" applyFill="1" applyBorder="1" applyAlignment="1">
      <alignment horizontal="center"/>
    </xf>
    <xf numFmtId="39" fontId="24" fillId="0" borderId="0" xfId="19" applyNumberFormat="1" applyFont="1" applyBorder="1" applyAlignment="1">
      <alignment horizontal="center"/>
    </xf>
    <xf numFmtId="164" fontId="24" fillId="0" borderId="0" xfId="19" applyNumberFormat="1" applyFont="1" applyBorder="1" applyAlignment="1">
      <alignment horizontal="center"/>
    </xf>
    <xf numFmtId="164" fontId="24" fillId="0" borderId="0" xfId="19" applyNumberFormat="1" applyFont="1" applyBorder="1" applyAlignment="1">
      <alignment horizontal="right"/>
    </xf>
    <xf numFmtId="39" fontId="24" fillId="36" borderId="0" xfId="22" applyNumberFormat="1" applyFont="1" applyFill="1" applyBorder="1" applyAlignment="1">
      <alignment horizontal="center"/>
    </xf>
    <xf numFmtId="164" fontId="24" fillId="0" borderId="0" xfId="0" applyNumberFormat="1" applyFont="1" applyAlignment="1">
      <alignment horizontal="right" indent="1"/>
    </xf>
    <xf numFmtId="164" fontId="24" fillId="0" borderId="0" xfId="20" applyNumberFormat="1" applyFont="1" applyFill="1"/>
    <xf numFmtId="41" fontId="24" fillId="0" borderId="0" xfId="20" applyNumberFormat="1" applyFont="1" applyFill="1"/>
    <xf numFmtId="41" fontId="24" fillId="0" borderId="0" xfId="20" applyNumberFormat="1" applyFont="1"/>
    <xf numFmtId="41" fontId="24" fillId="0" borderId="0" xfId="20" applyNumberFormat="1" applyFont="1" applyAlignment="1" applyProtection="1">
      <alignment horizontal="right" indent="2"/>
    </xf>
    <xf numFmtId="42" fontId="24" fillId="0" borderId="0" xfId="20" applyNumberFormat="1" applyFont="1" applyFill="1" applyBorder="1"/>
    <xf numFmtId="42" fontId="24" fillId="0" borderId="0" xfId="20" applyNumberFormat="1" applyFont="1" applyBorder="1"/>
    <xf numFmtId="164" fontId="24" fillId="0" borderId="0" xfId="20" applyNumberFormat="1" applyFont="1" applyFill="1" applyBorder="1"/>
    <xf numFmtId="164" fontId="24" fillId="0" borderId="0" xfId="20" applyNumberFormat="1" applyFont="1" applyBorder="1"/>
    <xf numFmtId="10" fontId="24" fillId="0" borderId="0" xfId="39" applyNumberFormat="1" applyFont="1" applyFill="1" applyBorder="1" applyAlignment="1">
      <alignment vertical="center"/>
    </xf>
    <xf numFmtId="10" fontId="24" fillId="0" borderId="0" xfId="39" applyNumberFormat="1" applyFont="1" applyFill="1" applyBorder="1"/>
    <xf numFmtId="164" fontId="24" fillId="0" borderId="0" xfId="39" applyNumberFormat="1" applyFont="1" applyFill="1"/>
    <xf numFmtId="42" fontId="24" fillId="0" borderId="0" xfId="20" applyNumberFormat="1" applyFont="1" applyFill="1"/>
    <xf numFmtId="42" fontId="24" fillId="0" borderId="0" xfId="39" applyNumberFormat="1" applyFont="1" applyFill="1"/>
    <xf numFmtId="0" fontId="174" fillId="0" borderId="0" xfId="0" applyFont="1"/>
    <xf numFmtId="164" fontId="31" fillId="0" borderId="0" xfId="0" quotePrefix="1" applyNumberFormat="1" applyFont="1"/>
    <xf numFmtId="0" fontId="25" fillId="0" borderId="59" xfId="19" applyNumberFormat="1" applyFont="1" applyBorder="1" applyAlignment="1">
      <alignment horizontal="center" vertical="center" wrapText="1"/>
    </xf>
    <xf numFmtId="0" fontId="25" fillId="0" borderId="15" xfId="19" applyNumberFormat="1" applyFont="1" applyBorder="1" applyAlignment="1">
      <alignment horizontal="center" vertical="center" wrapText="1"/>
    </xf>
    <xf numFmtId="0" fontId="0" fillId="0" borderId="0" xfId="19" applyNumberFormat="1" applyFont="1"/>
    <xf numFmtId="0" fontId="31" fillId="0" borderId="0" xfId="19" applyNumberFormat="1" applyFont="1"/>
    <xf numFmtId="0" fontId="24" fillId="0" borderId="0" xfId="19" applyNumberFormat="1" applyFont="1" applyBorder="1" applyAlignment="1">
      <alignment horizontal="left" indent="1"/>
    </xf>
    <xf numFmtId="0" fontId="24" fillId="0" borderId="0" xfId="19" applyNumberFormat="1" applyFont="1"/>
    <xf numFmtId="0" fontId="24" fillId="36" borderId="0" xfId="19" applyNumberFormat="1" applyFont="1" applyFill="1"/>
    <xf numFmtId="0" fontId="24" fillId="0" borderId="0" xfId="19" applyNumberFormat="1" applyFont="1" applyBorder="1"/>
    <xf numFmtId="0" fontId="38" fillId="0" borderId="0" xfId="0" applyFont="1"/>
    <xf numFmtId="0" fontId="176" fillId="0" borderId="0" xfId="0" applyFont="1"/>
    <xf numFmtId="5" fontId="56" fillId="0" borderId="0" xfId="19" applyNumberFormat="1" applyFont="1" applyBorder="1"/>
    <xf numFmtId="0" fontId="25" fillId="0" borderId="0" xfId="19" applyNumberFormat="1" applyFont="1" applyAlignment="1">
      <alignment horizontal="center"/>
    </xf>
    <xf numFmtId="167" fontId="24" fillId="0" borderId="0" xfId="19" applyNumberFormat="1" applyFont="1" applyAlignment="1">
      <alignment horizontal="center"/>
    </xf>
    <xf numFmtId="168" fontId="24" fillId="0" borderId="0" xfId="0" quotePrefix="1" applyNumberFormat="1" applyFont="1" applyAlignment="1">
      <alignment horizontal="right"/>
    </xf>
    <xf numFmtId="0" fontId="25" fillId="0" borderId="59" xfId="19" applyNumberFormat="1" applyFont="1" applyFill="1" applyBorder="1" applyAlignment="1">
      <alignment horizontal="center" vertical="center" wrapText="1"/>
    </xf>
    <xf numFmtId="0" fontId="28" fillId="0" borderId="0" xfId="19" applyNumberFormat="1" applyFont="1"/>
    <xf numFmtId="0" fontId="24" fillId="0" borderId="0" xfId="19" applyNumberFormat="1" applyFont="1" applyAlignment="1"/>
    <xf numFmtId="0" fontId="24" fillId="0" borderId="0" xfId="19" applyNumberFormat="1" applyFont="1" applyAlignment="1">
      <alignment horizontal="left" indent="1"/>
    </xf>
    <xf numFmtId="0" fontId="25" fillId="0" borderId="3" xfId="28" applyFont="1" applyBorder="1" applyAlignment="1">
      <alignment horizontal="center" wrapText="1"/>
    </xf>
    <xf numFmtId="164" fontId="24" fillId="0" borderId="0" xfId="28" quotePrefix="1" applyNumberFormat="1" applyFont="1" applyAlignment="1">
      <alignment horizontal="right"/>
    </xf>
    <xf numFmtId="39" fontId="25" fillId="0" borderId="3" xfId="22" quotePrefix="1" applyNumberFormat="1" applyFont="1" applyBorder="1" applyAlignment="1">
      <alignment horizontal="center"/>
    </xf>
    <xf numFmtId="39" fontId="25" fillId="0" borderId="3" xfId="22" quotePrefix="1" applyNumberFormat="1" applyFont="1" applyFill="1" applyBorder="1" applyAlignment="1">
      <alignment horizontal="center"/>
    </xf>
    <xf numFmtId="0" fontId="24" fillId="0" borderId="5" xfId="0" quotePrefix="1" applyFont="1" applyBorder="1" applyAlignment="1">
      <alignment horizontal="center"/>
    </xf>
    <xf numFmtId="3" fontId="25" fillId="36" borderId="5" xfId="97" quotePrefix="1" applyNumberFormat="1" applyFont="1" applyFill="1" applyBorder="1" applyAlignment="1">
      <alignment horizontal="center"/>
    </xf>
    <xf numFmtId="0" fontId="25" fillId="36" borderId="3" xfId="0" applyFont="1" applyFill="1" applyBorder="1" applyAlignment="1">
      <alignment horizontal="center"/>
    </xf>
    <xf numFmtId="0" fontId="24" fillId="36" borderId="0" xfId="100" applyFill="1" applyAlignment="1">
      <alignment horizontal="left" indent="1"/>
    </xf>
    <xf numFmtId="164" fontId="31" fillId="36" borderId="8" xfId="0" applyNumberFormat="1" applyFont="1" applyFill="1" applyBorder="1"/>
    <xf numFmtId="0" fontId="24" fillId="36" borderId="8" xfId="0" applyFont="1" applyFill="1" applyBorder="1"/>
    <xf numFmtId="164" fontId="31" fillId="0" borderId="0" xfId="100" applyNumberFormat="1" applyFont="1" applyAlignment="1">
      <alignment horizontal="right"/>
    </xf>
    <xf numFmtId="0" fontId="31" fillId="0" borderId="0" xfId="100" applyFont="1"/>
    <xf numFmtId="0" fontId="31" fillId="0" borderId="0" xfId="100" applyFont="1" applyAlignment="1">
      <alignment horizontal="left" indent="1"/>
    </xf>
    <xf numFmtId="164" fontId="31" fillId="0" borderId="8" xfId="100" applyNumberFormat="1" applyFont="1" applyBorder="1" applyAlignment="1">
      <alignment horizontal="right"/>
    </xf>
    <xf numFmtId="0" fontId="177" fillId="0" borderId="0" xfId="0" applyFont="1" applyAlignment="1">
      <alignment horizontal="left" indent="1"/>
    </xf>
    <xf numFmtId="0" fontId="177" fillId="0" borderId="0" xfId="0" applyFont="1"/>
    <xf numFmtId="167" fontId="25" fillId="0" borderId="0" xfId="19" applyNumberFormat="1" applyFont="1"/>
    <xf numFmtId="167" fontId="57" fillId="0" borderId="0" xfId="19" applyNumberFormat="1" applyFont="1" applyAlignment="1">
      <alignment horizontal="center"/>
    </xf>
    <xf numFmtId="0" fontId="53" fillId="0" borderId="0" xfId="0" applyFont="1"/>
    <xf numFmtId="164" fontId="24" fillId="0" borderId="8" xfId="100" applyNumberFormat="1" applyBorder="1" applyAlignment="1">
      <alignment horizontal="right"/>
    </xf>
    <xf numFmtId="167" fontId="56" fillId="0" borderId="65" xfId="19" applyNumberFormat="1" applyFont="1" applyBorder="1" applyAlignment="1">
      <alignment horizontal="center"/>
    </xf>
    <xf numFmtId="0" fontId="24" fillId="0" borderId="6" xfId="0" quotePrefix="1" applyFont="1" applyBorder="1" applyAlignment="1">
      <alignment horizontal="left"/>
    </xf>
    <xf numFmtId="0" fontId="56" fillId="0" borderId="3" xfId="0" quotePrefix="1" applyFont="1" applyBorder="1" applyAlignment="1">
      <alignment horizontal="center"/>
    </xf>
    <xf numFmtId="37" fontId="24" fillId="0" borderId="3" xfId="97" applyNumberFormat="1" applyFont="1" applyFill="1" applyBorder="1" applyAlignment="1">
      <alignment horizontal="center"/>
    </xf>
    <xf numFmtId="167" fontId="24" fillId="36" borderId="0" xfId="19" applyNumberFormat="1" applyFont="1" applyFill="1"/>
    <xf numFmtId="0" fontId="178" fillId="36" borderId="0" xfId="0" applyFont="1" applyFill="1" applyAlignment="1">
      <alignment horizontal="center"/>
    </xf>
    <xf numFmtId="2" fontId="27" fillId="34" borderId="0" xfId="35" applyNumberFormat="1" applyFill="1" applyAlignment="1">
      <alignment horizontal="left"/>
    </xf>
    <xf numFmtId="179" fontId="27" fillId="34" borderId="0" xfId="35" quotePrefix="1" applyNumberFormat="1" applyFill="1" applyAlignment="1">
      <alignment horizontal="left"/>
    </xf>
    <xf numFmtId="179" fontId="27" fillId="34" borderId="0" xfId="35" applyNumberFormat="1" applyFill="1" applyAlignment="1">
      <alignment horizontal="left"/>
    </xf>
    <xf numFmtId="179" fontId="27" fillId="36" borderId="0" xfId="35" applyNumberFormat="1" applyFill="1" applyAlignment="1">
      <alignment horizontal="left"/>
    </xf>
    <xf numFmtId="0" fontId="27" fillId="36" borderId="0" xfId="35" applyFill="1" applyAlignment="1">
      <alignment horizontal="left" vertical="top" indent="1"/>
    </xf>
    <xf numFmtId="0" fontId="27" fillId="36" borderId="0" xfId="35" applyFill="1" applyAlignment="1">
      <alignment horizontal="left" vertical="top" indent="2"/>
    </xf>
    <xf numFmtId="179" fontId="27" fillId="36" borderId="0" xfId="35" quotePrefix="1" applyNumberFormat="1" applyFill="1" applyAlignment="1">
      <alignment horizontal="left"/>
    </xf>
    <xf numFmtId="5" fontId="24" fillId="36" borderId="0" xfId="97" applyNumberFormat="1" applyFont="1" applyFill="1" applyBorder="1"/>
    <xf numFmtId="5" fontId="24" fillId="36" borderId="0" xfId="97" applyNumberFormat="1" applyFont="1" applyFill="1" applyBorder="1" applyAlignment="1">
      <alignment horizontal="center"/>
    </xf>
    <xf numFmtId="0" fontId="179" fillId="0" borderId="0" xfId="0" applyFont="1" applyAlignment="1">
      <alignment horizontal="left"/>
    </xf>
    <xf numFmtId="0" fontId="179" fillId="0" borderId="0" xfId="0" applyFont="1"/>
    <xf numFmtId="0" fontId="179" fillId="0" borderId="0" xfId="0" applyFont="1" applyAlignment="1">
      <alignment horizontal="center"/>
    </xf>
    <xf numFmtId="37" fontId="25" fillId="36" borderId="3" xfId="97" applyNumberFormat="1" applyFont="1" applyFill="1" applyBorder="1" applyAlignment="1">
      <alignment horizontal="center"/>
    </xf>
    <xf numFmtId="3" fontId="25" fillId="36" borderId="3" xfId="97" applyNumberFormat="1" applyFont="1" applyFill="1" applyBorder="1" applyAlignment="1">
      <alignment horizontal="center"/>
    </xf>
    <xf numFmtId="167" fontId="24" fillId="36" borderId="0" xfId="19" applyNumberFormat="1" applyFill="1"/>
    <xf numFmtId="167" fontId="56" fillId="0" borderId="0" xfId="19" applyNumberFormat="1" applyFont="1" applyAlignment="1">
      <alignment horizontal="left"/>
    </xf>
    <xf numFmtId="164" fontId="24" fillId="34" borderId="0" xfId="19" applyNumberFormat="1" applyFont="1" applyFill="1"/>
    <xf numFmtId="164" fontId="27" fillId="0" borderId="0" xfId="34" applyNumberFormat="1"/>
    <xf numFmtId="164" fontId="61" fillId="36" borderId="0" xfId="19" applyNumberFormat="1" applyFont="1" applyFill="1" applyBorder="1"/>
    <xf numFmtId="3" fontId="24" fillId="36" borderId="4" xfId="97" quotePrefix="1" applyNumberFormat="1" applyFont="1" applyFill="1" applyBorder="1" applyAlignment="1">
      <alignment horizontal="center"/>
    </xf>
    <xf numFmtId="164" fontId="56" fillId="0" borderId="0" xfId="125" applyNumberFormat="1" applyFont="1"/>
    <xf numFmtId="206" fontId="24" fillId="0" borderId="0" xfId="0" applyNumberFormat="1" applyFont="1"/>
    <xf numFmtId="168" fontId="0" fillId="0" borderId="0" xfId="0" applyNumberFormat="1"/>
    <xf numFmtId="164" fontId="56" fillId="36" borderId="0" xfId="0" applyNumberFormat="1" applyFont="1" applyFill="1" applyAlignment="1">
      <alignment horizontal="right"/>
    </xf>
    <xf numFmtId="164" fontId="38" fillId="0" borderId="0" xfId="0" quotePrefix="1" applyNumberFormat="1" applyFont="1" applyAlignment="1">
      <alignment horizontal="right"/>
    </xf>
    <xf numFmtId="165" fontId="24" fillId="0" borderId="0" xfId="0" applyNumberFormat="1" applyFont="1" applyAlignment="1">
      <alignment horizontal="center"/>
    </xf>
    <xf numFmtId="164" fontId="0" fillId="0" borderId="0" xfId="0" quotePrefix="1" applyNumberFormat="1" applyAlignment="1">
      <alignment horizontal="center"/>
    </xf>
    <xf numFmtId="173" fontId="0" fillId="0" borderId="0" xfId="0" applyNumberFormat="1"/>
    <xf numFmtId="169" fontId="0" fillId="0" borderId="0" xfId="0" applyNumberFormat="1"/>
    <xf numFmtId="168" fontId="24" fillId="0" borderId="0" xfId="39" applyNumberFormat="1" applyFont="1" applyFill="1" applyBorder="1" applyAlignment="1">
      <alignment vertical="center"/>
    </xf>
    <xf numFmtId="168" fontId="27" fillId="0" borderId="0" xfId="28" applyNumberFormat="1"/>
    <xf numFmtId="167" fontId="24" fillId="0" borderId="0" xfId="19" applyNumberFormat="1" applyFont="1" applyFill="1"/>
    <xf numFmtId="164" fontId="24" fillId="0" borderId="0" xfId="19" applyNumberFormat="1" applyFont="1" applyFill="1"/>
    <xf numFmtId="164" fontId="24" fillId="0" borderId="3" xfId="126" applyNumberFormat="1" applyBorder="1"/>
    <xf numFmtId="173" fontId="24" fillId="0" borderId="0" xfId="126" applyNumberFormat="1" applyAlignment="1">
      <alignment horizontal="center"/>
    </xf>
    <xf numFmtId="166" fontId="24" fillId="0" borderId="14" xfId="126" applyNumberFormat="1" applyBorder="1" applyAlignment="1">
      <alignment horizontal="center"/>
    </xf>
    <xf numFmtId="166" fontId="24" fillId="0" borderId="0" xfId="126" applyNumberFormat="1" applyAlignment="1">
      <alignment horizontal="center"/>
    </xf>
    <xf numFmtId="164" fontId="24" fillId="0" borderId="15" xfId="126" applyNumberFormat="1" applyBorder="1"/>
    <xf numFmtId="166" fontId="24" fillId="0" borderId="15" xfId="126" applyNumberFormat="1" applyBorder="1" applyAlignment="1">
      <alignment horizontal="center"/>
    </xf>
    <xf numFmtId="3" fontId="24" fillId="36" borderId="0" xfId="129" applyNumberFormat="1" applyFont="1" applyFill="1" applyAlignment="1">
      <alignment horizontal="right"/>
    </xf>
    <xf numFmtId="3" fontId="24" fillId="0" borderId="0" xfId="0" applyNumberFormat="1" applyFont="1" applyAlignment="1">
      <alignment horizontal="right"/>
    </xf>
    <xf numFmtId="166" fontId="24" fillId="0" borderId="0" xfId="0" applyNumberFormat="1" applyFont="1" applyAlignment="1">
      <alignment horizontal="right"/>
    </xf>
    <xf numFmtId="173" fontId="24" fillId="0" borderId="0" xfId="126" quotePrefix="1" applyNumberFormat="1" applyAlignment="1">
      <alignment horizontal="center"/>
    </xf>
    <xf numFmtId="164" fontId="24" fillId="0" borderId="0" xfId="126" quotePrefix="1" applyNumberFormat="1" applyAlignment="1">
      <alignment horizontal="center"/>
    </xf>
    <xf numFmtId="164" fontId="24" fillId="0" borderId="0" xfId="126" applyNumberFormat="1" applyAlignment="1">
      <alignment horizontal="right"/>
    </xf>
    <xf numFmtId="166" fontId="24" fillId="0" borderId="14" xfId="126" quotePrefix="1" applyNumberFormat="1" applyBorder="1" applyAlignment="1">
      <alignment horizontal="center"/>
    </xf>
    <xf numFmtId="173" fontId="55" fillId="0" borderId="0" xfId="126" applyNumberFormat="1" applyFont="1" applyAlignment="1">
      <alignment horizontal="center"/>
    </xf>
    <xf numFmtId="166" fontId="24" fillId="0" borderId="0" xfId="126" quotePrefix="1" applyNumberFormat="1" applyAlignment="1">
      <alignment horizontal="center"/>
    </xf>
    <xf numFmtId="173" fontId="24" fillId="0" borderId="56" xfId="126" applyNumberFormat="1" applyBorder="1" applyAlignment="1">
      <alignment horizontal="center"/>
    </xf>
    <xf numFmtId="173" fontId="24" fillId="0" borderId="58" xfId="126" applyNumberFormat="1" applyBorder="1" applyAlignment="1">
      <alignment horizontal="center"/>
    </xf>
    <xf numFmtId="174" fontId="24" fillId="36" borderId="0" xfId="53787" applyNumberFormat="1" applyFill="1" applyAlignment="1">
      <alignment horizontal="center"/>
    </xf>
    <xf numFmtId="164" fontId="180" fillId="0" borderId="0" xfId="0" applyNumberFormat="1" applyFont="1"/>
    <xf numFmtId="0" fontId="72" fillId="0" borderId="0" xfId="0" quotePrefix="1" applyFont="1" applyAlignment="1">
      <alignment horizontal="left" indent="1"/>
    </xf>
    <xf numFmtId="0" fontId="55" fillId="0" borderId="0" xfId="0" applyFont="1" applyAlignment="1">
      <alignment horizontal="left" indent="1"/>
    </xf>
    <xf numFmtId="0" fontId="27" fillId="0" borderId="0" xfId="34" applyAlignment="1">
      <alignment horizontal="left" indent="2"/>
    </xf>
    <xf numFmtId="0" fontId="27" fillId="0" borderId="0" xfId="34" applyAlignment="1">
      <alignment horizontal="left"/>
    </xf>
    <xf numFmtId="0" fontId="25" fillId="0" borderId="0" xfId="34" applyFont="1" applyAlignment="1">
      <alignment horizontal="left"/>
    </xf>
    <xf numFmtId="0" fontId="24" fillId="0" borderId="9" xfId="0" applyFont="1" applyBorder="1"/>
    <xf numFmtId="170" fontId="24" fillId="36" borderId="0" xfId="100" quotePrefix="1" applyNumberFormat="1" applyFill="1" applyAlignment="1">
      <alignment horizontal="center"/>
    </xf>
    <xf numFmtId="0" fontId="0" fillId="0" borderId="3" xfId="0" applyBorder="1" applyAlignment="1">
      <alignment horizontal="left"/>
    </xf>
    <xf numFmtId="0" fontId="24" fillId="0" borderId="4" xfId="0" quotePrefix="1" applyFont="1" applyBorder="1"/>
    <xf numFmtId="0" fontId="24" fillId="0" borderId="9" xfId="0" quotePrefix="1" applyFont="1" applyBorder="1"/>
    <xf numFmtId="39" fontId="25" fillId="0" borderId="7" xfId="22" quotePrefix="1" applyNumberFormat="1" applyFont="1" applyBorder="1" applyAlignment="1">
      <alignment horizontal="center" wrapText="1"/>
    </xf>
    <xf numFmtId="39" fontId="24" fillId="36" borderId="11" xfId="22" quotePrefix="1" applyNumberFormat="1" applyFont="1" applyFill="1" applyBorder="1" applyAlignment="1">
      <alignment horizontal="center"/>
    </xf>
    <xf numFmtId="37" fontId="24" fillId="36" borderId="4" xfId="22" quotePrefix="1" applyNumberFormat="1" applyFont="1" applyFill="1" applyBorder="1" applyAlignment="1">
      <alignment horizontal="center"/>
    </xf>
    <xf numFmtId="164" fontId="56" fillId="36" borderId="0" xfId="23" quotePrefix="1" applyNumberFormat="1" applyFont="1" applyFill="1" applyAlignment="1">
      <alignment horizontal="right"/>
    </xf>
    <xf numFmtId="0" fontId="25" fillId="36" borderId="0" xfId="28" applyFont="1" applyFill="1"/>
    <xf numFmtId="0" fontId="56" fillId="36" borderId="0" xfId="28" applyFont="1" applyFill="1"/>
    <xf numFmtId="0" fontId="28" fillId="36" borderId="0" xfId="28" applyFont="1" applyFill="1" applyAlignment="1">
      <alignment horizontal="center"/>
    </xf>
    <xf numFmtId="0" fontId="24" fillId="36" borderId="0" xfId="28" applyFont="1" applyFill="1" applyAlignment="1">
      <alignment horizontal="left" indent="1"/>
    </xf>
    <xf numFmtId="0" fontId="56" fillId="36" borderId="0" xfId="28" applyFont="1" applyFill="1" applyAlignment="1">
      <alignment horizontal="right"/>
    </xf>
    <xf numFmtId="0" fontId="56" fillId="36" borderId="0" xfId="28" applyFont="1" applyFill="1" applyAlignment="1">
      <alignment horizontal="left"/>
    </xf>
    <xf numFmtId="0" fontId="56" fillId="36" borderId="0" xfId="28" applyFont="1" applyFill="1" applyAlignment="1">
      <alignment horizontal="left" indent="1"/>
    </xf>
    <xf numFmtId="10" fontId="56" fillId="36" borderId="0" xfId="28" applyNumberFormat="1" applyFont="1" applyFill="1" applyAlignment="1">
      <alignment horizontal="right"/>
    </xf>
    <xf numFmtId="10" fontId="56" fillId="36" borderId="0" xfId="28" applyNumberFormat="1" applyFont="1" applyFill="1" applyAlignment="1">
      <alignment horizontal="left"/>
    </xf>
    <xf numFmtId="0" fontId="56" fillId="36" borderId="0" xfId="28" quotePrefix="1" applyFont="1" applyFill="1" applyAlignment="1">
      <alignment horizontal="center"/>
    </xf>
    <xf numFmtId="0" fontId="181" fillId="36" borderId="0" xfId="28" applyFont="1" applyFill="1"/>
    <xf numFmtId="0" fontId="181" fillId="36" borderId="0" xfId="28" applyFont="1" applyFill="1" applyAlignment="1">
      <alignment horizontal="right"/>
    </xf>
    <xf numFmtId="0" fontId="181" fillId="36" borderId="0" xfId="28" applyFont="1" applyFill="1" applyAlignment="1">
      <alignment horizontal="left"/>
    </xf>
    <xf numFmtId="0" fontId="181" fillId="36" borderId="0" xfId="28" applyFont="1" applyFill="1" applyAlignment="1">
      <alignment horizontal="left" indent="1"/>
    </xf>
    <xf numFmtId="10" fontId="181" fillId="36" borderId="0" xfId="28" applyNumberFormat="1" applyFont="1" applyFill="1" applyAlignment="1">
      <alignment horizontal="right"/>
    </xf>
    <xf numFmtId="10" fontId="181" fillId="36" borderId="0" xfId="28" applyNumberFormat="1" applyFont="1" applyFill="1" applyAlignment="1">
      <alignment horizontal="left"/>
    </xf>
    <xf numFmtId="0" fontId="24" fillId="36" borderId="0" xfId="28" applyFont="1" applyFill="1" applyAlignment="1">
      <alignment horizontal="left" vertical="center"/>
    </xf>
    <xf numFmtId="0" fontId="24" fillId="36" borderId="0" xfId="28" quotePrefix="1" applyFont="1" applyFill="1"/>
    <xf numFmtId="0" fontId="25" fillId="36" borderId="0" xfId="28" applyFont="1" applyFill="1" applyAlignment="1">
      <alignment horizontal="left"/>
    </xf>
    <xf numFmtId="0" fontId="24" fillId="113" borderId="0" xfId="0" applyFont="1" applyFill="1"/>
    <xf numFmtId="5" fontId="24" fillId="0" borderId="9" xfId="0" quotePrefix="1" applyNumberFormat="1" applyFont="1" applyBorder="1" applyAlignment="1">
      <alignment horizontal="center"/>
    </xf>
    <xf numFmtId="0" fontId="0" fillId="36" borderId="0" xfId="0" applyFill="1" applyAlignment="1">
      <alignment horizontal="left"/>
    </xf>
    <xf numFmtId="0" fontId="55" fillId="36" borderId="0" xfId="0" applyFont="1" applyFill="1" applyAlignment="1">
      <alignment horizontal="left" indent="1"/>
    </xf>
    <xf numFmtId="0" fontId="55" fillId="113" borderId="0" xfId="0" applyFont="1" applyFill="1"/>
    <xf numFmtId="0" fontId="165" fillId="0" borderId="0" xfId="0" applyFont="1" applyAlignment="1">
      <alignment horizontal="center"/>
    </xf>
    <xf numFmtId="164" fontId="60" fillId="0" borderId="0" xfId="0" applyNumberFormat="1" applyFont="1" applyAlignment="1">
      <alignment horizontal="right" indent="1"/>
    </xf>
    <xf numFmtId="164" fontId="55" fillId="36" borderId="0" xfId="0" applyNumberFormat="1" applyFont="1" applyFill="1" applyAlignment="1">
      <alignment horizontal="center"/>
    </xf>
    <xf numFmtId="164" fontId="60" fillId="36" borderId="0" xfId="0" applyNumberFormat="1" applyFont="1" applyFill="1" applyAlignment="1">
      <alignment horizontal="center"/>
    </xf>
    <xf numFmtId="164" fontId="24" fillId="36" borderId="0" xfId="0" quotePrefix="1" applyNumberFormat="1" applyFont="1" applyFill="1" applyAlignment="1">
      <alignment horizontal="center"/>
    </xf>
    <xf numFmtId="0" fontId="55" fillId="0" borderId="0" xfId="28" applyFont="1" applyAlignment="1">
      <alignment horizontal="left"/>
    </xf>
    <xf numFmtId="1" fontId="55" fillId="0" borderId="0" xfId="100" applyNumberFormat="1" applyFont="1" applyAlignment="1">
      <alignment horizontal="center"/>
    </xf>
    <xf numFmtId="0" fontId="0" fillId="36" borderId="0" xfId="0" quotePrefix="1" applyFill="1" applyAlignment="1">
      <alignment horizontal="left" indent="1"/>
    </xf>
    <xf numFmtId="0" fontId="25" fillId="0" borderId="0" xfId="125" applyFont="1" applyAlignment="1">
      <alignment horizontal="center"/>
    </xf>
    <xf numFmtId="164" fontId="24" fillId="0" borderId="0" xfId="125" applyNumberFormat="1"/>
    <xf numFmtId="209" fontId="31" fillId="0" borderId="0" xfId="125" applyNumberFormat="1" applyFont="1"/>
    <xf numFmtId="164" fontId="28" fillId="36" borderId="0" xfId="0" applyNumberFormat="1" applyFont="1" applyFill="1" applyAlignment="1">
      <alignment horizontal="center"/>
    </xf>
    <xf numFmtId="0" fontId="31" fillId="36" borderId="0" xfId="0" applyFont="1" applyFill="1"/>
    <xf numFmtId="0" fontId="28" fillId="0" borderId="0" xfId="0" applyFont="1" applyAlignment="1">
      <alignment horizontal="left" indent="2"/>
    </xf>
    <xf numFmtId="0" fontId="24" fillId="36" borderId="0" xfId="0" quotePrefix="1" applyFont="1" applyFill="1" applyAlignment="1">
      <alignment horizontal="left"/>
    </xf>
    <xf numFmtId="0" fontId="28" fillId="36" borderId="0" xfId="100" applyFont="1" applyFill="1" applyAlignment="1">
      <alignment horizontal="left"/>
    </xf>
    <xf numFmtId="0" fontId="25" fillId="36" borderId="0" xfId="0" applyFont="1" applyFill="1"/>
    <xf numFmtId="10" fontId="74" fillId="36" borderId="0" xfId="28" applyNumberFormat="1" applyFont="1" applyFill="1" applyAlignment="1">
      <alignment horizontal="left"/>
    </xf>
    <xf numFmtId="164" fontId="31" fillId="36" borderId="0" xfId="100" applyNumberFormat="1" applyFont="1" applyFill="1"/>
    <xf numFmtId="3" fontId="56" fillId="36" borderId="0" xfId="247" applyNumberFormat="1" applyFont="1" applyFill="1"/>
    <xf numFmtId="0" fontId="24" fillId="0" borderId="3" xfId="126" applyBorder="1" applyAlignment="1">
      <alignment horizontal="center" vertical="center" wrapText="1"/>
    </xf>
    <xf numFmtId="164" fontId="67" fillId="113" borderId="0" xfId="0" applyNumberFormat="1" applyFont="1" applyFill="1"/>
    <xf numFmtId="0" fontId="165" fillId="0" borderId="0" xfId="34" applyFont="1" applyAlignment="1">
      <alignment horizontal="left" wrapText="1"/>
    </xf>
    <xf numFmtId="0" fontId="72" fillId="0" borderId="0" xfId="34" applyFont="1" applyAlignment="1">
      <alignment horizontal="left" indent="1"/>
    </xf>
    <xf numFmtId="0" fontId="165" fillId="0" borderId="0" xfId="0" quotePrefix="1" applyFont="1" applyAlignment="1">
      <alignment horizontal="center"/>
    </xf>
    <xf numFmtId="164" fontId="72" fillId="0" borderId="0" xfId="0" quotePrefix="1" applyNumberFormat="1" applyFont="1" applyAlignment="1">
      <alignment horizontal="right"/>
    </xf>
    <xf numFmtId="17" fontId="24" fillId="0" borderId="0" xfId="100" quotePrefix="1" applyNumberFormat="1" applyAlignment="1">
      <alignment horizontal="left"/>
    </xf>
    <xf numFmtId="10" fontId="56" fillId="0" borderId="0" xfId="100" applyNumberFormat="1" applyFont="1"/>
    <xf numFmtId="0" fontId="72" fillId="0" borderId="0" xfId="100" quotePrefix="1" applyFont="1" applyAlignment="1">
      <alignment horizontal="left"/>
    </xf>
    <xf numFmtId="0" fontId="72" fillId="0" borderId="0" xfId="0" applyFont="1" applyAlignment="1">
      <alignment horizontal="center"/>
    </xf>
    <xf numFmtId="0" fontId="72" fillId="0" borderId="0" xfId="0" quotePrefix="1" applyFont="1"/>
    <xf numFmtId="0" fontId="182" fillId="0" borderId="0" xfId="0" applyFont="1"/>
    <xf numFmtId="0" fontId="56" fillId="0" borderId="0" xfId="0" quotePrefix="1" applyFont="1" applyAlignment="1">
      <alignment wrapText="1"/>
    </xf>
    <xf numFmtId="0" fontId="24" fillId="0" borderId="0" xfId="0" quotePrefix="1" applyFont="1" applyAlignment="1">
      <alignment horizontal="left" wrapText="1" indent="1"/>
    </xf>
    <xf numFmtId="10" fontId="72" fillId="0" borderId="0" xfId="0" applyNumberFormat="1" applyFont="1"/>
    <xf numFmtId="10" fontId="24" fillId="36" borderId="0" xfId="100" applyNumberFormat="1" applyFill="1"/>
    <xf numFmtId="0" fontId="24" fillId="0" borderId="0" xfId="0" applyFont="1" applyAlignment="1">
      <alignment horizontal="center" wrapText="1"/>
    </xf>
    <xf numFmtId="10" fontId="72" fillId="0" borderId="0" xfId="37" applyNumberFormat="1" applyFont="1" applyAlignment="1">
      <alignment horizontal="center"/>
    </xf>
    <xf numFmtId="0" fontId="183" fillId="0" borderId="0" xfId="0" applyFont="1" applyAlignment="1">
      <alignment horizontal="left" indent="1"/>
    </xf>
    <xf numFmtId="0" fontId="184" fillId="0" borderId="0" xfId="34" applyFont="1"/>
    <xf numFmtId="167" fontId="185" fillId="0" borderId="0" xfId="97" applyNumberFormat="1" applyFont="1" applyAlignment="1">
      <alignment horizontal="center"/>
    </xf>
    <xf numFmtId="0" fontId="72" fillId="0" borderId="0" xfId="0" applyFont="1" applyAlignment="1">
      <alignment horizontal="left"/>
    </xf>
    <xf numFmtId="0" fontId="165" fillId="0" borderId="0" xfId="34" applyFont="1" applyAlignment="1">
      <alignment horizontal="left" vertical="center" wrapText="1"/>
    </xf>
    <xf numFmtId="0" fontId="183" fillId="0" borderId="0" xfId="0" applyFont="1"/>
    <xf numFmtId="10" fontId="0" fillId="0" borderId="0" xfId="0" applyNumberFormat="1" applyAlignment="1">
      <alignment horizontal="right"/>
    </xf>
    <xf numFmtId="0" fontId="60" fillId="0" borderId="0" xfId="0" quotePrefix="1" applyFont="1" applyAlignment="1">
      <alignment horizontal="center"/>
    </xf>
    <xf numFmtId="0" fontId="24" fillId="36" borderId="6" xfId="0" quotePrefix="1" applyFont="1" applyFill="1" applyBorder="1" applyAlignment="1">
      <alignment horizontal="left"/>
    </xf>
    <xf numFmtId="0" fontId="187" fillId="0" borderId="0" xfId="0" applyFont="1"/>
    <xf numFmtId="37" fontId="25" fillId="36" borderId="5" xfId="97" quotePrefix="1" applyNumberFormat="1" applyFont="1" applyFill="1" applyBorder="1" applyAlignment="1">
      <alignment horizontal="center"/>
    </xf>
    <xf numFmtId="39" fontId="24" fillId="36" borderId="3" xfId="97" applyNumberFormat="1" applyFont="1" applyFill="1" applyBorder="1" applyAlignment="1">
      <alignment horizontal="center"/>
    </xf>
    <xf numFmtId="6" fontId="67" fillId="113" borderId="0" xfId="0" applyNumberFormat="1" applyFont="1" applyFill="1"/>
    <xf numFmtId="164" fontId="56" fillId="36" borderId="0" xfId="34" applyNumberFormat="1" applyFont="1" applyFill="1" applyAlignment="1">
      <alignment horizontal="right"/>
    </xf>
    <xf numFmtId="6" fontId="24" fillId="113" borderId="0" xfId="0" applyNumberFormat="1" applyFont="1" applyFill="1"/>
    <xf numFmtId="10" fontId="0" fillId="36" borderId="0" xfId="0" applyNumberFormat="1" applyFill="1"/>
    <xf numFmtId="210" fontId="0" fillId="0" borderId="0" xfId="0" applyNumberFormat="1"/>
    <xf numFmtId="164" fontId="188" fillId="0" borderId="0" xfId="0" applyNumberFormat="1" applyFont="1" applyAlignment="1">
      <alignment horizontal="left" indent="1"/>
    </xf>
    <xf numFmtId="164" fontId="55" fillId="36" borderId="0" xfId="0" applyNumberFormat="1" applyFont="1" applyFill="1"/>
    <xf numFmtId="164" fontId="55" fillId="36" borderId="0" xfId="100" applyNumberFormat="1" applyFont="1" applyFill="1"/>
    <xf numFmtId="0" fontId="165" fillId="0" borderId="0" xfId="34" applyFont="1" applyAlignment="1">
      <alignment horizontal="left"/>
    </xf>
    <xf numFmtId="164" fontId="55" fillId="0" borderId="0" xfId="0" applyNumberFormat="1" applyFont="1" applyAlignment="1">
      <alignment horizontal="left" indent="1"/>
    </xf>
    <xf numFmtId="0" fontId="165" fillId="0" borderId="0" xfId="0" applyFont="1" applyAlignment="1">
      <alignment horizontal="left" indent="2"/>
    </xf>
    <xf numFmtId="0" fontId="56" fillId="0" borderId="0" xfId="0" quotePrefix="1" applyFont="1" applyAlignment="1">
      <alignment horizontal="left"/>
    </xf>
    <xf numFmtId="164" fontId="182" fillId="0" borderId="0" xfId="0" applyNumberFormat="1" applyFont="1"/>
    <xf numFmtId="0" fontId="182" fillId="0" borderId="0" xfId="0" applyFont="1" applyAlignment="1">
      <alignment horizontal="left" indent="1"/>
    </xf>
    <xf numFmtId="164" fontId="56" fillId="0" borderId="0" xfId="0" applyNumberFormat="1" applyFont="1" applyAlignment="1">
      <alignment horizontal="left" indent="1"/>
    </xf>
    <xf numFmtId="164" fontId="56" fillId="0" borderId="0" xfId="0" quotePrefix="1" applyNumberFormat="1" applyFont="1" applyAlignment="1">
      <alignment horizontal="left" indent="1"/>
    </xf>
    <xf numFmtId="6" fontId="55" fillId="0" borderId="0" xfId="0" applyNumberFormat="1" applyFont="1" applyAlignment="1">
      <alignment horizontal="center"/>
    </xf>
    <xf numFmtId="0" fontId="165" fillId="0" borderId="0" xfId="34" applyFont="1" applyAlignment="1">
      <alignment horizontal="center"/>
    </xf>
    <xf numFmtId="0" fontId="60" fillId="0" borderId="0" xfId="0" applyFont="1"/>
    <xf numFmtId="0" fontId="189" fillId="0" borderId="0" xfId="34" applyFont="1"/>
    <xf numFmtId="10" fontId="72" fillId="0" borderId="0" xfId="37" quotePrefix="1" applyNumberFormat="1" applyFont="1" applyBorder="1" applyAlignment="1">
      <alignment horizontal="center" vertical="center"/>
    </xf>
    <xf numFmtId="0" fontId="72" fillId="0" borderId="0" xfId="34" quotePrefix="1" applyFont="1" applyAlignment="1">
      <alignment horizontal="left" indent="1"/>
    </xf>
    <xf numFmtId="0" fontId="162" fillId="0" borderId="0" xfId="0" quotePrefix="1" applyFont="1" applyAlignment="1">
      <alignment horizontal="center"/>
    </xf>
    <xf numFmtId="0" fontId="160" fillId="0" borderId="0" xfId="0" quotePrefix="1" applyFont="1"/>
    <xf numFmtId="0" fontId="162" fillId="0" borderId="0" xfId="0" applyFont="1" applyAlignment="1">
      <alignment horizontal="center"/>
    </xf>
    <xf numFmtId="42" fontId="160" fillId="0" borderId="0" xfId="0" quotePrefix="1" applyNumberFormat="1" applyFont="1" applyAlignment="1">
      <alignment horizontal="center"/>
    </xf>
    <xf numFmtId="42" fontId="190" fillId="0" borderId="0" xfId="0" quotePrefix="1" applyNumberFormat="1" applyFont="1" applyAlignment="1">
      <alignment horizontal="center"/>
    </xf>
    <xf numFmtId="0" fontId="191" fillId="0" borderId="0" xfId="0" applyFont="1"/>
    <xf numFmtId="0" fontId="163" fillId="0" borderId="0" xfId="34" applyFont="1" applyAlignment="1">
      <alignment horizontal="left" vertical="center" wrapText="1"/>
    </xf>
    <xf numFmtId="0" fontId="28" fillId="0" borderId="0" xfId="34" applyFont="1" applyAlignment="1">
      <alignment horizontal="left"/>
    </xf>
    <xf numFmtId="0" fontId="69" fillId="0" borderId="0" xfId="0" applyFont="1"/>
    <xf numFmtId="0" fontId="164" fillId="0" borderId="0" xfId="0" applyFont="1" applyAlignment="1">
      <alignment horizontal="center"/>
    </xf>
    <xf numFmtId="0" fontId="192" fillId="0" borderId="0" xfId="0" applyFont="1" applyAlignment="1">
      <alignment horizontal="center"/>
    </xf>
    <xf numFmtId="0" fontId="53" fillId="0" borderId="0" xfId="0" applyFont="1" applyAlignment="1">
      <alignment horizontal="center"/>
    </xf>
    <xf numFmtId="0" fontId="25" fillId="0" borderId="0" xfId="34" applyFont="1" applyAlignment="1">
      <alignment horizontal="left" vertical="center" wrapText="1"/>
    </xf>
    <xf numFmtId="164" fontId="24" fillId="0" borderId="0" xfId="19" quotePrefix="1" applyNumberFormat="1" applyFont="1" applyBorder="1" applyAlignment="1">
      <alignment horizontal="left" vertical="center"/>
    </xf>
    <xf numFmtId="0" fontId="28" fillId="0" borderId="0" xfId="34" applyFont="1" applyAlignment="1">
      <alignment horizontal="left" wrapText="1"/>
    </xf>
    <xf numFmtId="0" fontId="24" fillId="0" borderId="0" xfId="34" applyFont="1" applyAlignment="1">
      <alignment horizontal="left" indent="1"/>
    </xf>
    <xf numFmtId="164" fontId="24" fillId="0" borderId="0" xfId="34" applyNumberFormat="1" applyFont="1" applyAlignment="1">
      <alignment horizontal="right"/>
    </xf>
    <xf numFmtId="0" fontId="31" fillId="0" borderId="0" xfId="34" applyFont="1" applyAlignment="1">
      <alignment horizontal="right"/>
    </xf>
    <xf numFmtId="0" fontId="24" fillId="0" borderId="0" xfId="34" applyFont="1" applyAlignment="1">
      <alignment horizontal="left" indent="3"/>
    </xf>
    <xf numFmtId="0" fontId="24" fillId="0" borderId="0" xfId="34" quotePrefix="1" applyFont="1" applyAlignment="1">
      <alignment horizontal="left" indent="1"/>
    </xf>
    <xf numFmtId="0" fontId="24" fillId="0" borderId="0" xfId="34" quotePrefix="1" applyFont="1" applyAlignment="1">
      <alignment horizontal="left"/>
    </xf>
    <xf numFmtId="0" fontId="24" fillId="0" borderId="0" xfId="34" applyFont="1"/>
    <xf numFmtId="0" fontId="28" fillId="0" borderId="0" xfId="0" applyFont="1" applyAlignment="1">
      <alignment horizontal="center" wrapText="1"/>
    </xf>
    <xf numFmtId="6" fontId="24" fillId="0" borderId="0" xfId="0" applyNumberFormat="1" applyFont="1"/>
    <xf numFmtId="167" fontId="24" fillId="0" borderId="0" xfId="100" applyNumberFormat="1" applyAlignment="1">
      <alignment horizontal="left" indent="1"/>
    </xf>
    <xf numFmtId="164" fontId="24" fillId="0" borderId="0" xfId="0" quotePrefix="1" applyNumberFormat="1" applyFont="1" applyAlignment="1">
      <alignment horizontal="left" indent="1"/>
    </xf>
    <xf numFmtId="0" fontId="24" fillId="0" borderId="0" xfId="0" applyFont="1" applyAlignment="1">
      <alignment horizontal="left" vertical="center"/>
    </xf>
    <xf numFmtId="0" fontId="31" fillId="0" borderId="0" xfId="0" quotePrefix="1" applyFont="1"/>
    <xf numFmtId="0" fontId="25" fillId="0" borderId="0" xfId="100" quotePrefix="1" applyFont="1" applyAlignment="1">
      <alignment horizontal="left"/>
    </xf>
    <xf numFmtId="0" fontId="24" fillId="0" borderId="0" xfId="0" applyFont="1" applyAlignment="1">
      <alignment horizontal="left" vertical="center" indent="1"/>
    </xf>
    <xf numFmtId="0" fontId="24" fillId="0" borderId="0" xfId="0" quotePrefix="1" applyFont="1" applyAlignment="1">
      <alignment wrapText="1"/>
    </xf>
    <xf numFmtId="5" fontId="24" fillId="0" borderId="0" xfId="19" applyNumberFormat="1" applyFont="1"/>
    <xf numFmtId="10" fontId="24" fillId="0" borderId="0" xfId="0" applyNumberFormat="1" applyFont="1" applyAlignment="1">
      <alignment horizontal="right"/>
    </xf>
    <xf numFmtId="10" fontId="177" fillId="0" borderId="0" xfId="53902" applyNumberFormat="1" applyFont="1"/>
    <xf numFmtId="10" fontId="24" fillId="0" borderId="0" xfId="0" applyNumberFormat="1" applyFont="1" applyAlignment="1">
      <alignment horizontal="right" wrapText="1"/>
    </xf>
    <xf numFmtId="10" fontId="24" fillId="0" borderId="0" xfId="53906" applyNumberFormat="1"/>
    <xf numFmtId="10" fontId="56" fillId="0" borderId="0" xfId="53906" applyNumberFormat="1" applyFont="1"/>
    <xf numFmtId="10" fontId="24" fillId="0" borderId="0" xfId="53898" applyNumberFormat="1"/>
    <xf numFmtId="10" fontId="24" fillId="0" borderId="0" xfId="53903" applyNumberFormat="1"/>
    <xf numFmtId="10" fontId="24" fillId="0" borderId="0" xfId="53927" applyNumberFormat="1"/>
    <xf numFmtId="167" fontId="24" fillId="0" borderId="0" xfId="19" quotePrefix="1" applyNumberFormat="1" applyFont="1" applyAlignment="1">
      <alignment horizontal="center"/>
    </xf>
    <xf numFmtId="6" fontId="67" fillId="113" borderId="0" xfId="0" applyNumberFormat="1" applyFont="1" applyFill="1" applyAlignment="1">
      <alignment horizontal="right"/>
    </xf>
    <xf numFmtId="164" fontId="193" fillId="113" borderId="0" xfId="0" applyNumberFormat="1" applyFont="1" applyFill="1"/>
    <xf numFmtId="164" fontId="31" fillId="0" borderId="0" xfId="19" applyNumberFormat="1" applyFont="1" applyBorder="1"/>
    <xf numFmtId="17" fontId="24" fillId="114" borderId="0" xfId="100" quotePrefix="1" applyNumberFormat="1" applyFill="1" applyAlignment="1">
      <alignment horizontal="left"/>
    </xf>
    <xf numFmtId="0" fontId="25" fillId="114" borderId="0" xfId="0" applyFont="1" applyFill="1" applyAlignment="1">
      <alignment horizontal="center"/>
    </xf>
    <xf numFmtId="167" fontId="24" fillId="0" borderId="0" xfId="19" applyNumberFormat="1" applyFont="1"/>
    <xf numFmtId="6" fontId="24" fillId="113" borderId="0" xfId="0" applyNumberFormat="1" applyFont="1" applyFill="1" applyAlignment="1">
      <alignment horizontal="right"/>
    </xf>
    <xf numFmtId="3" fontId="24" fillId="0" borderId="0" xfId="0" quotePrefix="1" applyNumberFormat="1" applyFont="1" applyAlignment="1">
      <alignment horizontal="center"/>
    </xf>
    <xf numFmtId="3" fontId="56" fillId="0" borderId="0" xfId="0" applyNumberFormat="1" applyFont="1" applyAlignment="1">
      <alignment horizontal="center"/>
    </xf>
    <xf numFmtId="1" fontId="0" fillId="113" borderId="0" xfId="0" applyNumberFormat="1" applyFill="1"/>
    <xf numFmtId="1" fontId="31" fillId="113" borderId="0" xfId="0" applyNumberFormat="1" applyFont="1" applyFill="1"/>
    <xf numFmtId="3" fontId="28" fillId="0" borderId="0" xfId="0" applyNumberFormat="1" applyFont="1" applyAlignment="1">
      <alignment horizontal="center"/>
    </xf>
    <xf numFmtId="37" fontId="24" fillId="36" borderId="4" xfId="97" quotePrefix="1" applyNumberFormat="1" applyFont="1" applyFill="1" applyBorder="1" applyAlignment="1">
      <alignment horizontal="center"/>
    </xf>
    <xf numFmtId="0" fontId="24" fillId="0" borderId="4" xfId="0" applyFont="1" applyBorder="1" applyAlignment="1">
      <alignment wrapText="1"/>
    </xf>
    <xf numFmtId="37" fontId="24" fillId="0" borderId="3" xfId="97" quotePrefix="1" applyNumberFormat="1" applyFont="1" applyFill="1" applyBorder="1" applyAlignment="1">
      <alignment horizontal="center" vertical="center"/>
    </xf>
    <xf numFmtId="3" fontId="24" fillId="0" borderId="3" xfId="97" quotePrefix="1" applyNumberFormat="1" applyFont="1" applyFill="1" applyBorder="1" applyAlignment="1">
      <alignment horizontal="center" vertical="center"/>
    </xf>
    <xf numFmtId="39" fontId="24" fillId="36" borderId="5" xfId="22" applyNumberFormat="1" applyFont="1" applyFill="1" applyBorder="1" applyAlignment="1">
      <alignment horizontal="center"/>
    </xf>
    <xf numFmtId="6" fontId="31" fillId="0" borderId="0" xfId="0" applyNumberFormat="1" applyFont="1"/>
    <xf numFmtId="164" fontId="194" fillId="36" borderId="0" xfId="0" applyNumberFormat="1" applyFont="1" applyFill="1"/>
    <xf numFmtId="6" fontId="24" fillId="36" borderId="0" xfId="0" applyNumberFormat="1" applyFont="1" applyFill="1"/>
    <xf numFmtId="17" fontId="31" fillId="36" borderId="0" xfId="100" quotePrefix="1" applyNumberFormat="1" applyFont="1" applyFill="1" applyAlignment="1">
      <alignment horizontal="left"/>
    </xf>
    <xf numFmtId="5" fontId="56" fillId="36" borderId="9" xfId="53892" applyNumberFormat="1" applyFont="1" applyFill="1" applyBorder="1"/>
    <xf numFmtId="0" fontId="24" fillId="0" borderId="0" xfId="0" quotePrefix="1" applyFont="1" applyAlignment="1">
      <alignment horizontal="left" indent="4"/>
    </xf>
    <xf numFmtId="164" fontId="55" fillId="0" borderId="0" xfId="0" applyNumberFormat="1" applyFont="1" applyAlignment="1">
      <alignment horizontal="center"/>
    </xf>
    <xf numFmtId="164" fontId="60" fillId="0" borderId="0" xfId="0" applyNumberFormat="1" applyFont="1" applyAlignment="1">
      <alignment horizontal="center"/>
    </xf>
    <xf numFmtId="164" fontId="28" fillId="0" borderId="0" xfId="0" applyNumberFormat="1" applyFont="1" applyAlignment="1">
      <alignment horizontal="center" wrapText="1"/>
    </xf>
    <xf numFmtId="0" fontId="31" fillId="36" borderId="0" xfId="100" quotePrefix="1" applyFont="1" applyFill="1" applyAlignment="1">
      <alignment horizontal="left"/>
    </xf>
    <xf numFmtId="165" fontId="61" fillId="0" borderId="0" xfId="0" applyNumberFormat="1" applyFont="1"/>
    <xf numFmtId="164" fontId="1" fillId="36" borderId="0" xfId="53931" applyNumberFormat="1" applyFill="1"/>
    <xf numFmtId="165" fontId="24" fillId="34" borderId="0" xfId="0" applyNumberFormat="1" applyFont="1" applyFill="1" applyAlignment="1">
      <alignment wrapText="1"/>
    </xf>
    <xf numFmtId="165" fontId="24" fillId="34" borderId="0" xfId="53932" applyNumberFormat="1" applyFill="1"/>
    <xf numFmtId="164" fontId="24" fillId="0" borderId="8" xfId="108" applyNumberFormat="1" applyBorder="1" applyAlignment="1">
      <alignment horizontal="right"/>
    </xf>
    <xf numFmtId="0" fontId="165" fillId="0" borderId="0" xfId="100" applyFont="1" applyAlignment="1">
      <alignment horizontal="center" wrapText="1"/>
    </xf>
    <xf numFmtId="167" fontId="57" fillId="0" borderId="61" xfId="19" applyNumberFormat="1" applyFont="1" applyBorder="1" applyAlignment="1">
      <alignment horizontal="center"/>
    </xf>
    <xf numFmtId="167" fontId="57" fillId="0" borderId="62" xfId="19" applyNumberFormat="1" applyFont="1" applyBorder="1" applyAlignment="1">
      <alignment horizontal="center"/>
    </xf>
    <xf numFmtId="167" fontId="57" fillId="0" borderId="63" xfId="19" applyNumberFormat="1" applyFont="1" applyBorder="1" applyAlignment="1">
      <alignment horizontal="center"/>
    </xf>
    <xf numFmtId="0" fontId="24" fillId="36" borderId="0" xfId="0" applyFont="1" applyFill="1" applyAlignment="1">
      <alignment horizontal="center"/>
    </xf>
    <xf numFmtId="0" fontId="24" fillId="0" borderId="0" xfId="0" applyFont="1" applyAlignment="1">
      <alignment horizontal="left"/>
    </xf>
    <xf numFmtId="0" fontId="25" fillId="0" borderId="7" xfId="28" applyFont="1" applyBorder="1" applyAlignment="1">
      <alignment horizontal="center"/>
    </xf>
    <xf numFmtId="0" fontId="25" fillId="0" borderId="5" xfId="28" applyFont="1" applyBorder="1" applyAlignment="1">
      <alignment horizontal="center"/>
    </xf>
    <xf numFmtId="0" fontId="25" fillId="0" borderId="3" xfId="28" applyFont="1" applyBorder="1" applyAlignment="1">
      <alignment horizontal="center"/>
    </xf>
    <xf numFmtId="0" fontId="25" fillId="0" borderId="9" xfId="28" applyFont="1" applyBorder="1" applyAlignment="1">
      <alignment horizontal="center"/>
    </xf>
    <xf numFmtId="0" fontId="25" fillId="0" borderId="3" xfId="28" applyFont="1" applyBorder="1"/>
    <xf numFmtId="0" fontId="25" fillId="0" borderId="6" xfId="28" applyFont="1" applyBorder="1" applyAlignment="1">
      <alignment horizontal="center"/>
    </xf>
    <xf numFmtId="0" fontId="25" fillId="0" borderId="4" xfId="28" applyFont="1" applyBorder="1" applyAlignment="1">
      <alignment horizontal="center"/>
    </xf>
    <xf numFmtId="0" fontId="24" fillId="0" borderId="0" xfId="0" applyFont="1" applyAlignment="1">
      <alignment vertical="top" wrapText="1"/>
    </xf>
    <xf numFmtId="0" fontId="0" fillId="0" borderId="0" xfId="0" applyAlignment="1">
      <alignment vertical="top" wrapText="1"/>
    </xf>
    <xf numFmtId="0" fontId="0" fillId="0" borderId="0" xfId="0"/>
    <xf numFmtId="0" fontId="0" fillId="0" borderId="0" xfId="0" applyAlignment="1">
      <alignment wrapText="1"/>
    </xf>
    <xf numFmtId="39" fontId="24" fillId="0" borderId="6" xfId="22" applyNumberFormat="1" applyFont="1" applyBorder="1" applyAlignment="1">
      <alignment horizontal="center"/>
    </xf>
    <xf numFmtId="0" fontId="0" fillId="0" borderId="9" xfId="0" applyBorder="1"/>
    <xf numFmtId="0" fontId="0" fillId="0" borderId="4" xfId="0" applyBorder="1"/>
    <xf numFmtId="0" fontId="25" fillId="0" borderId="6" xfId="0" applyFont="1" applyBorder="1" applyAlignment="1">
      <alignment wrapText="1"/>
    </xf>
    <xf numFmtId="0" fontId="0" fillId="0" borderId="9" xfId="0" applyBorder="1" applyAlignment="1">
      <alignment wrapText="1"/>
    </xf>
    <xf numFmtId="0" fontId="0" fillId="0" borderId="4" xfId="0" applyBorder="1" applyAlignment="1">
      <alignment wrapText="1"/>
    </xf>
    <xf numFmtId="0" fontId="25" fillId="0" borderId="3" xfId="0" applyFont="1" applyBorder="1" applyAlignment="1">
      <alignment wrapText="1"/>
    </xf>
    <xf numFmtId="0" fontId="0" fillId="0" borderId="3" xfId="0" applyBorder="1" applyAlignment="1">
      <alignment wrapText="1"/>
    </xf>
    <xf numFmtId="0" fontId="25" fillId="0" borderId="6" xfId="0" applyFont="1" applyBorder="1"/>
    <xf numFmtId="0" fontId="24" fillId="0" borderId="6" xfId="0" applyFont="1" applyBorder="1" applyAlignment="1">
      <alignment horizontal="left"/>
    </xf>
    <xf numFmtId="0" fontId="24" fillId="0" borderId="4" xfId="0" applyFont="1" applyBorder="1" applyAlignment="1">
      <alignment horizontal="left"/>
    </xf>
    <xf numFmtId="0" fontId="25" fillId="0" borderId="10" xfId="0" applyFont="1" applyBorder="1"/>
    <xf numFmtId="0" fontId="25" fillId="0" borderId="8" xfId="0" applyFont="1" applyBorder="1"/>
    <xf numFmtId="0" fontId="25" fillId="0" borderId="11" xfId="0" applyFont="1" applyBorder="1"/>
    <xf numFmtId="0" fontId="24" fillId="0" borderId="3" xfId="0" applyFont="1" applyBorder="1" applyAlignment="1">
      <alignment horizontal="left"/>
    </xf>
    <xf numFmtId="0" fontId="24" fillId="36" borderId="6" xfId="0" applyFont="1" applyFill="1" applyBorder="1" applyAlignment="1">
      <alignment horizontal="left"/>
    </xf>
    <xf numFmtId="0" fontId="0" fillId="0" borderId="4" xfId="0" applyBorder="1" applyAlignment="1">
      <alignment horizontal="left"/>
    </xf>
    <xf numFmtId="0" fontId="55" fillId="36" borderId="3" xfId="0" applyFont="1" applyFill="1" applyBorder="1" applyAlignment="1">
      <alignment horizontal="center"/>
    </xf>
    <xf numFmtId="0" fontId="25" fillId="0" borderId="9" xfId="0" applyFont="1" applyBorder="1"/>
    <xf numFmtId="0" fontId="25" fillId="0" borderId="4" xfId="0" applyFont="1" applyBorder="1"/>
    <xf numFmtId="0" fontId="25" fillId="0" borderId="10" xfId="0" applyFont="1" applyBorder="1" applyAlignment="1">
      <alignment wrapText="1"/>
    </xf>
    <xf numFmtId="0" fontId="0" fillId="0" borderId="8" xfId="0" applyBorder="1" applyAlignment="1">
      <alignment wrapText="1"/>
    </xf>
    <xf numFmtId="0" fontId="0" fillId="0" borderId="11" xfId="0" applyBorder="1" applyAlignment="1">
      <alignment wrapText="1"/>
    </xf>
    <xf numFmtId="0" fontId="24" fillId="0" borderId="0" xfId="0" applyFont="1" applyAlignment="1">
      <alignment wrapText="1"/>
    </xf>
    <xf numFmtId="0" fontId="24" fillId="113" borderId="0" xfId="0" applyFont="1" applyFill="1"/>
    <xf numFmtId="0" fontId="24" fillId="0" borderId="3" xfId="126" applyBorder="1" applyAlignment="1">
      <alignment horizontal="center"/>
    </xf>
    <xf numFmtId="0" fontId="0" fillId="0" borderId="3" xfId="0" applyBorder="1"/>
    <xf numFmtId="0" fontId="24" fillId="0" borderId="6" xfId="126" applyBorder="1" applyAlignment="1">
      <alignment horizontal="center"/>
    </xf>
    <xf numFmtId="0" fontId="24" fillId="0" borderId="9" xfId="126" applyBorder="1" applyAlignment="1">
      <alignment horizontal="center"/>
    </xf>
    <xf numFmtId="0" fontId="24" fillId="0" borderId="4" xfId="126" applyBorder="1" applyAlignment="1">
      <alignment horizontal="center"/>
    </xf>
    <xf numFmtId="173" fontId="24" fillId="0" borderId="55" xfId="126" quotePrefix="1" applyNumberFormat="1" applyBorder="1" applyAlignment="1">
      <alignment horizontal="center" vertical="center"/>
    </xf>
    <xf numFmtId="173" fontId="24" fillId="0" borderId="57" xfId="126" quotePrefix="1" applyNumberFormat="1" applyBorder="1" applyAlignment="1">
      <alignment horizontal="center" vertical="center"/>
    </xf>
  </cellXfs>
  <cellStyles count="53933">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5 3" xfId="53925" xr:uid="{D8954DD0-D822-4B0C-AAB7-A8913D9ADBB2}"/>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18" xfId="53905" xr:uid="{1FCEEDF7-F732-4D5F-95F2-D61F9F38D83F}"/>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16" xfId="53908" xr:uid="{873D35BF-C24C-45F5-B621-65DBCE95A479}"/>
    <cellStyle name="Normal 2 6 2 2" xfId="116" xr:uid="{00000000-0005-0000-0000-000081400000}"/>
    <cellStyle name="Normal 2 6 2 2 10" xfId="53713" xr:uid="{00000000-0005-0000-0000-000082400000}"/>
    <cellStyle name="Normal 2 6 2 2 11" xfId="53748" xr:uid="{00000000-0005-0000-0000-000083400000}"/>
    <cellStyle name="Normal 2 6 2 2 12" xfId="53914" xr:uid="{FC6D26FB-26E5-4D62-9970-190ED8B06506}"/>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12" xfId="53918" xr:uid="{6B726670-7AFF-4F43-AF17-FC1A859C85C9}"/>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12" xfId="53922" xr:uid="{737F5744-11C7-43F1-B0C6-53CD00B0DBF4}"/>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12" xfId="53909" xr:uid="{E7AF887B-95F9-4BE6-B56F-5FEE0BD70D1C}"/>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12" xfId="53912" xr:uid="{40E213B3-4FAE-4BD4-8F0F-136670027482}"/>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12" xfId="53916" xr:uid="{D4155880-135E-4CB0-A5FE-71BC74AEEA87}"/>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12" xfId="53920" xr:uid="{A6CA7FE0-4AC2-4B57-A7C8-AB715E127686}"/>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19" xfId="53897" xr:uid="{372E6AC3-F7F1-4976-8A38-9D71ADCD033D}"/>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16" xfId="53907" xr:uid="{649DFCA3-FE3E-481A-A920-1E24A6261780}"/>
    <cellStyle name="Normal 6 2 2" xfId="115" xr:uid="{00000000-0005-0000-0000-0000D7920000}"/>
    <cellStyle name="Normal 6 2 2 10" xfId="53712" xr:uid="{00000000-0005-0000-0000-0000D8920000}"/>
    <cellStyle name="Normal 6 2 2 11" xfId="53768" xr:uid="{00000000-0005-0000-0000-0000D9920000}"/>
    <cellStyle name="Normal 6 2 2 12" xfId="53913" xr:uid="{70BBA478-8E6C-4F70-AE81-EF08A537717F}"/>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12" xfId="53917" xr:uid="{9E69CC8A-5E54-4161-B458-E53CF7A14BD8}"/>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12" xfId="53921" xr:uid="{4E31F5E4-6B9D-4BC8-9BAC-1EA91A5DEE84}"/>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20" xfId="53904" xr:uid="{2566CAE3-65F9-435D-B1D5-2AD0AE83FB85}"/>
    <cellStyle name="Normal 6 3" xfId="112" xr:uid="{00000000-0005-0000-0000-000099930000}"/>
    <cellStyle name="Normal 6 3 10" xfId="53709" xr:uid="{00000000-0005-0000-0000-00009A930000}"/>
    <cellStyle name="Normal 6 3 11" xfId="53776" xr:uid="{00000000-0005-0000-0000-00009B930000}"/>
    <cellStyle name="Normal 6 3 12" xfId="53910" xr:uid="{A5B23897-5600-43B6-8000-8B1BA4D1756E}"/>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12" xfId="53911" xr:uid="{933EE394-C219-4159-98BD-0191A4E09DC1}"/>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12" xfId="53915" xr:uid="{C423D0A0-2453-4345-94A8-C5231EA034CB}"/>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12" xfId="53919" xr:uid="{547FF9DE-8520-40FD-9FE1-35B689726C3C}"/>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48" xfId="53898" xr:uid="{3165083B-0420-4528-85D1-1ED46046A963}"/>
    <cellStyle name="Normal 749" xfId="53903" xr:uid="{C8FE8FE2-2AAD-4AA7-B9B6-16DAD858BA22}"/>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50" xfId="53923" xr:uid="{7E4EAC3B-8EC2-4372-AC53-8501E269D0A7}"/>
    <cellStyle name="Normal 751" xfId="53927" xr:uid="{432BB2F2-E88C-4C42-B438-3207B9B213A0}"/>
    <cellStyle name="Normal 752" xfId="53899" xr:uid="{4C8FAA05-175F-4658-8885-411FE4328481}"/>
    <cellStyle name="Normal 753" xfId="53906" xr:uid="{BC019AF5-699C-432E-98EE-C9F3BCF57D11}"/>
    <cellStyle name="Normal 754" xfId="53928" xr:uid="{692DDEE7-D045-47C8-989F-77A0423B766B}"/>
    <cellStyle name="Normal 755" xfId="53902" xr:uid="{31D49C08-B701-4C6D-849A-366254DAE7E1}"/>
    <cellStyle name="Normal 756" xfId="53900" xr:uid="{45176A3B-54BB-41B2-90C7-1937F08FF77C}"/>
    <cellStyle name="Normal 757" xfId="53901" xr:uid="{C78B9574-671B-4094-834F-CCAB855C3601}"/>
    <cellStyle name="Normal 758" xfId="53929" xr:uid="{4840FCDD-FC1E-41F3-8A8D-110EC1B7051B}"/>
    <cellStyle name="Normal 759" xfId="53930" xr:uid="{20189360-49DC-485A-A9FD-93BF3A649996}"/>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60" xfId="53931" xr:uid="{9ED7190B-3DC8-405E-B4C7-A906B7330D93}"/>
    <cellStyle name="Normal 761" xfId="53932" xr:uid="{D64F4B30-3843-4C0D-A445-788F96608069}"/>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12" xfId="53924" xr:uid="{5D590471-E7AA-443D-999B-BB7603BCA265}"/>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 6" xfId="53926" xr:uid="{9157035E-9D6F-4D8F-AB53-B73DCDB5C748}"/>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2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indexed="42"/>
        </patternFill>
      </fill>
    </dxf>
    <dxf>
      <fill>
        <patternFill>
          <bgColor indexed="42"/>
        </patternFill>
      </fill>
    </dxf>
    <dxf>
      <fill>
        <patternFill>
          <bgColor indexed="42"/>
        </patternFill>
      </fill>
    </dxf>
    <dxf>
      <font>
        <condense val="0"/>
        <extend val="0"/>
        <color auto="1"/>
      </font>
    </dxf>
  </dxfs>
  <tableStyles count="0" defaultTableStyle="TableStyleMedium9" defaultPivotStyle="PivotStyleLight16"/>
  <colors>
    <mruColors>
      <color rgb="FFFFCC99"/>
      <color rgb="FFFFCCCC"/>
      <color rgb="FFCCFFCC"/>
      <color rgb="FFCCECFF"/>
      <color rgb="FF99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E238E06-005F-45CC-B22A-25BA438D046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1CEF399-8DBB-48A5-81BB-CD59A6D87B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925902F-435A-45A1-AA27-514AFC1DE7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N10"/>
  <sheetViews>
    <sheetView zoomScaleNormal="100" workbookViewId="0"/>
  </sheetViews>
  <sheetFormatPr defaultColWidth="9.453125" defaultRowHeight="12.5"/>
  <cols>
    <col min="2" max="2" width="5.81640625" customWidth="1"/>
    <col min="3" max="3" width="8.453125" customWidth="1"/>
    <col min="10" max="11" width="13.54296875" customWidth="1"/>
  </cols>
  <sheetData>
    <row r="2" spans="1:14" ht="12" customHeight="1">
      <c r="A2" s="777"/>
      <c r="B2" s="777"/>
      <c r="C2" s="777"/>
      <c r="D2" s="777"/>
      <c r="E2" s="777"/>
      <c r="F2" s="777"/>
      <c r="G2" s="777"/>
      <c r="H2" s="777"/>
      <c r="I2" s="777"/>
      <c r="J2" s="777"/>
      <c r="K2" s="777"/>
    </row>
    <row r="3" spans="1:14" ht="23">
      <c r="A3" s="777"/>
      <c r="B3" s="777"/>
      <c r="C3" s="777"/>
      <c r="D3" s="777"/>
      <c r="E3" s="777"/>
      <c r="F3" s="777"/>
      <c r="G3" s="777"/>
      <c r="H3" s="777"/>
      <c r="I3" s="777"/>
      <c r="J3" s="777"/>
      <c r="K3" s="777"/>
    </row>
    <row r="4" spans="1:14" ht="11.25" customHeight="1">
      <c r="B4" s="777"/>
      <c r="C4" s="777"/>
      <c r="D4" s="777"/>
      <c r="E4" s="777"/>
      <c r="F4" s="777"/>
      <c r="G4" s="777"/>
      <c r="H4" s="777"/>
      <c r="I4" s="777"/>
    </row>
    <row r="5" spans="1:14" ht="25">
      <c r="B5" s="1138"/>
      <c r="C5" s="1138" t="s">
        <v>0</v>
      </c>
      <c r="D5" s="1138"/>
      <c r="E5" s="1138"/>
      <c r="F5" s="1138"/>
      <c r="G5" s="1138"/>
      <c r="H5" s="1138"/>
      <c r="I5" s="1138"/>
      <c r="J5" s="1138"/>
      <c r="K5" s="1138"/>
    </row>
    <row r="6" spans="1:14" ht="12" customHeight="1">
      <c r="D6" s="1"/>
      <c r="K6" s="777"/>
      <c r="L6" s="777"/>
      <c r="M6" s="777"/>
      <c r="N6" s="777"/>
    </row>
    <row r="7" spans="1:14" ht="20">
      <c r="B7" s="960"/>
      <c r="D7" s="960" t="s">
        <v>1</v>
      </c>
      <c r="E7" s="960"/>
      <c r="F7" s="960"/>
      <c r="G7" s="960"/>
      <c r="H7" s="960"/>
      <c r="I7" s="960"/>
      <c r="J7" s="960"/>
      <c r="K7" s="960"/>
    </row>
    <row r="8" spans="1:14" ht="12.75" customHeight="1">
      <c r="D8" s="960"/>
    </row>
    <row r="9" spans="1:14">
      <c r="C9" s="586"/>
    </row>
    <row r="10" spans="1:14" ht="23">
      <c r="F10" s="1141"/>
      <c r="G10" s="1140"/>
      <c r="H10" s="1139"/>
      <c r="I10" s="1139"/>
      <c r="J10" s="1139"/>
      <c r="K10" s="1139"/>
    </row>
  </sheetData>
  <pageMargins left="0.7" right="0.7" top="0.75" bottom="0.75" header="0.3" footer="0.3"/>
  <pageSetup scale="96" orientation="portrait" r:id="rId1"/>
  <headerFooter>
    <oddHeader>&amp;C&amp;"Arial,Bold"
&amp;RTO2027 Draft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289"/>
  <sheetViews>
    <sheetView zoomScaleNormal="100" workbookViewId="0"/>
  </sheetViews>
  <sheetFormatPr defaultColWidth="8.54296875" defaultRowHeight="12.5"/>
  <cols>
    <col min="1" max="1" width="4.54296875" customWidth="1"/>
    <col min="2" max="2" width="10.1796875" customWidth="1"/>
    <col min="3" max="3" width="13.81640625" customWidth="1"/>
    <col min="4" max="4" width="15.6328125" customWidth="1"/>
    <col min="5" max="5" width="13.81640625" customWidth="1"/>
    <col min="6" max="6" width="15.453125" customWidth="1"/>
    <col min="7" max="7" width="14.7265625" customWidth="1"/>
    <col min="8" max="8" width="15.26953125" customWidth="1"/>
    <col min="9" max="9" width="15.6328125" customWidth="1"/>
    <col min="10" max="10" width="14.90625" customWidth="1"/>
    <col min="11" max="12" width="13.81640625" customWidth="1"/>
    <col min="13" max="13" width="19.54296875" customWidth="1"/>
    <col min="14" max="20" width="15.54296875" customWidth="1"/>
  </cols>
  <sheetData>
    <row r="1" spans="1:13" ht="13">
      <c r="A1" s="197" t="s">
        <v>649</v>
      </c>
      <c r="B1" s="112"/>
      <c r="C1" s="112"/>
      <c r="D1" s="112"/>
      <c r="E1" s="112"/>
      <c r="F1" s="112"/>
      <c r="G1" s="112"/>
      <c r="H1" s="112"/>
      <c r="I1" s="240" t="s">
        <v>650</v>
      </c>
      <c r="J1" s="198"/>
      <c r="K1" s="112"/>
      <c r="L1" s="112"/>
    </row>
    <row r="2" spans="1:13" ht="13">
      <c r="A2" s="197"/>
      <c r="B2" s="1" t="s">
        <v>651</v>
      </c>
      <c r="C2" s="112"/>
      <c r="D2" s="112"/>
      <c r="E2" s="240" t="s">
        <v>652</v>
      </c>
      <c r="F2" s="198"/>
      <c r="G2" s="198"/>
      <c r="H2" s="112"/>
      <c r="I2" s="112"/>
      <c r="J2" s="112"/>
      <c r="K2" s="112"/>
      <c r="L2" s="112"/>
    </row>
    <row r="3" spans="1:13" ht="13">
      <c r="A3" s="197"/>
      <c r="B3" s="112"/>
      <c r="C3" s="112"/>
      <c r="D3" s="112"/>
      <c r="E3" s="240" t="s">
        <v>653</v>
      </c>
      <c r="F3" s="198"/>
      <c r="G3" s="198"/>
      <c r="H3" s="112"/>
      <c r="I3" s="112"/>
      <c r="J3" s="112"/>
      <c r="K3" s="112"/>
      <c r="L3" s="112"/>
    </row>
    <row r="4" spans="1:13" ht="13">
      <c r="A4" s="197"/>
      <c r="B4" s="197" t="s">
        <v>654</v>
      </c>
      <c r="C4" s="112"/>
      <c r="D4" s="112"/>
      <c r="E4" s="610"/>
      <c r="F4" s="112"/>
      <c r="G4" s="112"/>
      <c r="H4" s="112"/>
      <c r="I4" s="112"/>
      <c r="J4" s="112"/>
      <c r="K4" s="112"/>
      <c r="L4" s="112"/>
    </row>
    <row r="5" spans="1:13" ht="13">
      <c r="A5" s="197"/>
      <c r="B5" s="197"/>
      <c r="C5" s="112"/>
      <c r="D5" s="112"/>
      <c r="E5" s="112"/>
      <c r="F5" s="112"/>
      <c r="G5" s="112"/>
      <c r="H5" s="112"/>
      <c r="I5" s="112"/>
      <c r="J5" s="112"/>
      <c r="K5" s="112"/>
      <c r="L5" s="112"/>
    </row>
    <row r="6" spans="1:13" ht="13">
      <c r="A6" s="197"/>
      <c r="B6" s="233" t="s">
        <v>3077</v>
      </c>
      <c r="C6" s="112"/>
      <c r="D6" s="112"/>
      <c r="E6" s="112"/>
      <c r="F6" s="112"/>
      <c r="G6" s="112"/>
      <c r="H6" s="233"/>
      <c r="J6" s="113" t="s">
        <v>655</v>
      </c>
      <c r="K6" s="484">
        <v>2025</v>
      </c>
      <c r="L6" s="112"/>
    </row>
    <row r="7" spans="1:13" ht="13">
      <c r="A7" s="197"/>
      <c r="B7" s="232" t="s">
        <v>3001</v>
      </c>
      <c r="C7" s="112"/>
      <c r="D7" s="112"/>
      <c r="E7" s="112"/>
      <c r="F7" s="112"/>
      <c r="G7" s="112"/>
      <c r="H7" s="112"/>
      <c r="I7" s="112"/>
      <c r="J7" s="112"/>
      <c r="K7" s="112"/>
      <c r="L7" s="112"/>
    </row>
    <row r="8" spans="1:13" ht="13">
      <c r="A8" s="197"/>
      <c r="B8" s="610"/>
      <c r="C8" s="112"/>
      <c r="D8" s="112"/>
      <c r="E8" s="112"/>
      <c r="F8" s="112"/>
      <c r="G8" s="112"/>
      <c r="H8" s="112"/>
      <c r="I8" s="112"/>
      <c r="J8" s="112"/>
      <c r="K8" s="112"/>
      <c r="L8" s="112"/>
    </row>
    <row r="9" spans="1:13" ht="13">
      <c r="A9" s="197"/>
      <c r="B9" s="48" t="s">
        <v>345</v>
      </c>
      <c r="C9" s="48" t="s">
        <v>346</v>
      </c>
      <c r="D9" s="48" t="s">
        <v>347</v>
      </c>
      <c r="E9" s="48" t="s">
        <v>348</v>
      </c>
      <c r="F9" s="48" t="s">
        <v>349</v>
      </c>
      <c r="G9" s="48" t="s">
        <v>350</v>
      </c>
      <c r="H9" s="48" t="s">
        <v>351</v>
      </c>
      <c r="I9" s="48" t="s">
        <v>352</v>
      </c>
      <c r="J9" s="48" t="s">
        <v>353</v>
      </c>
      <c r="K9" s="48" t="s">
        <v>603</v>
      </c>
      <c r="L9" s="48" t="s">
        <v>604</v>
      </c>
      <c r="M9" s="1082"/>
    </row>
    <row r="10" spans="1:13" ht="13">
      <c r="A10" s="112"/>
      <c r="B10" s="115"/>
      <c r="C10" s="125"/>
      <c r="D10" s="1179"/>
      <c r="E10" s="590"/>
      <c r="F10" s="590"/>
      <c r="G10" s="590"/>
      <c r="H10" s="590"/>
      <c r="I10" s="590"/>
      <c r="J10" s="590"/>
      <c r="K10" s="590"/>
      <c r="L10" s="56"/>
      <c r="M10" s="828"/>
    </row>
    <row r="11" spans="1:13" ht="13">
      <c r="A11" s="112"/>
      <c r="B11" s="2"/>
      <c r="C11" s="239"/>
      <c r="D11" s="1178"/>
      <c r="E11" s="590"/>
      <c r="F11" s="590"/>
      <c r="G11" s="590"/>
      <c r="H11" s="590"/>
      <c r="I11" s="590"/>
      <c r="J11" s="590"/>
      <c r="K11" s="590"/>
      <c r="L11" s="590"/>
      <c r="M11" s="586"/>
    </row>
    <row r="12" spans="1:13" ht="13">
      <c r="A12" s="30" t="s">
        <v>282</v>
      </c>
      <c r="B12" s="3" t="s">
        <v>657</v>
      </c>
      <c r="C12" s="48">
        <v>350.1</v>
      </c>
      <c r="D12" s="48">
        <v>350.2</v>
      </c>
      <c r="E12" s="48">
        <v>352</v>
      </c>
      <c r="F12" s="48">
        <v>353</v>
      </c>
      <c r="G12" s="48">
        <v>354</v>
      </c>
      <c r="H12" s="48">
        <v>355</v>
      </c>
      <c r="I12" s="48">
        <v>356</v>
      </c>
      <c r="J12" s="48">
        <v>357</v>
      </c>
      <c r="K12" s="48">
        <v>358</v>
      </c>
      <c r="L12" s="48">
        <v>359</v>
      </c>
      <c r="M12" s="1118"/>
    </row>
    <row r="13" spans="1:13" ht="13">
      <c r="A13" s="2">
        <v>1</v>
      </c>
      <c r="B13" s="507" t="s">
        <v>3089</v>
      </c>
      <c r="C13" s="253">
        <v>92848062.874113053</v>
      </c>
      <c r="D13" s="284">
        <v>186476377.28716636</v>
      </c>
      <c r="E13" s="116">
        <v>978263465.651196</v>
      </c>
      <c r="F13" s="253">
        <v>4713129522.556879</v>
      </c>
      <c r="G13" s="253">
        <v>2528354263.1955895</v>
      </c>
      <c r="H13" s="253">
        <v>655191734.57475924</v>
      </c>
      <c r="I13" s="253">
        <v>1646992122.5487008</v>
      </c>
      <c r="J13" s="253">
        <v>215307571.51137736</v>
      </c>
      <c r="K13" s="253">
        <v>58752899.030000001</v>
      </c>
      <c r="L13" s="253">
        <v>232315316.61933443</v>
      </c>
      <c r="M13" s="659"/>
    </row>
    <row r="14" spans="1:13" ht="13">
      <c r="A14" s="2">
        <f>A13+1</f>
        <v>2</v>
      </c>
      <c r="B14" s="507" t="s">
        <v>3090</v>
      </c>
      <c r="C14" s="114">
        <f t="shared" ref="C14:C24" si="0">C172+C243 +C13</f>
        <v>92848714.03411305</v>
      </c>
      <c r="D14" s="114">
        <f t="shared" ref="D14:D24" si="1">D172+D243 +D13</f>
        <v>186960762.67439348</v>
      </c>
      <c r="E14" s="114">
        <f t="shared" ref="E14:E24" si="2">E172+E243 +E13</f>
        <v>979770761.27099109</v>
      </c>
      <c r="F14" s="114">
        <f t="shared" ref="F14:F24" si="3">F172+F243 +F13</f>
        <v>4720839306.057168</v>
      </c>
      <c r="G14" s="114">
        <f t="shared" ref="G14:G24" si="4">G172+G243 +G13</f>
        <v>2528468514.3425283</v>
      </c>
      <c r="H14" s="114">
        <f t="shared" ref="H14:H24" si="5">H172+H243 +H13</f>
        <v>537787742.18115473</v>
      </c>
      <c r="I14" s="114">
        <f t="shared" ref="I14:I24" si="6">I172+I243 +I13</f>
        <v>1645428620.9004955</v>
      </c>
      <c r="J14" s="114">
        <f t="shared" ref="J14:J24" si="7">J172+J243 +J13</f>
        <v>215307709.24139857</v>
      </c>
      <c r="K14" s="114">
        <f t="shared" ref="K14:K24" si="8">K172+K243 +K13</f>
        <v>58752899.030000001</v>
      </c>
      <c r="L14" s="114">
        <f t="shared" ref="L14:L24" si="9">L172+L243 +L13</f>
        <v>232325752.64887694</v>
      </c>
      <c r="M14" s="1020"/>
    </row>
    <row r="15" spans="1:13" ht="13">
      <c r="A15" s="2">
        <f t="shared" ref="A15:A26" si="10">A14+1</f>
        <v>3</v>
      </c>
      <c r="B15" s="387" t="s">
        <v>3091</v>
      </c>
      <c r="C15" s="114">
        <f t="shared" si="0"/>
        <v>99919005.788402393</v>
      </c>
      <c r="D15" s="114">
        <f t="shared" si="1"/>
        <v>187053084.5743801</v>
      </c>
      <c r="E15" s="114">
        <f t="shared" si="2"/>
        <v>980518554.3098408</v>
      </c>
      <c r="F15" s="114">
        <f t="shared" si="3"/>
        <v>4723736587.8852291</v>
      </c>
      <c r="G15" s="114">
        <f t="shared" si="4"/>
        <v>2528432127.3106327</v>
      </c>
      <c r="H15" s="114">
        <f t="shared" si="5"/>
        <v>402052786.25490469</v>
      </c>
      <c r="I15" s="114">
        <f t="shared" si="6"/>
        <v>1647302838.0568142</v>
      </c>
      <c r="J15" s="114">
        <f t="shared" si="7"/>
        <v>215307846.93190545</v>
      </c>
      <c r="K15" s="114">
        <f t="shared" si="8"/>
        <v>58752899.030000001</v>
      </c>
      <c r="L15" s="114">
        <f t="shared" si="9"/>
        <v>232329223.55896202</v>
      </c>
      <c r="M15" s="659"/>
    </row>
    <row r="16" spans="1:13" ht="13">
      <c r="A16" s="2">
        <f t="shared" si="10"/>
        <v>4</v>
      </c>
      <c r="B16" s="507" t="s">
        <v>3092</v>
      </c>
      <c r="C16" s="114">
        <f t="shared" si="0"/>
        <v>99927290.202973545</v>
      </c>
      <c r="D16" s="114">
        <f t="shared" si="1"/>
        <v>187070729.56563032</v>
      </c>
      <c r="E16" s="114">
        <f t="shared" si="2"/>
        <v>983133652.30817771</v>
      </c>
      <c r="F16" s="114">
        <f t="shared" si="3"/>
        <v>4747601272.8459558</v>
      </c>
      <c r="G16" s="114">
        <f t="shared" si="4"/>
        <v>2530972555.4306073</v>
      </c>
      <c r="H16" s="114">
        <f t="shared" si="5"/>
        <v>456403109.46515381</v>
      </c>
      <c r="I16" s="114">
        <f t="shared" si="6"/>
        <v>1648231338.7288501</v>
      </c>
      <c r="J16" s="114">
        <f t="shared" si="7"/>
        <v>215307984.63228461</v>
      </c>
      <c r="K16" s="114">
        <f t="shared" si="8"/>
        <v>58752899.030000001</v>
      </c>
      <c r="L16" s="114">
        <f t="shared" si="9"/>
        <v>232335466.67063642</v>
      </c>
      <c r="M16" s="659"/>
    </row>
    <row r="17" spans="1:14" ht="13">
      <c r="A17" s="2">
        <f t="shared" si="10"/>
        <v>5</v>
      </c>
      <c r="B17" s="507" t="s">
        <v>3093</v>
      </c>
      <c r="C17" s="114">
        <f t="shared" si="0"/>
        <v>99927251.132973552</v>
      </c>
      <c r="D17" s="114">
        <f t="shared" si="1"/>
        <v>187074998.08469722</v>
      </c>
      <c r="E17" s="114">
        <f t="shared" si="2"/>
        <v>988677926.31101525</v>
      </c>
      <c r="F17" s="114">
        <f t="shared" si="3"/>
        <v>4771368455.8380165</v>
      </c>
      <c r="G17" s="114">
        <f t="shared" si="4"/>
        <v>2561190115.0269995</v>
      </c>
      <c r="H17" s="114">
        <f t="shared" si="5"/>
        <v>685306602.95617008</v>
      </c>
      <c r="I17" s="114">
        <f t="shared" si="6"/>
        <v>1723495444.3347497</v>
      </c>
      <c r="J17" s="114">
        <f t="shared" si="7"/>
        <v>215308122.33643004</v>
      </c>
      <c r="K17" s="114">
        <f t="shared" si="8"/>
        <v>58752899.030000001</v>
      </c>
      <c r="L17" s="114">
        <f t="shared" si="9"/>
        <v>232437724.80335957</v>
      </c>
      <c r="M17" s="659"/>
    </row>
    <row r="18" spans="1:14" ht="13">
      <c r="A18" s="2">
        <f t="shared" si="10"/>
        <v>6</v>
      </c>
      <c r="B18" s="507" t="s">
        <v>3094</v>
      </c>
      <c r="C18" s="114">
        <f t="shared" si="0"/>
        <v>99927251.132973552</v>
      </c>
      <c r="D18" s="114">
        <f t="shared" si="1"/>
        <v>187208696.81470928</v>
      </c>
      <c r="E18" s="114">
        <f t="shared" si="2"/>
        <v>990513794.23118711</v>
      </c>
      <c r="F18" s="114">
        <f t="shared" si="3"/>
        <v>4781408447.5073433</v>
      </c>
      <c r="G18" s="114">
        <f t="shared" si="4"/>
        <v>2559935932.8894205</v>
      </c>
      <c r="H18" s="114">
        <f t="shared" si="5"/>
        <v>943999766.36315584</v>
      </c>
      <c r="I18" s="114">
        <f t="shared" si="6"/>
        <v>1728241154.8461802</v>
      </c>
      <c r="J18" s="114">
        <f t="shared" si="7"/>
        <v>215308360.75425953</v>
      </c>
      <c r="K18" s="114">
        <f t="shared" si="8"/>
        <v>58752899.030000001</v>
      </c>
      <c r="L18" s="114">
        <f t="shared" si="9"/>
        <v>233116294.91278014</v>
      </c>
      <c r="M18" s="659"/>
    </row>
    <row r="19" spans="1:14" ht="13">
      <c r="A19" s="2">
        <f t="shared" si="10"/>
        <v>7</v>
      </c>
      <c r="B19" s="507" t="s">
        <v>3095</v>
      </c>
      <c r="C19" s="114">
        <f t="shared" si="0"/>
        <v>99929582.594760716</v>
      </c>
      <c r="D19" s="114">
        <f t="shared" si="1"/>
        <v>187216404.51849055</v>
      </c>
      <c r="E19" s="114">
        <f t="shared" si="2"/>
        <v>991358736.00196886</v>
      </c>
      <c r="F19" s="114">
        <f t="shared" si="3"/>
        <v>4884828941.4354143</v>
      </c>
      <c r="G19" s="114">
        <f t="shared" si="4"/>
        <v>2560213366.6430712</v>
      </c>
      <c r="H19" s="114">
        <f t="shared" si="5"/>
        <v>922763722.39420176</v>
      </c>
      <c r="I19" s="114">
        <f t="shared" si="6"/>
        <v>1668869243.3933151</v>
      </c>
      <c r="J19" s="114">
        <f t="shared" si="7"/>
        <v>215308499.62250713</v>
      </c>
      <c r="K19" s="114">
        <f t="shared" si="8"/>
        <v>58752899.030000001</v>
      </c>
      <c r="L19" s="114">
        <f t="shared" si="9"/>
        <v>249178516.35624209</v>
      </c>
      <c r="M19" s="659"/>
    </row>
    <row r="20" spans="1:14" ht="13">
      <c r="A20" s="2">
        <f t="shared" si="10"/>
        <v>8</v>
      </c>
      <c r="B20" s="507" t="s">
        <v>3096</v>
      </c>
      <c r="C20" s="114">
        <f t="shared" si="0"/>
        <v>100570710.28476071</v>
      </c>
      <c r="D20" s="114">
        <f t="shared" si="1"/>
        <v>187264836.41102588</v>
      </c>
      <c r="E20" s="114">
        <f t="shared" si="2"/>
        <v>992268583.75314367</v>
      </c>
      <c r="F20" s="114">
        <f t="shared" si="3"/>
        <v>4885906708.0319424</v>
      </c>
      <c r="G20" s="114">
        <f t="shared" si="4"/>
        <v>2579113406.6580873</v>
      </c>
      <c r="H20" s="114">
        <f t="shared" si="5"/>
        <v>812688929.96485925</v>
      </c>
      <c r="I20" s="114">
        <f t="shared" si="6"/>
        <v>1700721202.79598</v>
      </c>
      <c r="J20" s="114">
        <f t="shared" si="7"/>
        <v>215308639.57560736</v>
      </c>
      <c r="K20" s="114">
        <f t="shared" si="8"/>
        <v>58752899.030000001</v>
      </c>
      <c r="L20" s="114">
        <f t="shared" si="9"/>
        <v>250224626.40127668</v>
      </c>
      <c r="M20" s="659"/>
    </row>
    <row r="21" spans="1:14" ht="13">
      <c r="A21" s="2">
        <f t="shared" si="10"/>
        <v>9</v>
      </c>
      <c r="B21" s="507" t="s">
        <v>3097</v>
      </c>
      <c r="C21" s="114">
        <f t="shared" si="0"/>
        <v>100570701.6447607</v>
      </c>
      <c r="D21" s="114">
        <f t="shared" si="1"/>
        <v>187272565.03600955</v>
      </c>
      <c r="E21" s="114">
        <f t="shared" si="2"/>
        <v>994227728.91155398</v>
      </c>
      <c r="F21" s="114">
        <f t="shared" si="3"/>
        <v>4891833850.5022688</v>
      </c>
      <c r="G21" s="114">
        <f t="shared" si="4"/>
        <v>2577176190.2776084</v>
      </c>
      <c r="H21" s="114">
        <f t="shared" si="5"/>
        <v>975021110.82741261</v>
      </c>
      <c r="I21" s="114">
        <f t="shared" si="6"/>
        <v>1699707738.6786847</v>
      </c>
      <c r="J21" s="114">
        <f t="shared" si="7"/>
        <v>215308779.04787061</v>
      </c>
      <c r="K21" s="114">
        <f t="shared" si="8"/>
        <v>58752899.030000001</v>
      </c>
      <c r="L21" s="114">
        <f t="shared" si="9"/>
        <v>250429952.89308131</v>
      </c>
      <c r="M21" s="659"/>
    </row>
    <row r="22" spans="1:14" ht="13">
      <c r="A22" s="2">
        <f t="shared" si="10"/>
        <v>10</v>
      </c>
      <c r="B22" s="507" t="s">
        <v>3098</v>
      </c>
      <c r="C22" s="114">
        <f t="shared" si="0"/>
        <v>100570924.2647607</v>
      </c>
      <c r="D22" s="114">
        <f t="shared" si="1"/>
        <v>187281484.00417501</v>
      </c>
      <c r="E22" s="114">
        <f t="shared" si="2"/>
        <v>995087472.57552838</v>
      </c>
      <c r="F22" s="114">
        <f t="shared" si="3"/>
        <v>4894453766.536684</v>
      </c>
      <c r="G22" s="114">
        <f t="shared" si="4"/>
        <v>2578277637.454185</v>
      </c>
      <c r="H22" s="114">
        <f t="shared" si="5"/>
        <v>833659803.12033677</v>
      </c>
      <c r="I22" s="114">
        <f t="shared" si="6"/>
        <v>1710103930.0814176</v>
      </c>
      <c r="J22" s="114">
        <f t="shared" si="7"/>
        <v>215308921.00774693</v>
      </c>
      <c r="K22" s="114">
        <f t="shared" si="8"/>
        <v>58752899.030000001</v>
      </c>
      <c r="L22" s="114">
        <f t="shared" si="9"/>
        <v>250971207.32582802</v>
      </c>
      <c r="M22" s="659"/>
    </row>
    <row r="23" spans="1:14" ht="13">
      <c r="A23" s="2">
        <f t="shared" si="10"/>
        <v>11</v>
      </c>
      <c r="B23" s="507" t="s">
        <v>3099</v>
      </c>
      <c r="C23" s="114">
        <f t="shared" si="0"/>
        <v>100570912.3947607</v>
      </c>
      <c r="D23" s="114">
        <f t="shared" si="1"/>
        <v>187288564.7794795</v>
      </c>
      <c r="E23" s="114">
        <f t="shared" si="2"/>
        <v>996073049.66317523</v>
      </c>
      <c r="F23" s="114">
        <f t="shared" si="3"/>
        <v>4897133773.9709578</v>
      </c>
      <c r="G23" s="114">
        <f t="shared" si="4"/>
        <v>2584732668.1231337</v>
      </c>
      <c r="H23" s="114">
        <f t="shared" si="5"/>
        <v>676404465.24039459</v>
      </c>
      <c r="I23" s="114">
        <f t="shared" si="6"/>
        <v>1710408570.2204223</v>
      </c>
      <c r="J23" s="114">
        <f t="shared" si="7"/>
        <v>215309057.04981774</v>
      </c>
      <c r="K23" s="114">
        <f t="shared" si="8"/>
        <v>58752899.030000001</v>
      </c>
      <c r="L23" s="114">
        <f t="shared" si="9"/>
        <v>251270163.40483466</v>
      </c>
      <c r="M23" s="659"/>
    </row>
    <row r="24" spans="1:14" ht="13">
      <c r="A24" s="2">
        <f t="shared" si="10"/>
        <v>12</v>
      </c>
      <c r="B24" s="507" t="s">
        <v>3100</v>
      </c>
      <c r="C24" s="114">
        <f t="shared" si="0"/>
        <v>100570086.23136047</v>
      </c>
      <c r="D24" s="114">
        <f t="shared" si="1"/>
        <v>187296185.77585995</v>
      </c>
      <c r="E24" s="114">
        <f t="shared" si="2"/>
        <v>995533703.78994834</v>
      </c>
      <c r="F24" s="114">
        <f t="shared" si="3"/>
        <v>4898057409.8976994</v>
      </c>
      <c r="G24" s="114">
        <f t="shared" si="4"/>
        <v>2584741850.3234572</v>
      </c>
      <c r="H24" s="114">
        <f t="shared" si="5"/>
        <v>670978951.12628913</v>
      </c>
      <c r="I24" s="114">
        <f t="shared" si="6"/>
        <v>1709948475.8841112</v>
      </c>
      <c r="J24" s="114">
        <f t="shared" si="7"/>
        <v>215309258.95166999</v>
      </c>
      <c r="K24" s="114">
        <f t="shared" si="8"/>
        <v>58752899.030000001</v>
      </c>
      <c r="L24" s="114">
        <f t="shared" si="9"/>
        <v>252572086.60716563</v>
      </c>
      <c r="M24" s="659"/>
    </row>
    <row r="25" spans="1:14" ht="13">
      <c r="A25" s="2">
        <f t="shared" si="10"/>
        <v>13</v>
      </c>
      <c r="B25" s="1191" t="s">
        <v>3101</v>
      </c>
      <c r="C25" s="61">
        <v>100570233.46136045</v>
      </c>
      <c r="D25" s="61">
        <v>187326744.63357162</v>
      </c>
      <c r="E25" s="183">
        <f>'7-PlantStudy'!E10</f>
        <v>997121241.56282353</v>
      </c>
      <c r="F25" s="183">
        <f>'7-PlantStudy'!E11</f>
        <v>4909339726.8853455</v>
      </c>
      <c r="G25" s="183">
        <f>'7-PlantStudy'!E20</f>
        <v>2589498528.5157771</v>
      </c>
      <c r="H25" s="183">
        <f>'7-PlantStudy'!E21</f>
        <v>652727599.37119353</v>
      </c>
      <c r="I25" s="183">
        <f>'7-PlantStudy'!E22</f>
        <v>1745095033.8296139</v>
      </c>
      <c r="J25" s="183">
        <f>'7-PlantStudy'!E23</f>
        <v>215309410.45358056</v>
      </c>
      <c r="K25" s="183">
        <f>'7-PlantStudy'!E24</f>
        <v>58752899.030000001</v>
      </c>
      <c r="L25" s="183">
        <f>'7-PlantStudy'!E25</f>
        <v>252924342.04312441</v>
      </c>
      <c r="M25" s="659"/>
    </row>
    <row r="26" spans="1:14" ht="13">
      <c r="A26" s="2">
        <f t="shared" si="10"/>
        <v>14</v>
      </c>
      <c r="B26" s="559" t="s">
        <v>658</v>
      </c>
      <c r="C26" s="114">
        <f>AVERAGE(C13:C25)</f>
        <v>99134671.234005675</v>
      </c>
      <c r="D26" s="114">
        <f t="shared" ref="D26:L26" si="11">AVERAGE(D13:D25)</f>
        <v>187137802.62766069</v>
      </c>
      <c r="E26" s="114">
        <f t="shared" si="11"/>
        <v>989426820.79542708</v>
      </c>
      <c r="F26" s="114">
        <f t="shared" si="11"/>
        <v>4824587520.7654533</v>
      </c>
      <c r="G26" s="114">
        <f t="shared" si="11"/>
        <v>2560854396.6300845</v>
      </c>
      <c r="H26" s="114">
        <f t="shared" si="11"/>
        <v>709614332.60307586</v>
      </c>
      <c r="I26" s="114">
        <f t="shared" si="11"/>
        <v>1691118901.0999486</v>
      </c>
      <c r="J26" s="114">
        <f t="shared" si="11"/>
        <v>215308473.93203503</v>
      </c>
      <c r="K26" s="114">
        <f t="shared" si="11"/>
        <v>58752899.029999979</v>
      </c>
      <c r="L26" s="114">
        <f t="shared" si="11"/>
        <v>242494667.24965402</v>
      </c>
      <c r="M26" s="659"/>
    </row>
    <row r="27" spans="1:14" ht="13">
      <c r="A27" s="2"/>
      <c r="B27" s="559"/>
      <c r="C27" s="114"/>
      <c r="D27" s="114"/>
      <c r="E27" s="114"/>
      <c r="F27" s="114"/>
      <c r="G27" s="114"/>
      <c r="H27" s="114"/>
      <c r="I27" s="114"/>
      <c r="J27" s="114"/>
      <c r="K27" s="114"/>
      <c r="L27" s="114"/>
    </row>
    <row r="28" spans="1:14" ht="13">
      <c r="A28" s="2"/>
      <c r="B28" s="48" t="s">
        <v>345</v>
      </c>
      <c r="C28" s="48" t="s">
        <v>346</v>
      </c>
      <c r="D28" s="48" t="s">
        <v>347</v>
      </c>
      <c r="E28" s="48" t="s">
        <v>348</v>
      </c>
      <c r="F28" s="48" t="s">
        <v>349</v>
      </c>
      <c r="G28" s="48" t="s">
        <v>350</v>
      </c>
      <c r="H28" s="48" t="s">
        <v>351</v>
      </c>
      <c r="I28" s="48" t="s">
        <v>352</v>
      </c>
      <c r="J28" s="114"/>
      <c r="K28" s="114"/>
      <c r="L28" s="114"/>
      <c r="M28" s="48"/>
    </row>
    <row r="29" spans="1:14" ht="13">
      <c r="A29" s="2"/>
      <c r="B29" s="1082"/>
      <c r="C29" s="1082"/>
      <c r="D29" s="1082"/>
      <c r="E29" s="1082"/>
      <c r="F29" s="1082"/>
      <c r="G29" s="1082"/>
      <c r="H29" s="1082"/>
      <c r="I29" s="276" t="s">
        <v>2997</v>
      </c>
      <c r="J29" s="114"/>
      <c r="K29" s="114"/>
      <c r="L29" s="114"/>
      <c r="M29" s="48"/>
    </row>
    <row r="30" spans="1:14" ht="13">
      <c r="A30" s="2"/>
      <c r="B30" s="1082"/>
      <c r="C30" s="1082"/>
      <c r="D30" s="1082"/>
      <c r="E30" s="1082"/>
      <c r="F30" s="1082"/>
      <c r="G30" s="1082"/>
      <c r="H30" s="1082"/>
      <c r="I30" s="1099"/>
      <c r="J30" s="114"/>
      <c r="K30" s="114"/>
      <c r="L30" s="114"/>
      <c r="M30" s="48"/>
    </row>
    <row r="31" spans="1:14" ht="13">
      <c r="A31" s="233"/>
      <c r="B31" s="40" t="s">
        <v>3002</v>
      </c>
      <c r="C31" s="233"/>
      <c r="D31" s="233"/>
      <c r="E31" s="233"/>
      <c r="F31" s="233"/>
      <c r="G31" s="233"/>
      <c r="H31" s="233"/>
      <c r="I31" s="3" t="s">
        <v>369</v>
      </c>
      <c r="N31" s="1"/>
    </row>
    <row r="32" spans="1:14" ht="13">
      <c r="A32" s="233"/>
      <c r="B32" s="1203"/>
      <c r="C32" s="1203"/>
      <c r="D32" s="1203"/>
      <c r="E32" s="1203"/>
      <c r="F32" s="233"/>
      <c r="G32" s="1103"/>
      <c r="H32" s="233"/>
      <c r="I32" s="3" t="s">
        <v>659</v>
      </c>
    </row>
    <row r="33" spans="1:13" ht="13">
      <c r="A33" s="1" t="s">
        <v>282</v>
      </c>
      <c r="B33" s="3" t="s">
        <v>657</v>
      </c>
      <c r="C33" s="3">
        <v>351.1</v>
      </c>
      <c r="D33" s="48" t="s">
        <v>660</v>
      </c>
      <c r="E33" s="48" t="s">
        <v>661</v>
      </c>
      <c r="F33" s="48" t="s">
        <v>662</v>
      </c>
      <c r="G33" s="48" t="s">
        <v>663</v>
      </c>
      <c r="H33" s="3">
        <v>351.3</v>
      </c>
      <c r="I33" s="1152" t="s">
        <v>252</v>
      </c>
      <c r="J33" s="1071" t="s">
        <v>103</v>
      </c>
      <c r="K33" s="233"/>
      <c r="L33" s="233"/>
    </row>
    <row r="34" spans="1:13">
      <c r="A34" s="233" t="s">
        <v>664</v>
      </c>
      <c r="B34" s="507" t="s">
        <v>3089</v>
      </c>
      <c r="C34" s="1190">
        <v>14178381.389753928</v>
      </c>
      <c r="D34" s="1190">
        <v>0</v>
      </c>
      <c r="E34" s="1190">
        <v>0</v>
      </c>
      <c r="F34" s="1190">
        <v>0</v>
      </c>
      <c r="G34" s="1190">
        <v>0</v>
      </c>
      <c r="H34" s="1190">
        <v>132486138.33151276</v>
      </c>
      <c r="I34" s="235">
        <f t="shared" ref="I34:I46" si="12">SUM(C13:L13)+SUM(C34:H34)</f>
        <v>11454295855.570381</v>
      </c>
      <c r="J34" s="279" t="s">
        <v>3039</v>
      </c>
      <c r="K34" s="28"/>
      <c r="L34" s="28"/>
    </row>
    <row r="35" spans="1:13">
      <c r="A35" s="233" t="s">
        <v>665</v>
      </c>
      <c r="B35" s="507" t="s">
        <v>3090</v>
      </c>
      <c r="C35" s="1153">
        <f>C113*'7-PlantStudy'!F$28</f>
        <v>13636762.932951048</v>
      </c>
      <c r="D35" s="1153">
        <f>D113*'7-PlantStudy'!F$28</f>
        <v>0</v>
      </c>
      <c r="E35" s="1153">
        <f>E113*'7-PlantStudy'!F$28</f>
        <v>0</v>
      </c>
      <c r="F35" s="1153">
        <f>F113*'7-PlantStudy'!F$28</f>
        <v>0</v>
      </c>
      <c r="G35" s="1153">
        <f>G113*'7-PlantStudy'!F$28</f>
        <v>0</v>
      </c>
      <c r="H35" s="1153">
        <f>H113*'7-PlantStudy'!F$28</f>
        <v>127238233.68586612</v>
      </c>
      <c r="I35" s="235">
        <f>SUM(C14:L14)+SUM(C35:H35)</f>
        <v>11339365778.999935</v>
      </c>
      <c r="J35" s="247" t="s">
        <v>3040</v>
      </c>
      <c r="K35" s="28"/>
      <c r="L35" s="28"/>
    </row>
    <row r="36" spans="1:13">
      <c r="A36" s="233" t="s">
        <v>666</v>
      </c>
      <c r="B36" s="387" t="s">
        <v>3091</v>
      </c>
      <c r="C36" s="1153">
        <f>C114*'7-PlantStudy'!F$28</f>
        <v>15288637.592236195</v>
      </c>
      <c r="D36" s="1153">
        <f>D114*'7-PlantStudy'!F$28</f>
        <v>0</v>
      </c>
      <c r="E36" s="1153">
        <f>E114*'7-PlantStudy'!F$28</f>
        <v>0</v>
      </c>
      <c r="F36" s="1153">
        <f>F114*'7-PlantStudy'!F$28</f>
        <v>0</v>
      </c>
      <c r="G36" s="1153">
        <f>G114*'7-PlantStudy'!F$28</f>
        <v>0</v>
      </c>
      <c r="H36" s="1153">
        <f>H114*'7-PlantStudy'!F$28</f>
        <v>127362463.13189264</v>
      </c>
      <c r="I36" s="235">
        <f>SUM(C15:L15)+SUM(C36:H36)</f>
        <v>11218056054.4252</v>
      </c>
      <c r="J36" s="279" t="s">
        <v>3055</v>
      </c>
      <c r="K36" s="28"/>
      <c r="L36" s="28"/>
    </row>
    <row r="37" spans="1:13">
      <c r="A37" s="233" t="s">
        <v>667</v>
      </c>
      <c r="B37" s="507" t="s">
        <v>3092</v>
      </c>
      <c r="C37" s="1153">
        <f>C115*'7-PlantStudy'!F$28</f>
        <v>13877346.902100669</v>
      </c>
      <c r="D37" s="1153">
        <f>D115*'7-PlantStudy'!F$28</f>
        <v>0</v>
      </c>
      <c r="E37" s="1153">
        <f>E115*'7-PlantStudy'!F$28</f>
        <v>0</v>
      </c>
      <c r="F37" s="1153">
        <f>F115*'7-PlantStudy'!F$28</f>
        <v>0</v>
      </c>
      <c r="G37" s="1153">
        <f>G115*'7-PlantStudy'!F$28</f>
        <v>0</v>
      </c>
      <c r="H37" s="1153">
        <f>H115*'7-PlantStudy'!F$28</f>
        <v>129483009.76932834</v>
      </c>
      <c r="I37" s="235">
        <f t="shared" si="12"/>
        <v>11303096655.551699</v>
      </c>
      <c r="J37" s="232" t="s">
        <v>3056</v>
      </c>
      <c r="K37" s="28"/>
      <c r="L37" s="28"/>
    </row>
    <row r="38" spans="1:13">
      <c r="A38" s="233" t="s">
        <v>668</v>
      </c>
      <c r="B38" s="507" t="s">
        <v>3093</v>
      </c>
      <c r="C38" s="1153">
        <f>C116*'7-PlantStudy'!F$28</f>
        <v>13888068.207214035</v>
      </c>
      <c r="D38" s="1153">
        <f>D116*'7-PlantStudy'!F$28</f>
        <v>0</v>
      </c>
      <c r="E38" s="1153">
        <f>E116*'7-PlantStudy'!F$28</f>
        <v>0</v>
      </c>
      <c r="F38" s="1153">
        <f>F116*'7-PlantStudy'!F$28</f>
        <v>0</v>
      </c>
      <c r="G38" s="1153">
        <f>G116*'7-PlantStudy'!F$28</f>
        <v>0</v>
      </c>
      <c r="H38" s="1153">
        <f>H116*'7-PlantStudy'!F$28</f>
        <v>128957763.41309454</v>
      </c>
      <c r="I38" s="235">
        <f t="shared" si="12"/>
        <v>11666385371.47472</v>
      </c>
      <c r="J38" s="232" t="s">
        <v>3057</v>
      </c>
      <c r="K38" s="28"/>
      <c r="L38" s="28"/>
    </row>
    <row r="39" spans="1:13">
      <c r="A39" s="233" t="s">
        <v>669</v>
      </c>
      <c r="B39" s="507" t="s">
        <v>3094</v>
      </c>
      <c r="C39" s="1153">
        <f>C117*'7-PlantStudy'!F$28</f>
        <v>13897013.307726031</v>
      </c>
      <c r="D39" s="1153">
        <f>D117*'7-PlantStudy'!F$28</f>
        <v>0</v>
      </c>
      <c r="E39" s="1153">
        <f>E117*'7-PlantStudy'!F$28</f>
        <v>0</v>
      </c>
      <c r="F39" s="1153">
        <f>F117*'7-PlantStudy'!F$28</f>
        <v>0</v>
      </c>
      <c r="G39" s="1153">
        <f>G117*'7-PlantStudy'!F$28</f>
        <v>0</v>
      </c>
      <c r="H39" s="1153">
        <f>H117*'7-PlantStudy'!F$28</f>
        <v>129000576.8556643</v>
      </c>
      <c r="I39" s="235">
        <f t="shared" si="12"/>
        <v>11941310188.645401</v>
      </c>
      <c r="J39" s="232" t="s">
        <v>3058</v>
      </c>
      <c r="K39" s="28"/>
      <c r="L39" s="28"/>
    </row>
    <row r="40" spans="1:13">
      <c r="A40" s="233" t="s">
        <v>670</v>
      </c>
      <c r="B40" s="507" t="s">
        <v>3095</v>
      </c>
      <c r="C40" s="1153">
        <f>C118*'7-PlantStudy'!F$28</f>
        <v>13897013.307726031</v>
      </c>
      <c r="D40" s="1153">
        <f>D118*'7-PlantStudy'!F$28</f>
        <v>0</v>
      </c>
      <c r="E40" s="1153">
        <f>E118*'7-PlantStudy'!F$28</f>
        <v>0</v>
      </c>
      <c r="F40" s="1153">
        <f>F118*'7-PlantStudy'!F$28</f>
        <v>0</v>
      </c>
      <c r="G40" s="1153">
        <f>G118*'7-PlantStudy'!F$28</f>
        <v>0</v>
      </c>
      <c r="H40" s="1153">
        <f>H118*'7-PlantStudy'!F$28</f>
        <v>128523784.76732218</v>
      </c>
      <c r="I40" s="235">
        <f t="shared" si="12"/>
        <v>11980840710.06502</v>
      </c>
      <c r="J40" s="659"/>
      <c r="K40" s="28"/>
      <c r="L40" s="28"/>
    </row>
    <row r="41" spans="1:13">
      <c r="A41" s="233" t="s">
        <v>671</v>
      </c>
      <c r="B41" s="507" t="s">
        <v>3096</v>
      </c>
      <c r="C41" s="1153">
        <f>C119*'7-PlantStudy'!F$28</f>
        <v>14031099.138782362</v>
      </c>
      <c r="D41" s="1153">
        <f>D119*'7-PlantStudy'!F$28</f>
        <v>0</v>
      </c>
      <c r="E41" s="1153">
        <f>E119*'7-PlantStudy'!F$28</f>
        <v>0</v>
      </c>
      <c r="F41" s="1153">
        <f>F119*'7-PlantStudy'!F$28</f>
        <v>0</v>
      </c>
      <c r="G41" s="1153">
        <f>G119*'7-PlantStudy'!F$28</f>
        <v>0</v>
      </c>
      <c r="H41" s="1153">
        <f>H119*'7-PlantStudy'!F$28</f>
        <v>128766954.22740053</v>
      </c>
      <c r="I41" s="235">
        <f t="shared" si="12"/>
        <v>11925618596.272867</v>
      </c>
      <c r="J41" s="659"/>
      <c r="K41" s="28"/>
      <c r="L41" s="28"/>
    </row>
    <row r="42" spans="1:13">
      <c r="A42" s="233" t="s">
        <v>672</v>
      </c>
      <c r="B42" s="507" t="s">
        <v>3097</v>
      </c>
      <c r="C42" s="1153">
        <f>C120*'7-PlantStudy'!F$28</f>
        <v>14031452.441061586</v>
      </c>
      <c r="D42" s="1153">
        <f>D120*'7-PlantStudy'!F$28</f>
        <v>0</v>
      </c>
      <c r="E42" s="1153">
        <f>E120*'7-PlantStudy'!F$28</f>
        <v>0</v>
      </c>
      <c r="F42" s="1153">
        <f>F120*'7-PlantStudy'!F$28</f>
        <v>0</v>
      </c>
      <c r="G42" s="1153">
        <f>G120*'7-PlantStudy'!F$28</f>
        <v>0</v>
      </c>
      <c r="H42" s="1153">
        <f>H120*'7-PlantStudy'!F$28</f>
        <v>126753788.4652268</v>
      </c>
      <c r="I42" s="235">
        <f t="shared" si="12"/>
        <v>12091086757.755541</v>
      </c>
      <c r="J42" s="659"/>
      <c r="K42" s="28"/>
      <c r="L42" s="28"/>
    </row>
    <row r="43" spans="1:13">
      <c r="A43" s="233" t="s">
        <v>673</v>
      </c>
      <c r="B43" s="507" t="s">
        <v>3098</v>
      </c>
      <c r="C43" s="1153">
        <f>C121*'7-PlantStudy'!F$28</f>
        <v>14040446.453125957</v>
      </c>
      <c r="D43" s="1153">
        <f>D121*'7-PlantStudy'!F$28</f>
        <v>0</v>
      </c>
      <c r="E43" s="1153">
        <f>E121*'7-PlantStudy'!F$28</f>
        <v>0</v>
      </c>
      <c r="F43" s="1153">
        <f>F121*'7-PlantStudy'!F$28</f>
        <v>0</v>
      </c>
      <c r="G43" s="1153">
        <f>G121*'7-PlantStudy'!F$28</f>
        <v>0</v>
      </c>
      <c r="H43" s="1153">
        <f>H121*'7-PlantStudy'!F$28</f>
        <v>125686528.3801181</v>
      </c>
      <c r="I43" s="235">
        <f t="shared" si="12"/>
        <v>11964195020.233908</v>
      </c>
      <c r="J43" s="659"/>
      <c r="K43" s="28"/>
      <c r="L43" s="28"/>
    </row>
    <row r="44" spans="1:13">
      <c r="A44" s="233" t="s">
        <v>674</v>
      </c>
      <c r="B44" s="507" t="s">
        <v>3099</v>
      </c>
      <c r="C44" s="1153">
        <f>C122*'7-PlantStudy'!F$28</f>
        <v>1661342.1844159041</v>
      </c>
      <c r="D44" s="1153">
        <f>D122*'7-PlantStudy'!F$28</f>
        <v>0</v>
      </c>
      <c r="E44" s="1153">
        <f>E122*'7-PlantStudy'!F$28</f>
        <v>0</v>
      </c>
      <c r="F44" s="1153">
        <f>F122*'7-PlantStudy'!F$28</f>
        <v>0</v>
      </c>
      <c r="G44" s="1153">
        <f>G122*'7-PlantStudy'!F$28</f>
        <v>0</v>
      </c>
      <c r="H44" s="1153">
        <f>H122*'7-PlantStudy'!F$28</f>
        <v>124891262.95726645</v>
      </c>
      <c r="I44" s="235">
        <f t="shared" si="12"/>
        <v>11804496729.01866</v>
      </c>
      <c r="J44" s="659"/>
      <c r="K44" s="28"/>
      <c r="L44" s="28"/>
    </row>
    <row r="45" spans="1:13">
      <c r="A45" s="233" t="s">
        <v>675</v>
      </c>
      <c r="B45" s="507" t="s">
        <v>3100</v>
      </c>
      <c r="C45" s="1153">
        <f>C123*'7-PlantStudy'!F$28</f>
        <v>626001.4207617077</v>
      </c>
      <c r="D45" s="1153">
        <f>D123*'7-PlantStudy'!F$28</f>
        <v>0</v>
      </c>
      <c r="E45" s="1153">
        <f>E123*'7-PlantStudy'!F$28</f>
        <v>0</v>
      </c>
      <c r="F45" s="1153">
        <f>F123*'7-PlantStudy'!F$28</f>
        <v>0</v>
      </c>
      <c r="G45" s="1153">
        <f>G123*'7-PlantStudy'!F$28</f>
        <v>0</v>
      </c>
      <c r="H45" s="1153">
        <f>H123*'7-PlantStudy'!F$28</f>
        <v>124459479.64186096</v>
      </c>
      <c r="I45" s="235">
        <f t="shared" si="12"/>
        <v>11798846388.680185</v>
      </c>
      <c r="J45" s="659"/>
      <c r="K45" s="28"/>
      <c r="L45" s="28"/>
    </row>
    <row r="46" spans="1:13">
      <c r="A46" s="233" t="s">
        <v>676</v>
      </c>
      <c r="B46" s="1191" t="s">
        <v>3101</v>
      </c>
      <c r="C46" s="1188">
        <f>C124*'7-PlantStudy'!F$28</f>
        <v>599922.1049452459</v>
      </c>
      <c r="D46" s="1188">
        <f>D124*'7-PlantStudy'!F$28</f>
        <v>0</v>
      </c>
      <c r="E46" s="1188">
        <f>E124*'7-PlantStudy'!F$28</f>
        <v>0</v>
      </c>
      <c r="F46" s="1188">
        <f>F124*'7-PlantStudy'!F$28</f>
        <v>0</v>
      </c>
      <c r="G46" s="1188">
        <f>G124*'7-PlantStudy'!F$28</f>
        <v>0</v>
      </c>
      <c r="H46" s="1188">
        <f>H124*'7-PlantStudy'!F$28</f>
        <v>119009983.53697526</v>
      </c>
      <c r="I46" s="53">
        <f t="shared" si="12"/>
        <v>11828275665.428312</v>
      </c>
      <c r="J46" s="659"/>
      <c r="K46" s="28"/>
      <c r="L46" s="28"/>
      <c r="M46" s="233"/>
    </row>
    <row r="47" spans="1:13">
      <c r="A47" s="233" t="s">
        <v>677</v>
      </c>
      <c r="B47" s="559" t="s">
        <v>658</v>
      </c>
      <c r="C47" s="1153">
        <f>AVERAGE(C34:C46)</f>
        <v>11050268.260215439</v>
      </c>
      <c r="D47" s="1153">
        <f t="shared" ref="D47:G47" si="13">AVERAGE(D34:D46)</f>
        <v>0</v>
      </c>
      <c r="E47" s="1153">
        <f t="shared" si="13"/>
        <v>0</v>
      </c>
      <c r="F47" s="1153">
        <f t="shared" si="13"/>
        <v>0</v>
      </c>
      <c r="G47" s="1153">
        <f t="shared" si="13"/>
        <v>0</v>
      </c>
      <c r="H47" s="1153">
        <f>AVERAGE(H34:H46)</f>
        <v>127124612.858733</v>
      </c>
      <c r="I47" s="235">
        <f>AVERAGE(I34:I46)</f>
        <v>11716605367.086294</v>
      </c>
      <c r="J47" s="659"/>
      <c r="K47" s="233"/>
      <c r="L47" s="233"/>
    </row>
    <row r="48" spans="1:13">
      <c r="A48" s="610"/>
      <c r="B48" s="559"/>
      <c r="C48" s="233"/>
      <c r="D48" s="233"/>
      <c r="E48" s="233"/>
      <c r="F48" s="233"/>
      <c r="G48" s="233"/>
      <c r="H48" s="233"/>
      <c r="I48" s="233"/>
    </row>
    <row r="49" spans="1:12" ht="13">
      <c r="A49" s="233"/>
      <c r="B49" s="197" t="s">
        <v>678</v>
      </c>
      <c r="C49" s="233"/>
      <c r="D49" s="233"/>
      <c r="E49" s="233"/>
      <c r="F49" s="233"/>
      <c r="G49" s="233"/>
      <c r="H49" s="233"/>
      <c r="I49" s="233"/>
      <c r="J49" s="233"/>
      <c r="K49" s="233"/>
      <c r="L49" s="233"/>
    </row>
    <row r="50" spans="1:12">
      <c r="A50" s="233"/>
      <c r="B50" s="112" t="s">
        <v>679</v>
      </c>
      <c r="C50" s="233"/>
      <c r="D50" s="233"/>
      <c r="E50" s="233"/>
      <c r="F50" s="233"/>
      <c r="G50" s="233"/>
      <c r="H50" s="233"/>
      <c r="I50" s="233"/>
      <c r="J50" s="233"/>
      <c r="K50" s="233"/>
      <c r="L50" s="233"/>
    </row>
    <row r="51" spans="1:12" ht="13">
      <c r="A51" s="233"/>
      <c r="B51" s="197"/>
      <c r="C51" s="233"/>
      <c r="D51" s="233"/>
      <c r="E51" s="233"/>
      <c r="F51" s="233"/>
      <c r="G51" s="233"/>
      <c r="H51" s="233"/>
      <c r="I51" s="233"/>
      <c r="J51" s="233"/>
      <c r="K51" s="233"/>
      <c r="L51" s="233"/>
    </row>
    <row r="52" spans="1:12" ht="13">
      <c r="A52" s="197"/>
      <c r="B52" s="48" t="s">
        <v>345</v>
      </c>
      <c r="C52" s="48" t="s">
        <v>346</v>
      </c>
      <c r="D52" s="48" t="s">
        <v>347</v>
      </c>
      <c r="E52" s="48" t="s">
        <v>348</v>
      </c>
      <c r="F52" s="48" t="s">
        <v>349</v>
      </c>
      <c r="G52" s="233"/>
      <c r="H52" s="233"/>
      <c r="I52" s="233"/>
      <c r="J52" s="233"/>
      <c r="K52" s="233"/>
      <c r="L52" s="233"/>
    </row>
    <row r="53" spans="1:12">
      <c r="A53" s="112"/>
      <c r="B53" s="125"/>
      <c r="C53" s="112"/>
      <c r="D53" s="112"/>
      <c r="E53" s="112"/>
      <c r="F53" s="125" t="s">
        <v>680</v>
      </c>
      <c r="G53" s="233"/>
      <c r="H53" s="233"/>
      <c r="K53" s="233"/>
      <c r="L53" s="233"/>
    </row>
    <row r="54" spans="1:12" ht="13">
      <c r="A54" s="112"/>
      <c r="B54" s="2"/>
      <c r="C54" s="48"/>
      <c r="D54" s="48"/>
      <c r="E54" s="112"/>
      <c r="F54" s="112"/>
      <c r="G54" s="233"/>
      <c r="H54" s="233"/>
      <c r="K54" s="233"/>
      <c r="L54" s="233"/>
    </row>
    <row r="55" spans="1:12" ht="12.75" customHeight="1">
      <c r="A55" s="30" t="s">
        <v>282</v>
      </c>
      <c r="B55" s="3" t="s">
        <v>657</v>
      </c>
      <c r="C55" s="184">
        <v>360</v>
      </c>
      <c r="D55" s="184">
        <v>361</v>
      </c>
      <c r="E55" s="184">
        <v>362</v>
      </c>
      <c r="F55" s="3" t="s">
        <v>252</v>
      </c>
      <c r="G55" s="233"/>
      <c r="H55" s="233"/>
      <c r="K55" s="233"/>
      <c r="L55" s="233"/>
    </row>
    <row r="56" spans="1:12" ht="12.75" customHeight="1">
      <c r="A56" s="2">
        <f>A26+1</f>
        <v>15</v>
      </c>
      <c r="B56" s="387" t="s">
        <v>3089</v>
      </c>
      <c r="C56" s="116">
        <v>0</v>
      </c>
      <c r="D56" s="116">
        <v>0</v>
      </c>
      <c r="E56" s="116">
        <v>0</v>
      </c>
      <c r="F56" s="114">
        <f>SUM(C56:E56)</f>
        <v>0</v>
      </c>
      <c r="G56" s="233"/>
      <c r="H56" s="233"/>
      <c r="K56" s="233"/>
      <c r="L56" s="233"/>
    </row>
    <row r="57" spans="1:12" ht="12.75" customHeight="1">
      <c r="A57" s="2">
        <f>A56+1</f>
        <v>16</v>
      </c>
      <c r="B57" s="1197" t="s">
        <v>3101</v>
      </c>
      <c r="C57" s="199">
        <v>0</v>
      </c>
      <c r="D57" s="199">
        <v>0</v>
      </c>
      <c r="E57" s="199">
        <v>0</v>
      </c>
      <c r="F57" s="183">
        <f>SUM(C57:E57)</f>
        <v>0</v>
      </c>
      <c r="G57" s="233"/>
      <c r="H57" s="233"/>
      <c r="K57" s="233"/>
      <c r="L57" s="233"/>
    </row>
    <row r="58" spans="1:12" ht="12.75" customHeight="1">
      <c r="A58" s="2">
        <f>A57+1</f>
        <v>17</v>
      </c>
      <c r="B58" s="559" t="s">
        <v>681</v>
      </c>
      <c r="C58" s="114">
        <f>AVERAGE(C56:C57)</f>
        <v>0</v>
      </c>
      <c r="D58" s="114">
        <f>AVERAGE(D56:D57)</f>
        <v>0</v>
      </c>
      <c r="E58" s="114">
        <f>AVERAGE(E56:E57)</f>
        <v>0</v>
      </c>
      <c r="F58" s="114">
        <f>AVERAGE(F56:F57)</f>
        <v>0</v>
      </c>
      <c r="G58" s="233"/>
      <c r="H58" s="233"/>
      <c r="K58" s="233"/>
      <c r="L58" s="233"/>
    </row>
    <row r="59" spans="1:12" ht="12.75" customHeight="1">
      <c r="A59" s="233"/>
      <c r="B59" s="233"/>
      <c r="C59" s="233"/>
      <c r="D59" s="233"/>
      <c r="E59" s="233"/>
      <c r="F59" s="233"/>
      <c r="G59" s="233"/>
      <c r="H59" s="233"/>
      <c r="K59" s="233"/>
      <c r="L59" s="233"/>
    </row>
    <row r="60" spans="1:12" ht="13">
      <c r="A60" s="233"/>
      <c r="B60" s="1" t="s">
        <v>682</v>
      </c>
      <c r="C60" s="334"/>
      <c r="D60" s="334"/>
      <c r="E60" s="311"/>
      <c r="F60" s="560"/>
      <c r="G60" s="561"/>
      <c r="H60" s="233"/>
      <c r="K60" s="233"/>
      <c r="L60" s="233"/>
    </row>
    <row r="61" spans="1:12" ht="13">
      <c r="A61" s="233"/>
      <c r="B61" s="233" t="s">
        <v>683</v>
      </c>
      <c r="C61" s="334"/>
      <c r="D61" s="334"/>
      <c r="E61" s="311"/>
      <c r="F61" s="560"/>
      <c r="G61" s="561"/>
      <c r="H61" s="233"/>
      <c r="K61" s="233"/>
      <c r="L61" s="233"/>
    </row>
    <row r="62" spans="1:12" ht="13">
      <c r="A62" s="233"/>
      <c r="B62" s="233"/>
      <c r="C62" s="334"/>
      <c r="D62" s="334"/>
      <c r="E62" s="311"/>
      <c r="F62" s="560"/>
      <c r="G62" s="561"/>
      <c r="H62" s="233"/>
      <c r="K62" s="233"/>
      <c r="L62" s="233"/>
    </row>
    <row r="63" spans="1:12" ht="13">
      <c r="A63" s="233"/>
      <c r="B63" s="233"/>
      <c r="C63" s="334"/>
      <c r="D63" s="562" t="s">
        <v>81</v>
      </c>
      <c r="E63" s="328" t="s">
        <v>684</v>
      </c>
      <c r="F63" s="560"/>
      <c r="G63" s="561"/>
      <c r="H63" s="233"/>
      <c r="K63" s="233"/>
      <c r="L63" s="233"/>
    </row>
    <row r="64" spans="1:12" ht="13">
      <c r="A64" s="2">
        <f>A58+1</f>
        <v>18</v>
      </c>
      <c r="B64" s="233"/>
      <c r="C64" s="311" t="s">
        <v>685</v>
      </c>
      <c r="D64" s="560">
        <f>I47+F58</f>
        <v>11716605367.086294</v>
      </c>
      <c r="E64" s="1154" t="s">
        <v>3026</v>
      </c>
      <c r="F64" s="233"/>
      <c r="G64" s="233"/>
      <c r="H64" s="233"/>
      <c r="K64" s="233"/>
      <c r="L64" s="233"/>
    </row>
    <row r="65" spans="1:12" ht="13">
      <c r="A65" s="2">
        <f>A64+1</f>
        <v>19</v>
      </c>
      <c r="B65" s="233"/>
      <c r="C65" s="311" t="s">
        <v>686</v>
      </c>
      <c r="D65" s="560">
        <f>I46+F57</f>
        <v>11828275665.428312</v>
      </c>
      <c r="E65" s="1154" t="s">
        <v>3027</v>
      </c>
      <c r="F65" s="233"/>
      <c r="G65" s="233"/>
      <c r="H65" s="233"/>
      <c r="I65" s="233"/>
      <c r="J65" s="233"/>
      <c r="K65" s="233"/>
      <c r="L65" s="233"/>
    </row>
    <row r="66" spans="1:12" ht="13">
      <c r="A66" s="233"/>
      <c r="B66" s="233"/>
      <c r="C66" s="334"/>
      <c r="D66" s="334"/>
      <c r="E66" s="303"/>
      <c r="F66" s="563"/>
      <c r="G66" s="564"/>
      <c r="H66" s="233"/>
      <c r="I66" s="233"/>
      <c r="J66" s="233"/>
      <c r="K66" s="233"/>
      <c r="L66" s="233"/>
    </row>
    <row r="67" spans="1:12" ht="13">
      <c r="A67" s="233"/>
      <c r="B67" s="1" t="s">
        <v>687</v>
      </c>
      <c r="C67" s="233"/>
      <c r="D67" s="233"/>
      <c r="E67" s="303"/>
      <c r="F67" s="563"/>
      <c r="G67" s="564"/>
      <c r="H67" s="233"/>
      <c r="I67" s="233"/>
      <c r="J67" s="233"/>
      <c r="K67" s="233"/>
      <c r="L67" s="233"/>
    </row>
    <row r="68" spans="1:12">
      <c r="A68" s="233"/>
      <c r="B68" s="232" t="s">
        <v>688</v>
      </c>
      <c r="C68" s="233"/>
      <c r="D68" s="233"/>
      <c r="E68" s="303"/>
      <c r="F68" s="563"/>
      <c r="G68" s="564"/>
      <c r="H68" s="233"/>
      <c r="I68" s="233"/>
      <c r="J68" s="233"/>
      <c r="K68" s="233"/>
      <c r="L68" s="233"/>
    </row>
    <row r="69" spans="1:12" ht="12.75" customHeight="1">
      <c r="A69" s="233"/>
      <c r="B69" s="232"/>
      <c r="C69" s="233"/>
      <c r="D69" s="233"/>
      <c r="E69" s="303"/>
      <c r="F69" s="563"/>
      <c r="G69" s="564"/>
      <c r="H69" s="233"/>
      <c r="I69" s="233"/>
      <c r="J69" s="233"/>
      <c r="K69" s="233"/>
      <c r="L69" s="233"/>
    </row>
    <row r="70" spans="1:12" ht="13">
      <c r="A70" s="233"/>
      <c r="B70" s="1"/>
      <c r="C70" s="1087"/>
      <c r="D70" s="233"/>
      <c r="E70" s="303"/>
      <c r="F70" s="48" t="s">
        <v>345</v>
      </c>
      <c r="G70" s="48" t="s">
        <v>346</v>
      </c>
      <c r="H70" s="48" t="s">
        <v>347</v>
      </c>
      <c r="I70" s="233"/>
      <c r="J70" s="233"/>
      <c r="K70" s="233"/>
      <c r="L70" s="233"/>
    </row>
    <row r="71" spans="1:12" ht="13">
      <c r="A71" s="233"/>
      <c r="B71" s="1"/>
      <c r="C71" s="2" t="s">
        <v>423</v>
      </c>
      <c r="D71" s="303"/>
      <c r="F71" s="2" t="s">
        <v>689</v>
      </c>
      <c r="G71" s="2" t="s">
        <v>690</v>
      </c>
      <c r="H71" s="554" t="s">
        <v>252</v>
      </c>
      <c r="I71" s="564"/>
      <c r="J71" s="233"/>
      <c r="K71" s="233"/>
      <c r="L71" s="233"/>
    </row>
    <row r="72" spans="1:12" ht="13">
      <c r="A72" s="233"/>
      <c r="B72" s="233"/>
      <c r="C72" s="2" t="s">
        <v>381</v>
      </c>
      <c r="D72" s="310" t="s">
        <v>691</v>
      </c>
      <c r="F72" s="310" t="s">
        <v>692</v>
      </c>
      <c r="G72" s="310" t="s">
        <v>692</v>
      </c>
      <c r="H72" s="310" t="s">
        <v>693</v>
      </c>
      <c r="I72" s="310"/>
      <c r="J72" s="233"/>
      <c r="K72" s="233"/>
      <c r="L72" s="233"/>
    </row>
    <row r="73" spans="1:12" ht="13">
      <c r="A73" s="233"/>
      <c r="B73" s="233"/>
      <c r="C73" s="3" t="s">
        <v>380</v>
      </c>
      <c r="D73" s="328" t="s">
        <v>684</v>
      </c>
      <c r="F73" s="328" t="s">
        <v>694</v>
      </c>
      <c r="G73" s="328" t="s">
        <v>694</v>
      </c>
      <c r="H73" s="328" t="s">
        <v>694</v>
      </c>
      <c r="I73" s="328" t="s">
        <v>103</v>
      </c>
      <c r="J73" s="233"/>
      <c r="K73" s="233"/>
      <c r="L73" s="233"/>
    </row>
    <row r="74" spans="1:12" ht="13">
      <c r="A74" s="2">
        <f>A65+1</f>
        <v>20</v>
      </c>
      <c r="B74" s="233"/>
      <c r="C74" s="303" t="s">
        <v>388</v>
      </c>
      <c r="D74" s="553" t="s">
        <v>695</v>
      </c>
      <c r="F74" s="1171">
        <v>5942598429.0500145</v>
      </c>
      <c r="G74" s="1110">
        <v>343415450.13999939</v>
      </c>
      <c r="H74" s="560">
        <f>SUM(F74:G74)</f>
        <v>6286013879.1900139</v>
      </c>
      <c r="I74" s="553" t="s">
        <v>3078</v>
      </c>
      <c r="J74" s="233"/>
      <c r="K74" s="233"/>
      <c r="L74" s="233"/>
    </row>
    <row r="75" spans="1:12" ht="12.75" customHeight="1">
      <c r="A75" s="2">
        <f>A74+1</f>
        <v>21</v>
      </c>
      <c r="B75" s="233"/>
      <c r="C75" s="329" t="s">
        <v>388</v>
      </c>
      <c r="D75" s="553" t="s">
        <v>696</v>
      </c>
      <c r="F75" s="1171">
        <v>6341550135</v>
      </c>
      <c r="G75" s="1110">
        <v>344800685</v>
      </c>
      <c r="H75" s="560">
        <f>SUM(F75:G75)</f>
        <v>6686350820</v>
      </c>
      <c r="I75" s="232" t="s">
        <v>697</v>
      </c>
      <c r="J75" s="233"/>
      <c r="K75" s="586"/>
      <c r="L75" s="233"/>
    </row>
    <row r="76" spans="1:12" ht="12.75" customHeight="1">
      <c r="A76" s="233"/>
      <c r="B76" s="233"/>
      <c r="C76" s="329"/>
      <c r="D76" s="565"/>
      <c r="E76" s="566"/>
      <c r="F76" s="560"/>
      <c r="G76" s="232"/>
      <c r="H76" s="233"/>
      <c r="I76" s="233"/>
      <c r="J76" s="233"/>
      <c r="K76" s="233"/>
      <c r="L76" s="233"/>
    </row>
    <row r="77" spans="1:12" ht="12.75" customHeight="1">
      <c r="A77" s="233"/>
      <c r="B77" s="233"/>
      <c r="C77" s="334" t="s">
        <v>698</v>
      </c>
      <c r="D77" s="334"/>
      <c r="E77" s="303"/>
      <c r="F77" s="328" t="s">
        <v>81</v>
      </c>
      <c r="G77" s="567" t="s">
        <v>684</v>
      </c>
      <c r="H77" s="233"/>
      <c r="I77" s="233"/>
      <c r="J77" s="233"/>
      <c r="K77" s="233"/>
      <c r="L77" s="233"/>
    </row>
    <row r="78" spans="1:12" ht="13">
      <c r="A78" s="2">
        <f>A75+1</f>
        <v>22</v>
      </c>
      <c r="B78" s="233"/>
      <c r="C78" s="334"/>
      <c r="D78" s="334"/>
      <c r="E78" s="311" t="s">
        <v>699</v>
      </c>
      <c r="F78" s="560">
        <f>(H74+H75)/2</f>
        <v>6486182349.5950069</v>
      </c>
      <c r="G78" s="257" t="str">
        <f>"Average of Line "&amp;A74&amp;" and "&amp;A75&amp;"."</f>
        <v>Average of Line 20 and 21.</v>
      </c>
      <c r="H78" s="233"/>
      <c r="I78" s="1176"/>
      <c r="J78" s="1176"/>
      <c r="K78" s="233"/>
      <c r="L78" s="233"/>
    </row>
    <row r="79" spans="1:12" ht="13">
      <c r="A79" s="2">
        <f>A78+1</f>
        <v>23</v>
      </c>
      <c r="B79" s="233"/>
      <c r="C79" s="334"/>
      <c r="D79" s="334"/>
      <c r="E79" s="311" t="s">
        <v>700</v>
      </c>
      <c r="F79" s="568">
        <f>'27-Allocators'!G15</f>
        <v>6.4531762547854879E-2</v>
      </c>
      <c r="G79" s="257" t="str">
        <f>"27-Allocators, Line "&amp;'27-Allocators'!A15&amp;""</f>
        <v>27-Allocators, Line 9</v>
      </c>
      <c r="H79" s="233"/>
      <c r="I79" s="1176"/>
      <c r="J79" s="1176"/>
      <c r="K79" s="233"/>
      <c r="L79" s="233"/>
    </row>
    <row r="80" spans="1:12" ht="13">
      <c r="A80" s="2">
        <f>A79+1</f>
        <v>24</v>
      </c>
      <c r="B80" s="233"/>
      <c r="C80" s="334"/>
      <c r="D80" s="334"/>
      <c r="E80" s="311" t="s">
        <v>701</v>
      </c>
      <c r="F80" s="560">
        <f>F78*F79</f>
        <v>418564779.22615242</v>
      </c>
      <c r="G80" s="257" t="str">
        <f>"Line "&amp;A78&amp;" * Line "&amp;A79&amp;"."</f>
        <v>Line 22 * Line 23.</v>
      </c>
      <c r="H80" s="233"/>
      <c r="I80" s="233"/>
      <c r="J80" s="233"/>
      <c r="K80" s="233"/>
      <c r="L80" s="233"/>
    </row>
    <row r="81" spans="1:13" ht="13">
      <c r="A81" s="233"/>
      <c r="B81" s="233"/>
      <c r="C81" s="334"/>
      <c r="D81" s="334"/>
      <c r="E81" s="311"/>
      <c r="F81" s="560"/>
      <c r="G81" s="561"/>
      <c r="H81" s="233"/>
      <c r="I81" s="233"/>
      <c r="J81" s="233"/>
      <c r="K81" s="233"/>
      <c r="L81" s="233"/>
    </row>
    <row r="82" spans="1:13" ht="13">
      <c r="A82" s="233"/>
      <c r="B82" s="233"/>
      <c r="C82" s="334" t="s">
        <v>702</v>
      </c>
      <c r="D82" s="334"/>
      <c r="E82" s="303"/>
      <c r="F82" s="328" t="s">
        <v>81</v>
      </c>
      <c r="G82" s="567" t="s">
        <v>684</v>
      </c>
      <c r="H82" s="233"/>
      <c r="I82" s="233"/>
      <c r="J82" s="233"/>
      <c r="K82" s="233"/>
      <c r="L82" s="233"/>
    </row>
    <row r="83" spans="1:13" ht="13">
      <c r="A83" s="2">
        <f>A80+1</f>
        <v>25</v>
      </c>
      <c r="B83" s="233"/>
      <c r="C83" s="334"/>
      <c r="D83" s="334"/>
      <c r="E83" s="311" t="s">
        <v>686</v>
      </c>
      <c r="F83" s="560">
        <f>H75</f>
        <v>6686350820</v>
      </c>
      <c r="G83" s="257" t="str">
        <f>"Line "&amp;A75&amp;"."</f>
        <v>Line 21.</v>
      </c>
      <c r="H83" s="233"/>
      <c r="I83" s="233"/>
      <c r="J83" s="233"/>
      <c r="K83" s="233"/>
      <c r="L83" s="233"/>
    </row>
    <row r="84" spans="1:13" ht="13">
      <c r="A84" s="2">
        <f>A83+1</f>
        <v>26</v>
      </c>
      <c r="B84" s="233"/>
      <c r="C84" s="334"/>
      <c r="D84" s="334"/>
      <c r="E84" s="311" t="s">
        <v>700</v>
      </c>
      <c r="F84" s="568">
        <f>'27-Allocators'!G15</f>
        <v>6.4531762547854879E-2</v>
      </c>
      <c r="G84" s="257" t="str">
        <f>"27-Allocators, Line "&amp;'27-Allocators'!A15&amp;""</f>
        <v>27-Allocators, Line 9</v>
      </c>
      <c r="H84" s="233"/>
      <c r="I84" s="233"/>
      <c r="J84" s="233"/>
      <c r="K84" s="233"/>
      <c r="L84" s="233"/>
    </row>
    <row r="85" spans="1:13" ht="13">
      <c r="A85" s="2">
        <f>A84+1</f>
        <v>27</v>
      </c>
      <c r="B85" s="233"/>
      <c r="C85" s="334"/>
      <c r="D85" s="334"/>
      <c r="E85" s="311" t="s">
        <v>701</v>
      </c>
      <c r="F85" s="560">
        <f>F83*F84</f>
        <v>431482003.42789477</v>
      </c>
      <c r="G85" s="257" t="str">
        <f>"Line "&amp;A83&amp;" * Line "&amp;A84&amp;"."</f>
        <v>Line 25 * Line 26.</v>
      </c>
      <c r="H85" s="233"/>
      <c r="I85" s="233"/>
      <c r="J85" s="233"/>
      <c r="K85" s="233"/>
      <c r="L85" s="233"/>
    </row>
    <row r="86" spans="1:13">
      <c r="A86" s="233"/>
      <c r="B86" s="233"/>
      <c r="C86" s="233"/>
      <c r="D86" s="233"/>
      <c r="E86" s="233"/>
      <c r="F86" s="233"/>
      <c r="G86" s="233"/>
      <c r="H86" s="233"/>
      <c r="I86" s="233"/>
      <c r="J86" s="233"/>
      <c r="K86" s="233"/>
      <c r="L86" s="233"/>
    </row>
    <row r="87" spans="1:13" ht="13">
      <c r="A87" s="233"/>
      <c r="B87" s="1" t="s">
        <v>703</v>
      </c>
      <c r="C87" s="233"/>
      <c r="D87" s="233"/>
      <c r="E87" s="233"/>
      <c r="F87" s="233"/>
      <c r="G87" s="233"/>
      <c r="H87" s="233"/>
      <c r="I87" s="233"/>
      <c r="J87" s="233"/>
      <c r="K87" s="233"/>
      <c r="L87" s="233"/>
    </row>
    <row r="88" spans="1:13">
      <c r="A88" s="233"/>
      <c r="C88" s="233"/>
      <c r="D88" s="233"/>
      <c r="E88" s="233"/>
      <c r="F88" s="233"/>
      <c r="G88" s="233"/>
      <c r="H88" s="233"/>
      <c r="I88" s="233"/>
      <c r="J88" s="233"/>
      <c r="K88" s="233"/>
      <c r="L88" s="233"/>
    </row>
    <row r="89" spans="1:13" ht="13">
      <c r="B89" s="1" t="s">
        <v>704</v>
      </c>
      <c r="C89" s="233"/>
      <c r="D89" s="233"/>
      <c r="E89" s="233"/>
      <c r="F89" s="233"/>
      <c r="G89" s="233"/>
      <c r="H89" s="233"/>
      <c r="I89" s="233"/>
      <c r="J89" s="233"/>
      <c r="K89" s="233"/>
      <c r="L89" s="233"/>
    </row>
    <row r="90" spans="1:13" ht="13">
      <c r="A90" s="233"/>
      <c r="B90" s="40" t="s">
        <v>3003</v>
      </c>
      <c r="C90" s="233"/>
      <c r="D90" s="233"/>
      <c r="E90" s="233"/>
      <c r="F90" s="233"/>
      <c r="G90" s="233"/>
      <c r="H90" s="233"/>
      <c r="I90" s="233"/>
      <c r="J90" s="233"/>
      <c r="K90" s="233"/>
      <c r="L90" s="233"/>
    </row>
    <row r="91" spans="1:13" ht="13">
      <c r="A91" s="197"/>
      <c r="B91" s="48" t="s">
        <v>345</v>
      </c>
      <c r="C91" s="48" t="s">
        <v>346</v>
      </c>
      <c r="D91" s="48" t="s">
        <v>347</v>
      </c>
      <c r="E91" s="48" t="s">
        <v>348</v>
      </c>
      <c r="F91" s="48" t="s">
        <v>349</v>
      </c>
      <c r="G91" s="48" t="s">
        <v>350</v>
      </c>
      <c r="H91" s="48" t="s">
        <v>351</v>
      </c>
      <c r="I91" s="48" t="s">
        <v>352</v>
      </c>
      <c r="J91" s="48" t="s">
        <v>353</v>
      </c>
      <c r="K91" s="48" t="s">
        <v>603</v>
      </c>
      <c r="L91" s="48" t="s">
        <v>604</v>
      </c>
      <c r="M91" s="48" t="s">
        <v>605</v>
      </c>
    </row>
    <row r="92" spans="1:13">
      <c r="A92" s="112"/>
      <c r="B92" s="125"/>
      <c r="C92" s="112"/>
      <c r="D92" s="112"/>
      <c r="E92" s="112"/>
      <c r="F92" s="112"/>
      <c r="G92" s="112"/>
      <c r="H92" s="112"/>
      <c r="I92" s="112"/>
      <c r="J92" s="112"/>
      <c r="K92" s="112"/>
      <c r="M92" s="125" t="s">
        <v>656</v>
      </c>
    </row>
    <row r="93" spans="1:13" ht="13">
      <c r="A93" s="30"/>
      <c r="B93" s="3" t="s">
        <v>657</v>
      </c>
      <c r="C93" s="48">
        <v>350.1</v>
      </c>
      <c r="D93" s="48">
        <v>350.2</v>
      </c>
      <c r="E93" s="48">
        <v>352</v>
      </c>
      <c r="F93" s="48">
        <v>353</v>
      </c>
      <c r="G93" s="48">
        <v>354</v>
      </c>
      <c r="H93" s="48">
        <v>355</v>
      </c>
      <c r="I93" s="48">
        <v>356</v>
      </c>
      <c r="J93" s="48">
        <v>357</v>
      </c>
      <c r="K93" s="48">
        <v>358</v>
      </c>
      <c r="L93" s="48">
        <v>359</v>
      </c>
      <c r="M93" s="3" t="s">
        <v>252</v>
      </c>
    </row>
    <row r="94" spans="1:13" ht="13">
      <c r="A94" s="2">
        <f>A85+1</f>
        <v>28</v>
      </c>
      <c r="B94" s="507" t="s">
        <v>3089</v>
      </c>
      <c r="C94" s="253">
        <v>146241673.55000001</v>
      </c>
      <c r="D94" s="253">
        <v>246483949.53</v>
      </c>
      <c r="E94" s="116">
        <v>1538871558.3399999</v>
      </c>
      <c r="F94" s="116">
        <v>8271105017.7299995</v>
      </c>
      <c r="G94" s="116">
        <v>2627594260.3400002</v>
      </c>
      <c r="H94" s="116">
        <v>2637972028.8599997</v>
      </c>
      <c r="I94" s="116">
        <v>2170489029.1700001</v>
      </c>
      <c r="J94" s="116">
        <v>339261207.38999999</v>
      </c>
      <c r="K94" s="116">
        <v>465081503.66000003</v>
      </c>
      <c r="L94" s="116">
        <v>261243804.00999999</v>
      </c>
      <c r="M94" s="114">
        <f t="shared" ref="M94:M105" si="14">SUM(C94:L94)</f>
        <v>18704344032.579994</v>
      </c>
    </row>
    <row r="95" spans="1:13" ht="14.5">
      <c r="A95" s="2">
        <f t="shared" ref="A95:A106" si="15">A94+1</f>
        <v>29</v>
      </c>
      <c r="B95" s="507" t="s">
        <v>3090</v>
      </c>
      <c r="C95" s="253">
        <v>146242324.71000001</v>
      </c>
      <c r="D95" s="253">
        <v>246621621.58000001</v>
      </c>
      <c r="E95" s="116">
        <v>1544181552.78</v>
      </c>
      <c r="F95" s="116">
        <v>8294171987.6400003</v>
      </c>
      <c r="G95" s="116">
        <v>2627694411.8299999</v>
      </c>
      <c r="H95" s="1199">
        <v>2634262271.4933333</v>
      </c>
      <c r="I95" s="1199">
        <v>2169184715.23</v>
      </c>
      <c r="J95" s="1199">
        <v>349744231.2766667</v>
      </c>
      <c r="K95" s="1199">
        <v>465716432.03666669</v>
      </c>
      <c r="L95" s="116">
        <v>261254371.11000001</v>
      </c>
      <c r="M95" s="114">
        <f t="shared" si="14"/>
        <v>18739073919.686672</v>
      </c>
    </row>
    <row r="96" spans="1:13" ht="14.5">
      <c r="A96" s="2">
        <f t="shared" si="15"/>
        <v>30</v>
      </c>
      <c r="B96" s="387" t="s">
        <v>3091</v>
      </c>
      <c r="C96" s="253">
        <v>157400930.22</v>
      </c>
      <c r="D96" s="253">
        <v>246647883.11000001</v>
      </c>
      <c r="E96" s="116">
        <v>1546735508.8999999</v>
      </c>
      <c r="F96" s="116">
        <v>8301142700.6700001</v>
      </c>
      <c r="G96" s="116">
        <v>2627663758.0999999</v>
      </c>
      <c r="H96" s="1199">
        <v>2629973303.2166667</v>
      </c>
      <c r="I96" s="1199">
        <v>2170751574.48</v>
      </c>
      <c r="J96" s="1199">
        <v>360224247.61333328</v>
      </c>
      <c r="K96" s="1199">
        <v>466434807.3433333</v>
      </c>
      <c r="L96" s="116">
        <v>261257863.48999998</v>
      </c>
      <c r="M96" s="114">
        <f t="shared" si="14"/>
        <v>18768232577.143337</v>
      </c>
    </row>
    <row r="97" spans="1:13" ht="14.5">
      <c r="A97" s="2">
        <f t="shared" si="15"/>
        <v>31</v>
      </c>
      <c r="B97" s="507" t="s">
        <v>3092</v>
      </c>
      <c r="C97" s="253">
        <v>157413581.16999999</v>
      </c>
      <c r="D97" s="253">
        <v>246652897.36000001</v>
      </c>
      <c r="E97" s="116">
        <v>1554623822.3399999</v>
      </c>
      <c r="F97" s="116">
        <v>8339924489.8599997</v>
      </c>
      <c r="G97" s="116">
        <v>2629872074.71</v>
      </c>
      <c r="H97" s="1199">
        <v>2631693751.5100002</v>
      </c>
      <c r="I97" s="1199">
        <v>2171529013.3899999</v>
      </c>
      <c r="J97" s="1199">
        <v>370705015.36000001</v>
      </c>
      <c r="K97" s="1199">
        <v>467663269.24000001</v>
      </c>
      <c r="L97" s="116">
        <v>261264165.06999999</v>
      </c>
      <c r="M97" s="114">
        <f t="shared" si="14"/>
        <v>18831342080.010002</v>
      </c>
    </row>
    <row r="98" spans="1:13" ht="14.5">
      <c r="A98" s="2">
        <f t="shared" si="15"/>
        <v>32</v>
      </c>
      <c r="B98" s="507" t="s">
        <v>3093</v>
      </c>
      <c r="C98" s="253">
        <v>157413542.09999999</v>
      </c>
      <c r="D98" s="253">
        <v>246654138.33000001</v>
      </c>
      <c r="E98" s="116">
        <v>1574250308.4899998</v>
      </c>
      <c r="F98" s="116">
        <v>8408709607.1099997</v>
      </c>
      <c r="G98" s="116">
        <v>2656082424.6300001</v>
      </c>
      <c r="H98" s="1199">
        <v>2638840112.9433336</v>
      </c>
      <c r="I98" s="1199">
        <v>2234366296.4699998</v>
      </c>
      <c r="J98" s="1199">
        <v>381186069.76666671</v>
      </c>
      <c r="K98" s="1199">
        <v>468198885.38666672</v>
      </c>
      <c r="L98" s="116">
        <v>261369375.51000002</v>
      </c>
      <c r="M98" s="114">
        <f t="shared" si="14"/>
        <v>19027070760.736664</v>
      </c>
    </row>
    <row r="99" spans="1:13" ht="14.5">
      <c r="A99" s="2">
        <f t="shared" si="15"/>
        <v>33</v>
      </c>
      <c r="B99" s="507" t="s">
        <v>3094</v>
      </c>
      <c r="C99" s="253">
        <v>157413542.09999999</v>
      </c>
      <c r="D99" s="253">
        <v>246692132.05000001</v>
      </c>
      <c r="E99" s="116">
        <v>1580498575.6500001</v>
      </c>
      <c r="F99" s="116">
        <v>8433329295.1399994</v>
      </c>
      <c r="G99" s="116">
        <v>2654993327.6199999</v>
      </c>
      <c r="H99" s="1199">
        <v>2647019239.5366664</v>
      </c>
      <c r="I99" s="1199">
        <v>2238331777.5500002</v>
      </c>
      <c r="J99" s="1199">
        <v>399332729.29333329</v>
      </c>
      <c r="K99" s="1199">
        <v>470663797.55333334</v>
      </c>
      <c r="L99" s="116">
        <v>262058178.38</v>
      </c>
      <c r="M99" s="114">
        <f t="shared" si="14"/>
        <v>19090332594.873333</v>
      </c>
    </row>
    <row r="100" spans="1:13" ht="14.5">
      <c r="A100" s="2">
        <f t="shared" si="15"/>
        <v>34</v>
      </c>
      <c r="B100" s="507" t="s">
        <v>3095</v>
      </c>
      <c r="C100" s="253">
        <v>157412729.09</v>
      </c>
      <c r="D100" s="253">
        <v>246694322.38000003</v>
      </c>
      <c r="E100" s="116">
        <v>1583103924.28</v>
      </c>
      <c r="F100" s="116">
        <v>8540535796.2699995</v>
      </c>
      <c r="G100" s="116">
        <v>2655234641.6700001</v>
      </c>
      <c r="H100" s="1199">
        <v>2646348356.3800001</v>
      </c>
      <c r="I100" s="1199">
        <v>2188730965.3499999</v>
      </c>
      <c r="J100" s="1199">
        <v>409902386.82999998</v>
      </c>
      <c r="K100" s="1199">
        <v>471378723.45999998</v>
      </c>
      <c r="L100" s="116">
        <v>278363032.83999997</v>
      </c>
      <c r="M100" s="114">
        <f t="shared" si="14"/>
        <v>19177704878.549999</v>
      </c>
    </row>
    <row r="101" spans="1:13" ht="14.5">
      <c r="A101" s="2">
        <f t="shared" si="15"/>
        <v>35</v>
      </c>
      <c r="B101" s="507" t="s">
        <v>3096</v>
      </c>
      <c r="C101" s="253">
        <v>158053856.78</v>
      </c>
      <c r="D101" s="253">
        <v>246708381.88000003</v>
      </c>
      <c r="E101" s="116">
        <v>1586482608.4399998</v>
      </c>
      <c r="F101" s="116">
        <v>8543735301.3400002</v>
      </c>
      <c r="G101" s="116">
        <v>2671661723.8400002</v>
      </c>
      <c r="H101" s="1199">
        <v>2642881743.3233333</v>
      </c>
      <c r="I101" s="1199">
        <v>2215348223.1399999</v>
      </c>
      <c r="J101" s="1199">
        <v>420554615.5866667</v>
      </c>
      <c r="K101" s="1199">
        <v>476249906.68666667</v>
      </c>
      <c r="L101" s="116">
        <v>279424739.83999997</v>
      </c>
      <c r="M101" s="114">
        <f t="shared" si="14"/>
        <v>19241101100.85667</v>
      </c>
    </row>
    <row r="102" spans="1:13" ht="14.5">
      <c r="A102" s="2">
        <f t="shared" si="15"/>
        <v>36</v>
      </c>
      <c r="B102" s="507" t="s">
        <v>3097</v>
      </c>
      <c r="C102" s="253">
        <v>158053848.13999999</v>
      </c>
      <c r="D102" s="253">
        <v>246710584.34</v>
      </c>
      <c r="E102" s="116">
        <v>1593442589.26</v>
      </c>
      <c r="F102" s="116">
        <v>8561545681.4700003</v>
      </c>
      <c r="G102" s="116">
        <v>2669979906.7600002</v>
      </c>
      <c r="H102" s="1199">
        <v>2648016061.6866665</v>
      </c>
      <c r="I102" s="1199">
        <v>2214503357.71</v>
      </c>
      <c r="J102" s="1199">
        <v>431170246.4733333</v>
      </c>
      <c r="K102" s="1199">
        <v>477412680.30333334</v>
      </c>
      <c r="L102" s="116">
        <v>279633127.90999997</v>
      </c>
      <c r="M102" s="114">
        <f t="shared" si="14"/>
        <v>19280468084.053333</v>
      </c>
    </row>
    <row r="103" spans="1:13" ht="14.5">
      <c r="A103" s="2">
        <f t="shared" si="15"/>
        <v>37</v>
      </c>
      <c r="B103" s="507" t="s">
        <v>3098</v>
      </c>
      <c r="C103" s="253">
        <v>158054070.75999999</v>
      </c>
      <c r="D103" s="253">
        <v>246713118.88000003</v>
      </c>
      <c r="E103" s="116">
        <v>1596296341.4100001</v>
      </c>
      <c r="F103" s="116">
        <v>8568465896.9699993</v>
      </c>
      <c r="G103" s="116">
        <v>2670944503.6199999</v>
      </c>
      <c r="H103" s="1199">
        <v>2643563016.4699998</v>
      </c>
      <c r="I103" s="1199">
        <v>2223196963.75</v>
      </c>
      <c r="J103" s="1199">
        <v>441975216.67000002</v>
      </c>
      <c r="K103" s="1199">
        <v>478142280.74000001</v>
      </c>
      <c r="L103" s="116">
        <v>280182311.81999999</v>
      </c>
      <c r="M103" s="114">
        <f t="shared" si="14"/>
        <v>19307533721.09</v>
      </c>
    </row>
    <row r="104" spans="1:13" ht="14.5">
      <c r="A104" s="2">
        <f t="shared" si="15"/>
        <v>38</v>
      </c>
      <c r="B104" s="507" t="s">
        <v>3099</v>
      </c>
      <c r="C104" s="253">
        <v>158054058.88999999</v>
      </c>
      <c r="D104" s="253">
        <v>246715139.55000001</v>
      </c>
      <c r="E104" s="116">
        <v>1599772318.5900002</v>
      </c>
      <c r="F104" s="116">
        <v>8576226228.499999</v>
      </c>
      <c r="G104" s="116">
        <v>2676559329.0799999</v>
      </c>
      <c r="H104" s="1199">
        <v>2638605279.7833333</v>
      </c>
      <c r="I104" s="1199">
        <v>2223458366.1700001</v>
      </c>
      <c r="J104" s="1199">
        <v>452329765.84666669</v>
      </c>
      <c r="K104" s="1199">
        <v>478796655.89666671</v>
      </c>
      <c r="L104" s="116">
        <v>280485578.17999995</v>
      </c>
      <c r="M104" s="114">
        <f t="shared" si="14"/>
        <v>19331002720.486668</v>
      </c>
    </row>
    <row r="105" spans="1:13" ht="14.5">
      <c r="A105" s="2">
        <f t="shared" si="15"/>
        <v>39</v>
      </c>
      <c r="B105" s="507" t="s">
        <v>3100</v>
      </c>
      <c r="C105" s="253">
        <v>158052661.59</v>
      </c>
      <c r="D105" s="253">
        <v>246717305.24000001</v>
      </c>
      <c r="E105" s="116">
        <v>1597823511.98</v>
      </c>
      <c r="F105" s="116">
        <v>8578822013.3899994</v>
      </c>
      <c r="G105" s="116">
        <v>2676573107.0300002</v>
      </c>
      <c r="H105" s="1199">
        <v>2638445727.7766666</v>
      </c>
      <c r="I105" s="1199">
        <v>2223080236.1700001</v>
      </c>
      <c r="J105" s="1199">
        <v>467697090.42333329</v>
      </c>
      <c r="K105" s="1199">
        <v>480596391.99333334</v>
      </c>
      <c r="L105" s="116">
        <v>281806981.23999995</v>
      </c>
      <c r="M105" s="183">
        <f t="shared" si="14"/>
        <v>19349615026.833332</v>
      </c>
    </row>
    <row r="106" spans="1:13" ht="13">
      <c r="A106" s="2">
        <f t="shared" si="15"/>
        <v>40</v>
      </c>
      <c r="B106" s="507" t="s">
        <v>3101</v>
      </c>
      <c r="C106" s="253">
        <v>158052808.81999999</v>
      </c>
      <c r="D106" s="253">
        <v>246725995.44000003</v>
      </c>
      <c r="E106" s="235">
        <f>'7-PlantStudy'!C10</f>
        <v>1603402800</v>
      </c>
      <c r="F106" s="235">
        <f>'7-PlantStudy'!C11</f>
        <v>8611680159</v>
      </c>
      <c r="G106" s="235">
        <f>'7-PlantStudy'!C20</f>
        <v>2681180449</v>
      </c>
      <c r="H106" s="235">
        <f>'7-PlantStudy'!C21</f>
        <v>2645185272</v>
      </c>
      <c r="I106" s="235">
        <f>'7-PlantStudy'!C22</f>
        <v>2258717211</v>
      </c>
      <c r="J106" s="235">
        <f>'7-PlantStudy'!C23</f>
        <v>479228332</v>
      </c>
      <c r="K106" s="235">
        <f>'7-PlantStudy'!C24</f>
        <v>481255481</v>
      </c>
      <c r="L106" s="235">
        <f>'7-PlantStudy'!C25</f>
        <v>282165367</v>
      </c>
      <c r="M106" s="114">
        <f>SUM(C106:L106)</f>
        <v>19447593875.260002</v>
      </c>
    </row>
    <row r="107" spans="1:13" ht="13">
      <c r="A107" s="2"/>
      <c r="B107" s="559"/>
      <c r="C107" s="235"/>
      <c r="D107" s="235"/>
      <c r="E107" s="235"/>
      <c r="F107" s="235"/>
      <c r="G107" s="235"/>
      <c r="H107" s="235"/>
      <c r="I107" s="235"/>
      <c r="J107" s="235"/>
      <c r="K107" s="235"/>
      <c r="L107" s="235"/>
      <c r="M107" s="114"/>
    </row>
    <row r="108" spans="1:13" ht="13">
      <c r="A108" s="2"/>
      <c r="B108" s="1024" t="s">
        <v>3004</v>
      </c>
      <c r="C108" s="235"/>
      <c r="D108" s="235"/>
      <c r="E108" s="235"/>
      <c r="F108" s="235"/>
      <c r="G108" s="235"/>
      <c r="H108" s="235"/>
      <c r="I108" s="235"/>
      <c r="J108" s="235"/>
      <c r="K108" s="235"/>
      <c r="L108" s="235"/>
      <c r="M108" s="114"/>
    </row>
    <row r="109" spans="1:13" ht="13">
      <c r="A109" s="2"/>
      <c r="B109" s="48" t="s">
        <v>345</v>
      </c>
      <c r="C109" s="48" t="s">
        <v>346</v>
      </c>
      <c r="D109" s="48" t="s">
        <v>347</v>
      </c>
      <c r="E109" s="48" t="s">
        <v>348</v>
      </c>
      <c r="F109" s="48" t="s">
        <v>349</v>
      </c>
      <c r="G109" s="48" t="s">
        <v>350</v>
      </c>
      <c r="H109" s="48" t="s">
        <v>351</v>
      </c>
      <c r="I109" s="48" t="s">
        <v>352</v>
      </c>
      <c r="J109" s="48"/>
      <c r="K109" s="235"/>
      <c r="L109" s="235"/>
      <c r="M109" s="114"/>
    </row>
    <row r="110" spans="1:13" ht="13">
      <c r="A110" s="2"/>
      <c r="B110" s="559"/>
      <c r="C110" s="235"/>
      <c r="D110" s="235"/>
      <c r="E110" s="235"/>
      <c r="F110" s="235"/>
      <c r="G110" s="235"/>
      <c r="H110" s="235"/>
      <c r="I110" s="62" t="s">
        <v>705</v>
      </c>
      <c r="J110" s="235"/>
      <c r="K110" s="235"/>
      <c r="L110" s="235"/>
      <c r="M110" s="114"/>
    </row>
    <row r="111" spans="1:13" ht="13">
      <c r="A111" s="2"/>
      <c r="B111" s="3" t="s">
        <v>657</v>
      </c>
      <c r="C111" s="3">
        <v>351.1</v>
      </c>
      <c r="D111" s="48" t="s">
        <v>660</v>
      </c>
      <c r="E111" s="48" t="s">
        <v>661</v>
      </c>
      <c r="F111" s="48" t="s">
        <v>662</v>
      </c>
      <c r="G111" s="48" t="s">
        <v>663</v>
      </c>
      <c r="H111" s="3">
        <v>351.3</v>
      </c>
      <c r="I111" s="3" t="s">
        <v>252</v>
      </c>
      <c r="J111" s="182" t="s">
        <v>684</v>
      </c>
      <c r="K111" s="235"/>
      <c r="L111" s="235"/>
      <c r="M111" s="114"/>
    </row>
    <row r="112" spans="1:13" ht="13">
      <c r="A112" s="2" t="s">
        <v>706</v>
      </c>
      <c r="B112" s="507" t="s">
        <v>3089</v>
      </c>
      <c r="C112" s="1177">
        <v>23549686.079999998</v>
      </c>
      <c r="D112" s="253">
        <v>0</v>
      </c>
      <c r="E112" s="253">
        <v>0</v>
      </c>
      <c r="F112" s="253">
        <v>0</v>
      </c>
      <c r="G112" s="253">
        <v>0</v>
      </c>
      <c r="H112" s="1110">
        <v>220053818.68999994</v>
      </c>
      <c r="I112" s="235">
        <f>SUM(C112:H112)</f>
        <v>243603504.76999992</v>
      </c>
      <c r="J112" s="1155" t="s">
        <v>707</v>
      </c>
      <c r="K112" s="235"/>
      <c r="L112" s="235"/>
      <c r="M112" s="114"/>
    </row>
    <row r="113" spans="1:13" ht="13">
      <c r="A113" s="2" t="s">
        <v>708</v>
      </c>
      <c r="B113" s="507" t="s">
        <v>3090</v>
      </c>
      <c r="C113" s="1177">
        <v>22650080.950033661</v>
      </c>
      <c r="D113" s="253">
        <v>0</v>
      </c>
      <c r="E113" s="253">
        <v>0</v>
      </c>
      <c r="F113" s="253">
        <v>0</v>
      </c>
      <c r="G113" s="253">
        <v>0</v>
      </c>
      <c r="H113" s="1110">
        <v>211337273.15596157</v>
      </c>
      <c r="I113" s="235">
        <f>SUM(C113:H113)</f>
        <v>233987354.10599524</v>
      </c>
      <c r="J113" s="267" t="s">
        <v>3000</v>
      </c>
      <c r="K113" s="235"/>
      <c r="L113" s="235"/>
      <c r="M113" s="114"/>
    </row>
    <row r="114" spans="1:13" ht="13">
      <c r="A114" s="2" t="s">
        <v>709</v>
      </c>
      <c r="B114" s="387" t="s">
        <v>3091</v>
      </c>
      <c r="C114" s="1177">
        <v>25393774.225049116</v>
      </c>
      <c r="D114" s="253">
        <v>0</v>
      </c>
      <c r="E114" s="253">
        <v>0</v>
      </c>
      <c r="F114" s="253">
        <v>0</v>
      </c>
      <c r="G114" s="253">
        <v>0</v>
      </c>
      <c r="H114" s="1110">
        <v>211543612.96128878</v>
      </c>
      <c r="I114" s="235">
        <f t="shared" ref="I114:I124" si="16">SUM(C114:H114)</f>
        <v>236937387.18633789</v>
      </c>
      <c r="J114" s="1117"/>
      <c r="K114" s="235"/>
      <c r="L114" s="235"/>
      <c r="M114" s="114"/>
    </row>
    <row r="115" spans="1:13" ht="13">
      <c r="A115" s="2" t="s">
        <v>710</v>
      </c>
      <c r="B115" s="507" t="s">
        <v>3092</v>
      </c>
      <c r="C115" s="1177">
        <v>23049680.649999999</v>
      </c>
      <c r="D115" s="253">
        <v>0</v>
      </c>
      <c r="E115" s="253">
        <v>0</v>
      </c>
      <c r="F115" s="253">
        <v>0</v>
      </c>
      <c r="G115" s="253">
        <v>0</v>
      </c>
      <c r="H115" s="1110">
        <v>215065750.37999997</v>
      </c>
      <c r="I115" s="235">
        <f t="shared" si="16"/>
        <v>238115431.02999997</v>
      </c>
      <c r="J115" s="1117"/>
      <c r="K115" s="235"/>
      <c r="L115" s="235"/>
      <c r="M115" s="114"/>
    </row>
    <row r="116" spans="1:13" ht="13">
      <c r="A116" s="2" t="s">
        <v>711</v>
      </c>
      <c r="B116" s="507" t="s">
        <v>3093</v>
      </c>
      <c r="C116" s="1177">
        <v>23067488.280000001</v>
      </c>
      <c r="D116" s="253">
        <v>0</v>
      </c>
      <c r="E116" s="253">
        <v>0</v>
      </c>
      <c r="F116" s="253">
        <v>0</v>
      </c>
      <c r="G116" s="253">
        <v>0</v>
      </c>
      <c r="H116" s="1110">
        <v>214193338.60999998</v>
      </c>
      <c r="I116" s="235">
        <f t="shared" si="16"/>
        <v>237260826.88999999</v>
      </c>
      <c r="J116" s="1117"/>
      <c r="K116" s="235"/>
      <c r="L116" s="235"/>
      <c r="M116" s="114"/>
    </row>
    <row r="117" spans="1:13" ht="13">
      <c r="A117" s="2" t="s">
        <v>712</v>
      </c>
      <c r="B117" s="507" t="s">
        <v>3094</v>
      </c>
      <c r="C117" s="1177">
        <v>23082345.710000001</v>
      </c>
      <c r="D117" s="253">
        <v>0</v>
      </c>
      <c r="E117" s="253">
        <v>0</v>
      </c>
      <c r="F117" s="253">
        <v>0</v>
      </c>
      <c r="G117" s="253">
        <v>0</v>
      </c>
      <c r="H117" s="1110">
        <v>214264449.91000003</v>
      </c>
      <c r="I117" s="235">
        <f t="shared" si="16"/>
        <v>237346795.62000003</v>
      </c>
      <c r="J117" s="1117"/>
      <c r="K117" s="235"/>
      <c r="L117" s="235"/>
      <c r="M117" s="114"/>
    </row>
    <row r="118" spans="1:13" ht="13">
      <c r="A118" s="2" t="s">
        <v>713</v>
      </c>
      <c r="B118" s="507" t="s">
        <v>3095</v>
      </c>
      <c r="C118" s="1177">
        <v>23082345.710000001</v>
      </c>
      <c r="D118" s="253">
        <v>0</v>
      </c>
      <c r="E118" s="253">
        <v>0</v>
      </c>
      <c r="F118" s="253">
        <v>0</v>
      </c>
      <c r="G118" s="253">
        <v>0</v>
      </c>
      <c r="H118" s="1110">
        <v>213472518.60999998</v>
      </c>
      <c r="I118" s="235">
        <f t="shared" si="16"/>
        <v>236554864.31999999</v>
      </c>
      <c r="J118" s="1117"/>
      <c r="K118" s="235"/>
      <c r="L118" s="829"/>
      <c r="M118" s="114"/>
    </row>
    <row r="119" spans="1:13" ht="13">
      <c r="A119" s="2" t="s">
        <v>714</v>
      </c>
      <c r="B119" s="507" t="s">
        <v>3096</v>
      </c>
      <c r="C119" s="1177">
        <v>23305056.550000001</v>
      </c>
      <c r="D119" s="253">
        <v>0</v>
      </c>
      <c r="E119" s="253">
        <v>0</v>
      </c>
      <c r="F119" s="253">
        <v>0</v>
      </c>
      <c r="G119" s="253">
        <v>0</v>
      </c>
      <c r="H119" s="1110">
        <v>213876412.70000002</v>
      </c>
      <c r="I119" s="235">
        <f t="shared" si="16"/>
        <v>237181469.25000003</v>
      </c>
      <c r="J119" s="1117"/>
      <c r="K119" s="235"/>
      <c r="L119" s="235"/>
      <c r="M119" s="114"/>
    </row>
    <row r="120" spans="1:13" ht="13">
      <c r="A120" s="2" t="s">
        <v>715</v>
      </c>
      <c r="B120" s="507" t="s">
        <v>3097</v>
      </c>
      <c r="C120" s="1177">
        <v>23305643.369999997</v>
      </c>
      <c r="D120" s="253">
        <v>0</v>
      </c>
      <c r="E120" s="253">
        <v>0</v>
      </c>
      <c r="F120" s="253">
        <v>0</v>
      </c>
      <c r="G120" s="253">
        <v>0</v>
      </c>
      <c r="H120" s="1110">
        <v>210532630.33000001</v>
      </c>
      <c r="I120" s="235">
        <f t="shared" si="16"/>
        <v>233838273.70000002</v>
      </c>
      <c r="J120" s="1117"/>
      <c r="K120" s="235"/>
      <c r="L120" s="235"/>
      <c r="M120" s="114"/>
    </row>
    <row r="121" spans="1:13" ht="13">
      <c r="A121" s="2" t="s">
        <v>716</v>
      </c>
      <c r="B121" s="507" t="s">
        <v>3098</v>
      </c>
      <c r="C121" s="1177">
        <v>23320582.039999999</v>
      </c>
      <c r="D121" s="253">
        <v>0</v>
      </c>
      <c r="E121" s="253">
        <v>0</v>
      </c>
      <c r="F121" s="253">
        <v>0</v>
      </c>
      <c r="G121" s="253">
        <v>0</v>
      </c>
      <c r="H121" s="1110">
        <v>208759956.89999998</v>
      </c>
      <c r="I121" s="235">
        <f t="shared" si="16"/>
        <v>232080538.93999997</v>
      </c>
      <c r="J121" s="1117"/>
      <c r="K121" s="235"/>
      <c r="L121" s="235"/>
      <c r="M121" s="114"/>
    </row>
    <row r="122" spans="1:13" ht="13">
      <c r="A122" s="2" t="s">
        <v>717</v>
      </c>
      <c r="B122" s="507" t="s">
        <v>3099</v>
      </c>
      <c r="C122" s="1177">
        <v>2759418.43</v>
      </c>
      <c r="D122" s="253">
        <v>0</v>
      </c>
      <c r="E122" s="253">
        <v>0</v>
      </c>
      <c r="F122" s="253">
        <v>0</v>
      </c>
      <c r="G122" s="253">
        <v>0</v>
      </c>
      <c r="H122" s="1110">
        <v>207439054.98999995</v>
      </c>
      <c r="I122" s="235">
        <f t="shared" si="16"/>
        <v>210198473.41999996</v>
      </c>
      <c r="J122" s="1117"/>
      <c r="K122" s="235"/>
      <c r="L122" s="235"/>
      <c r="M122" s="114"/>
    </row>
    <row r="123" spans="1:13" ht="13">
      <c r="A123" s="2" t="s">
        <v>504</v>
      </c>
      <c r="B123" s="507" t="s">
        <v>3100</v>
      </c>
      <c r="C123" s="1177">
        <v>1039761.6299999999</v>
      </c>
      <c r="D123" s="253">
        <v>0</v>
      </c>
      <c r="E123" s="253">
        <v>0</v>
      </c>
      <c r="F123" s="253">
        <v>0</v>
      </c>
      <c r="G123" s="253">
        <v>0</v>
      </c>
      <c r="H123" s="1110">
        <v>206721881.34</v>
      </c>
      <c r="I123" s="235">
        <f t="shared" si="16"/>
        <v>207761642.97</v>
      </c>
      <c r="J123" s="1117"/>
      <c r="K123" s="235"/>
      <c r="L123" s="235"/>
      <c r="M123" s="114"/>
    </row>
    <row r="124" spans="1:13" ht="13">
      <c r="A124" s="2" t="s">
        <v>718</v>
      </c>
      <c r="B124" s="507" t="s">
        <v>3101</v>
      </c>
      <c r="C124" s="1153">
        <f>'7-PlantStudy'!C37</f>
        <v>996445</v>
      </c>
      <c r="D124" s="253">
        <v>0</v>
      </c>
      <c r="E124" s="253">
        <v>0</v>
      </c>
      <c r="F124" s="253">
        <v>0</v>
      </c>
      <c r="G124" s="253">
        <v>0</v>
      </c>
      <c r="H124" s="1153">
        <f>'7-PlantStudy'!C39</f>
        <v>197670501</v>
      </c>
      <c r="I124" s="235">
        <f t="shared" si="16"/>
        <v>198666946</v>
      </c>
      <c r="J124" s="1155" t="s">
        <v>3007</v>
      </c>
      <c r="K124" s="235"/>
      <c r="L124" s="235"/>
      <c r="M124" s="114"/>
    </row>
    <row r="125" spans="1:13" ht="13">
      <c r="A125" s="2"/>
      <c r="B125" s="559"/>
      <c r="C125" s="235"/>
      <c r="D125" s="235"/>
      <c r="E125" s="235"/>
      <c r="F125" s="235"/>
      <c r="G125" s="235"/>
      <c r="H125" s="235"/>
      <c r="I125" s="235"/>
      <c r="J125" s="232" t="s">
        <v>3008</v>
      </c>
      <c r="K125" s="235"/>
      <c r="L125" s="235"/>
      <c r="M125" s="114"/>
    </row>
    <row r="126" spans="1:13">
      <c r="J126" s="267" t="s">
        <v>719</v>
      </c>
      <c r="M126" s="1124"/>
    </row>
    <row r="127" spans="1:13" ht="13">
      <c r="B127" s="1" t="s">
        <v>3079</v>
      </c>
    </row>
    <row r="129" spans="1:13" ht="13">
      <c r="A129" s="197"/>
      <c r="B129" s="48" t="s">
        <v>345</v>
      </c>
      <c r="C129" s="48" t="s">
        <v>346</v>
      </c>
      <c r="D129" s="48" t="s">
        <v>347</v>
      </c>
      <c r="E129" s="48" t="s">
        <v>348</v>
      </c>
      <c r="F129" s="48" t="s">
        <v>349</v>
      </c>
      <c r="G129" s="48" t="s">
        <v>350</v>
      </c>
      <c r="H129" s="48" t="s">
        <v>351</v>
      </c>
      <c r="I129" s="48" t="s">
        <v>352</v>
      </c>
      <c r="J129" s="48" t="s">
        <v>353</v>
      </c>
      <c r="K129" s="48" t="s">
        <v>603</v>
      </c>
      <c r="L129" s="48" t="s">
        <v>604</v>
      </c>
      <c r="M129" s="48" t="s">
        <v>605</v>
      </c>
    </row>
    <row r="130" spans="1:13">
      <c r="A130" s="112"/>
      <c r="B130" s="125"/>
      <c r="C130" s="112"/>
      <c r="D130" s="112"/>
      <c r="E130" s="112"/>
      <c r="F130" s="112"/>
      <c r="G130" s="112"/>
      <c r="H130" s="112"/>
      <c r="I130" s="112"/>
      <c r="J130" s="112"/>
      <c r="K130" s="112"/>
      <c r="M130" s="125" t="s">
        <v>656</v>
      </c>
    </row>
    <row r="131" spans="1:13" ht="13">
      <c r="A131" s="30"/>
      <c r="B131" s="3" t="s">
        <v>657</v>
      </c>
      <c r="C131" s="48">
        <v>350.1</v>
      </c>
      <c r="D131" s="48">
        <v>350.2</v>
      </c>
      <c r="E131" s="48">
        <v>352</v>
      </c>
      <c r="F131" s="48">
        <v>353</v>
      </c>
      <c r="G131" s="48">
        <v>354</v>
      </c>
      <c r="H131" s="48">
        <v>355</v>
      </c>
      <c r="I131" s="48">
        <v>356</v>
      </c>
      <c r="J131" s="48">
        <v>357</v>
      </c>
      <c r="K131" s="48">
        <v>358</v>
      </c>
      <c r="L131" s="48">
        <v>359</v>
      </c>
      <c r="M131" s="3" t="s">
        <v>252</v>
      </c>
    </row>
    <row r="132" spans="1:13" ht="13">
      <c r="A132" s="2">
        <f>A106+1</f>
        <v>41</v>
      </c>
      <c r="B132" s="507" t="s">
        <v>3090</v>
      </c>
      <c r="C132" s="235">
        <f t="shared" ref="C132:L132" si="17">C95-C94</f>
        <v>651.15999999642372</v>
      </c>
      <c r="D132" s="235">
        <f t="shared" si="17"/>
        <v>137672.05000001192</v>
      </c>
      <c r="E132" s="235">
        <f t="shared" si="17"/>
        <v>5309994.4400000572</v>
      </c>
      <c r="F132" s="235">
        <f t="shared" si="17"/>
        <v>23066969.910000801</v>
      </c>
      <c r="G132" s="235">
        <f t="shared" si="17"/>
        <v>100151.48999977112</v>
      </c>
      <c r="H132" s="235">
        <f t="shared" si="17"/>
        <v>-3709757.366666317</v>
      </c>
      <c r="I132" s="235">
        <f t="shared" si="17"/>
        <v>-1304313.9400000572</v>
      </c>
      <c r="J132" s="235">
        <f t="shared" si="17"/>
        <v>10483023.886666715</v>
      </c>
      <c r="K132" s="235">
        <f t="shared" si="17"/>
        <v>634928.37666666508</v>
      </c>
      <c r="L132" s="235">
        <f t="shared" si="17"/>
        <v>10567.100000023842</v>
      </c>
      <c r="M132" s="114">
        <f t="shared" ref="M132:M144" si="18">SUM(C132:L132)</f>
        <v>34729887.106667668</v>
      </c>
    </row>
    <row r="133" spans="1:13" ht="13">
      <c r="A133" s="2">
        <f t="shared" ref="A133:A144" si="19">A132+1</f>
        <v>42</v>
      </c>
      <c r="B133" s="387" t="s">
        <v>3091</v>
      </c>
      <c r="C133" s="235">
        <f t="shared" ref="C133:L133" si="20">C96-C95</f>
        <v>11158605.50999999</v>
      </c>
      <c r="D133" s="235">
        <f t="shared" si="20"/>
        <v>26261.530000001192</v>
      </c>
      <c r="E133" s="235">
        <f t="shared" si="20"/>
        <v>2553956.1199998856</v>
      </c>
      <c r="F133" s="235">
        <f t="shared" si="20"/>
        <v>6970713.029999733</v>
      </c>
      <c r="G133" s="235">
        <f t="shared" si="20"/>
        <v>-30653.730000019073</v>
      </c>
      <c r="H133" s="235">
        <f t="shared" si="20"/>
        <v>-4288968.2766666412</v>
      </c>
      <c r="I133" s="235">
        <f t="shared" si="20"/>
        <v>1566859.25</v>
      </c>
      <c r="J133" s="235">
        <f t="shared" si="20"/>
        <v>10480016.336666584</v>
      </c>
      <c r="K133" s="235">
        <f t="shared" si="20"/>
        <v>718375.30666661263</v>
      </c>
      <c r="L133" s="235">
        <f t="shared" si="20"/>
        <v>3492.3799999654293</v>
      </c>
      <c r="M133" s="114">
        <f t="shared" si="18"/>
        <v>29158657.456666112</v>
      </c>
    </row>
    <row r="134" spans="1:13" ht="13">
      <c r="A134" s="2">
        <f t="shared" si="19"/>
        <v>43</v>
      </c>
      <c r="B134" s="507" t="s">
        <v>3092</v>
      </c>
      <c r="C134" s="235">
        <f t="shared" ref="C134:L134" si="21">C97-C96</f>
        <v>12650.949999988079</v>
      </c>
      <c r="D134" s="235">
        <f t="shared" si="21"/>
        <v>5014.25</v>
      </c>
      <c r="E134" s="235">
        <f t="shared" si="21"/>
        <v>7888313.4400000572</v>
      </c>
      <c r="F134" s="235">
        <f t="shared" si="21"/>
        <v>38781789.18999958</v>
      </c>
      <c r="G134" s="235">
        <f t="shared" si="21"/>
        <v>2208316.6100001335</v>
      </c>
      <c r="H134" s="235">
        <f t="shared" si="21"/>
        <v>1720448.2933335304</v>
      </c>
      <c r="I134" s="235">
        <f t="shared" si="21"/>
        <v>777438.90999984741</v>
      </c>
      <c r="J134" s="235">
        <f t="shared" si="21"/>
        <v>10480767.746666729</v>
      </c>
      <c r="K134" s="235">
        <f t="shared" si="21"/>
        <v>1228461.8966667056</v>
      </c>
      <c r="L134" s="235">
        <f t="shared" si="21"/>
        <v>6301.580000013113</v>
      </c>
      <c r="M134" s="114">
        <f t="shared" si="18"/>
        <v>63109502.866666585</v>
      </c>
    </row>
    <row r="135" spans="1:13" ht="13">
      <c r="A135" s="2">
        <f t="shared" si="19"/>
        <v>44</v>
      </c>
      <c r="B135" s="507" t="s">
        <v>3093</v>
      </c>
      <c r="C135" s="235">
        <f t="shared" ref="C135:L135" si="22">C98-C97</f>
        <v>-39.069999992847443</v>
      </c>
      <c r="D135" s="235">
        <f t="shared" si="22"/>
        <v>1240.9699999988079</v>
      </c>
      <c r="E135" s="235">
        <f t="shared" si="22"/>
        <v>19626486.149999857</v>
      </c>
      <c r="F135" s="235">
        <f t="shared" si="22"/>
        <v>68785117.25</v>
      </c>
      <c r="G135" s="235">
        <f t="shared" si="22"/>
        <v>26210349.920000076</v>
      </c>
      <c r="H135" s="235">
        <f t="shared" si="22"/>
        <v>7146361.4333333969</v>
      </c>
      <c r="I135" s="235">
        <f t="shared" si="22"/>
        <v>62837283.079999924</v>
      </c>
      <c r="J135" s="235">
        <f t="shared" si="22"/>
        <v>10481054.406666696</v>
      </c>
      <c r="K135" s="235">
        <f t="shared" si="22"/>
        <v>535616.14666670561</v>
      </c>
      <c r="L135" s="235">
        <f t="shared" si="22"/>
        <v>105210.44000002742</v>
      </c>
      <c r="M135" s="114">
        <f t="shared" si="18"/>
        <v>195728680.72666669</v>
      </c>
    </row>
    <row r="136" spans="1:13" ht="13">
      <c r="A136" s="2">
        <f t="shared" si="19"/>
        <v>45</v>
      </c>
      <c r="B136" s="507" t="s">
        <v>3094</v>
      </c>
      <c r="C136" s="235">
        <f t="shared" ref="C136:L136" si="23">C99-C98</f>
        <v>0</v>
      </c>
      <c r="D136" s="235">
        <f t="shared" si="23"/>
        <v>37993.719999998808</v>
      </c>
      <c r="E136" s="235">
        <f t="shared" si="23"/>
        <v>6248267.1600003242</v>
      </c>
      <c r="F136" s="235">
        <f t="shared" si="23"/>
        <v>24619688.029999733</v>
      </c>
      <c r="G136" s="235">
        <f t="shared" si="23"/>
        <v>-1089097.0100002289</v>
      </c>
      <c r="H136" s="235">
        <f t="shared" si="23"/>
        <v>8179126.5933327675</v>
      </c>
      <c r="I136" s="235">
        <f t="shared" si="23"/>
        <v>3965481.0800004005</v>
      </c>
      <c r="J136" s="235">
        <f t="shared" si="23"/>
        <v>18146659.526666582</v>
      </c>
      <c r="K136" s="235">
        <f t="shared" si="23"/>
        <v>2464912.1666666269</v>
      </c>
      <c r="L136" s="235">
        <f t="shared" si="23"/>
        <v>688802.86999997497</v>
      </c>
      <c r="M136" s="114">
        <f t="shared" si="18"/>
        <v>63261834.136666179</v>
      </c>
    </row>
    <row r="137" spans="1:13" ht="13">
      <c r="A137" s="2">
        <f t="shared" si="19"/>
        <v>46</v>
      </c>
      <c r="B137" s="507" t="s">
        <v>3095</v>
      </c>
      <c r="C137" s="235">
        <f t="shared" ref="C137:L137" si="24">C100-C99</f>
        <v>-813.00999999046326</v>
      </c>
      <c r="D137" s="235">
        <f t="shared" si="24"/>
        <v>2190.330000013113</v>
      </c>
      <c r="E137" s="235">
        <f t="shared" si="24"/>
        <v>2605348.629999876</v>
      </c>
      <c r="F137" s="235">
        <f t="shared" si="24"/>
        <v>107206501.13000011</v>
      </c>
      <c r="G137" s="235">
        <f t="shared" si="24"/>
        <v>241314.05000019073</v>
      </c>
      <c r="H137" s="235">
        <f t="shared" si="24"/>
        <v>-670883.15666627884</v>
      </c>
      <c r="I137" s="235">
        <f t="shared" si="24"/>
        <v>-49600812.200000286</v>
      </c>
      <c r="J137" s="235">
        <f t="shared" si="24"/>
        <v>10569657.536666691</v>
      </c>
      <c r="K137" s="235">
        <f t="shared" si="24"/>
        <v>714925.90666663647</v>
      </c>
      <c r="L137" s="235">
        <f t="shared" si="24"/>
        <v>16304854.459999979</v>
      </c>
      <c r="M137" s="114">
        <f t="shared" si="18"/>
        <v>87372283.676666945</v>
      </c>
    </row>
    <row r="138" spans="1:13" ht="13">
      <c r="A138" s="2">
        <f t="shared" si="19"/>
        <v>47</v>
      </c>
      <c r="B138" s="507" t="s">
        <v>3096</v>
      </c>
      <c r="C138" s="235">
        <f t="shared" ref="C138:L138" si="25">C101-C100</f>
        <v>641127.68999999762</v>
      </c>
      <c r="D138" s="235">
        <f t="shared" si="25"/>
        <v>14059.5</v>
      </c>
      <c r="E138" s="235">
        <f t="shared" si="25"/>
        <v>3378684.1599998474</v>
      </c>
      <c r="F138" s="235">
        <f t="shared" si="25"/>
        <v>3199505.0700006485</v>
      </c>
      <c r="G138" s="235">
        <f t="shared" si="25"/>
        <v>16427082.170000076</v>
      </c>
      <c r="H138" s="235">
        <f t="shared" si="25"/>
        <v>-3466613.056666851</v>
      </c>
      <c r="I138" s="235">
        <f t="shared" si="25"/>
        <v>26617257.789999962</v>
      </c>
      <c r="J138" s="235">
        <f t="shared" si="25"/>
        <v>10652228.75666672</v>
      </c>
      <c r="K138" s="235">
        <f t="shared" si="25"/>
        <v>4871183.2266666889</v>
      </c>
      <c r="L138" s="235">
        <f t="shared" si="25"/>
        <v>1061707</v>
      </c>
      <c r="M138" s="114">
        <f t="shared" si="18"/>
        <v>63396222.306667089</v>
      </c>
    </row>
    <row r="139" spans="1:13" ht="13">
      <c r="A139" s="2">
        <f t="shared" si="19"/>
        <v>48</v>
      </c>
      <c r="B139" s="507" t="s">
        <v>3097</v>
      </c>
      <c r="C139" s="235">
        <f t="shared" ref="C139:L139" si="26">C102-C101</f>
        <v>-8.6400000154972076</v>
      </c>
      <c r="D139" s="235">
        <f t="shared" si="26"/>
        <v>2202.4599999785423</v>
      </c>
      <c r="E139" s="235">
        <f t="shared" si="26"/>
        <v>6959980.8200001717</v>
      </c>
      <c r="F139" s="235">
        <f t="shared" si="26"/>
        <v>17810380.130000114</v>
      </c>
      <c r="G139" s="235">
        <f t="shared" si="26"/>
        <v>-1681817.0799999237</v>
      </c>
      <c r="H139" s="235">
        <f t="shared" si="26"/>
        <v>5134318.3633332253</v>
      </c>
      <c r="I139" s="235">
        <f t="shared" si="26"/>
        <v>-844865.42999982834</v>
      </c>
      <c r="J139" s="235">
        <f t="shared" si="26"/>
        <v>10615630.886666596</v>
      </c>
      <c r="K139" s="235">
        <f t="shared" si="26"/>
        <v>1162773.6166666746</v>
      </c>
      <c r="L139" s="235">
        <f t="shared" si="26"/>
        <v>208388.06999999285</v>
      </c>
      <c r="M139" s="114">
        <f t="shared" si="18"/>
        <v>39366983.196666986</v>
      </c>
    </row>
    <row r="140" spans="1:13" ht="13">
      <c r="A140" s="2">
        <f t="shared" si="19"/>
        <v>49</v>
      </c>
      <c r="B140" s="507" t="s">
        <v>3098</v>
      </c>
      <c r="C140" s="235">
        <f t="shared" ref="C140:L140" si="27">C103-C102</f>
        <v>222.62000000476837</v>
      </c>
      <c r="D140" s="235">
        <f t="shared" si="27"/>
        <v>2534.5400000214577</v>
      </c>
      <c r="E140" s="235">
        <f t="shared" si="27"/>
        <v>2853752.1500000954</v>
      </c>
      <c r="F140" s="235">
        <f t="shared" si="27"/>
        <v>6920215.4999990463</v>
      </c>
      <c r="G140" s="235">
        <f t="shared" si="27"/>
        <v>964596.85999965668</v>
      </c>
      <c r="H140" s="235">
        <f t="shared" si="27"/>
        <v>-4453045.2166666985</v>
      </c>
      <c r="I140" s="235">
        <f t="shared" si="27"/>
        <v>8693606.0399999619</v>
      </c>
      <c r="J140" s="235">
        <f t="shared" si="27"/>
        <v>10804970.196666718</v>
      </c>
      <c r="K140" s="235">
        <f t="shared" si="27"/>
        <v>729600.43666666746</v>
      </c>
      <c r="L140" s="235">
        <f t="shared" si="27"/>
        <v>549183.91000002623</v>
      </c>
      <c r="M140" s="114">
        <f t="shared" si="18"/>
        <v>27065637.036665499</v>
      </c>
    </row>
    <row r="141" spans="1:13" ht="13">
      <c r="A141" s="2">
        <f t="shared" si="19"/>
        <v>50</v>
      </c>
      <c r="B141" s="507" t="s">
        <v>3099</v>
      </c>
      <c r="C141" s="235">
        <f t="shared" ref="C141:L141" si="28">C104-C103</f>
        <v>-11.870000004768372</v>
      </c>
      <c r="D141" s="235">
        <f t="shared" si="28"/>
        <v>2020.669999986887</v>
      </c>
      <c r="E141" s="235">
        <f t="shared" si="28"/>
        <v>3475977.1800000668</v>
      </c>
      <c r="F141" s="235">
        <f t="shared" si="28"/>
        <v>7760331.529999733</v>
      </c>
      <c r="G141" s="235">
        <f t="shared" si="28"/>
        <v>5614825.4600000381</v>
      </c>
      <c r="H141" s="235">
        <f t="shared" si="28"/>
        <v>-4957736.6866664886</v>
      </c>
      <c r="I141" s="235">
        <f t="shared" si="28"/>
        <v>261402.42000007629</v>
      </c>
      <c r="J141" s="235">
        <f t="shared" si="28"/>
        <v>10354549.176666677</v>
      </c>
      <c r="K141" s="235">
        <f t="shared" si="28"/>
        <v>654375.15666669607</v>
      </c>
      <c r="L141" s="235">
        <f t="shared" si="28"/>
        <v>303266.3599999547</v>
      </c>
      <c r="M141" s="114">
        <f t="shared" si="18"/>
        <v>23468999.396666735</v>
      </c>
    </row>
    <row r="142" spans="1:13" ht="13">
      <c r="A142" s="2">
        <f t="shared" si="19"/>
        <v>51</v>
      </c>
      <c r="B142" s="507" t="s">
        <v>3100</v>
      </c>
      <c r="C142" s="235">
        <f t="shared" ref="C142:L142" si="29">C105-C104</f>
        <v>-1397.2999999821186</v>
      </c>
      <c r="D142" s="235">
        <f t="shared" si="29"/>
        <v>2165.6899999976158</v>
      </c>
      <c r="E142" s="235">
        <f t="shared" si="29"/>
        <v>-1948806.6100001335</v>
      </c>
      <c r="F142" s="235">
        <f t="shared" si="29"/>
        <v>2595784.8900003433</v>
      </c>
      <c r="G142" s="235">
        <f t="shared" si="29"/>
        <v>13777.950000286102</v>
      </c>
      <c r="H142" s="235">
        <f t="shared" si="29"/>
        <v>-159552.00666666031</v>
      </c>
      <c r="I142" s="235">
        <f t="shared" si="29"/>
        <v>-378130</v>
      </c>
      <c r="J142" s="235">
        <f t="shared" si="29"/>
        <v>15367324.576666594</v>
      </c>
      <c r="K142" s="235">
        <f t="shared" si="29"/>
        <v>1799736.0966666341</v>
      </c>
      <c r="L142" s="235">
        <f t="shared" si="29"/>
        <v>1321403.0600000024</v>
      </c>
      <c r="M142" s="114">
        <f t="shared" si="18"/>
        <v>18612306.346667081</v>
      </c>
    </row>
    <row r="143" spans="1:13" ht="13">
      <c r="A143" s="2">
        <f t="shared" si="19"/>
        <v>52</v>
      </c>
      <c r="B143" s="1191" t="s">
        <v>3101</v>
      </c>
      <c r="C143" s="53">
        <f t="shared" ref="C143:L143" si="30">C106-C105</f>
        <v>147.22999998927116</v>
      </c>
      <c r="D143" s="53">
        <f t="shared" si="30"/>
        <v>8690.2000000178814</v>
      </c>
      <c r="E143" s="53">
        <f t="shared" si="30"/>
        <v>5579288.0199999809</v>
      </c>
      <c r="F143" s="53">
        <f t="shared" si="30"/>
        <v>32858145.61000061</v>
      </c>
      <c r="G143" s="53">
        <f t="shared" si="30"/>
        <v>4607341.9699997902</v>
      </c>
      <c r="H143" s="53">
        <f t="shared" si="30"/>
        <v>6739544.2233333588</v>
      </c>
      <c r="I143" s="53">
        <f t="shared" si="30"/>
        <v>35636974.829999924</v>
      </c>
      <c r="J143" s="53">
        <f t="shared" si="30"/>
        <v>11531241.576666713</v>
      </c>
      <c r="K143" s="53">
        <f t="shared" si="30"/>
        <v>659089.00666666031</v>
      </c>
      <c r="L143" s="53">
        <f t="shared" si="30"/>
        <v>358385.76000005007</v>
      </c>
      <c r="M143" s="183">
        <f t="shared" si="18"/>
        <v>97978848.426667094</v>
      </c>
    </row>
    <row r="144" spans="1:13" ht="13">
      <c r="A144" s="2">
        <f t="shared" si="19"/>
        <v>53</v>
      </c>
      <c r="B144" s="1084" t="s">
        <v>418</v>
      </c>
      <c r="C144" s="114">
        <f>SUM(C132:C143)</f>
        <v>11811135.269999981</v>
      </c>
      <c r="D144" s="114">
        <f t="shared" ref="D144:L144" si="31">SUM(D132:D143)</f>
        <v>242045.91000002623</v>
      </c>
      <c r="E144" s="114">
        <f t="shared" si="31"/>
        <v>64531241.660000086</v>
      </c>
      <c r="F144" s="114">
        <f t="shared" si="31"/>
        <v>340575141.27000046</v>
      </c>
      <c r="G144" s="114">
        <f t="shared" si="31"/>
        <v>53586188.659999847</v>
      </c>
      <c r="H144" s="114">
        <f t="shared" si="31"/>
        <v>7213243.1400003433</v>
      </c>
      <c r="I144" s="114">
        <f t="shared" si="31"/>
        <v>88228181.829999924</v>
      </c>
      <c r="J144" s="114">
        <f t="shared" si="31"/>
        <v>139967124.61000001</v>
      </c>
      <c r="K144" s="114">
        <f t="shared" si="31"/>
        <v>16173977.339999974</v>
      </c>
      <c r="L144" s="114">
        <f t="shared" si="31"/>
        <v>20921562.99000001</v>
      </c>
      <c r="M144" s="114">
        <f t="shared" si="18"/>
        <v>743249842.68000078</v>
      </c>
    </row>
    <row r="145" spans="1:13" ht="13">
      <c r="A145" s="2"/>
      <c r="B145" s="559"/>
      <c r="C145" s="114"/>
      <c r="D145" s="114"/>
      <c r="E145" s="114"/>
      <c r="F145" s="114"/>
      <c r="G145" s="114"/>
      <c r="H145" s="114"/>
      <c r="I145" s="114"/>
      <c r="J145" s="114"/>
      <c r="K145" s="114"/>
      <c r="L145" s="114"/>
      <c r="M145" s="114"/>
    </row>
    <row r="146" spans="1:13" ht="13">
      <c r="A146" s="1058"/>
      <c r="B146" s="1086"/>
      <c r="C146" s="813"/>
      <c r="D146" s="813"/>
      <c r="E146" s="813"/>
      <c r="F146" s="813"/>
    </row>
    <row r="147" spans="1:13" ht="13">
      <c r="B147" s="1" t="s">
        <v>720</v>
      </c>
    </row>
    <row r="149" spans="1:13" ht="13">
      <c r="A149" s="197"/>
      <c r="B149" s="48" t="s">
        <v>345</v>
      </c>
      <c r="C149" s="48" t="s">
        <v>346</v>
      </c>
      <c r="D149" s="48" t="s">
        <v>347</v>
      </c>
      <c r="E149" s="48" t="s">
        <v>348</v>
      </c>
      <c r="F149" s="48" t="s">
        <v>349</v>
      </c>
      <c r="G149" s="48" t="s">
        <v>350</v>
      </c>
      <c r="H149" s="48" t="s">
        <v>351</v>
      </c>
      <c r="I149" s="48" t="s">
        <v>352</v>
      </c>
      <c r="J149" s="48" t="s">
        <v>353</v>
      </c>
      <c r="K149" s="48" t="s">
        <v>603</v>
      </c>
      <c r="L149" s="48" t="s">
        <v>604</v>
      </c>
      <c r="M149" s="48" t="s">
        <v>605</v>
      </c>
    </row>
    <row r="150" spans="1:13">
      <c r="A150" s="112"/>
      <c r="B150" s="125"/>
      <c r="C150" s="112"/>
      <c r="D150" s="112"/>
      <c r="E150" s="112"/>
      <c r="F150" s="112"/>
      <c r="G150" s="112"/>
      <c r="H150" s="112"/>
      <c r="I150" s="112"/>
      <c r="J150" s="112"/>
      <c r="K150" s="112"/>
      <c r="M150" s="125" t="s">
        <v>656</v>
      </c>
    </row>
    <row r="151" spans="1:13" ht="13">
      <c r="A151" s="30"/>
      <c r="B151" s="3" t="s">
        <v>657</v>
      </c>
      <c r="C151" s="48">
        <v>350.1</v>
      </c>
      <c r="D151" s="48">
        <v>350.2</v>
      </c>
      <c r="E151" s="48">
        <v>352</v>
      </c>
      <c r="F151" s="48">
        <v>353</v>
      </c>
      <c r="G151" s="48">
        <v>354</v>
      </c>
      <c r="H151" s="48">
        <v>355</v>
      </c>
      <c r="I151" s="48">
        <v>356</v>
      </c>
      <c r="J151" s="48">
        <v>357</v>
      </c>
      <c r="K151" s="48">
        <v>358</v>
      </c>
      <c r="L151" s="48">
        <v>359</v>
      </c>
      <c r="M151" s="3" t="s">
        <v>252</v>
      </c>
    </row>
    <row r="152" spans="1:13" ht="13">
      <c r="A152" s="2">
        <f>A144+1</f>
        <v>54</v>
      </c>
      <c r="B152" s="507" t="s">
        <v>3089</v>
      </c>
      <c r="C152" s="571">
        <v>21517530.947499994</v>
      </c>
      <c r="D152" s="571">
        <v>106310005.43999997</v>
      </c>
      <c r="E152" s="571">
        <v>382377166.37592435</v>
      </c>
      <c r="F152" s="571">
        <v>1669925118.6551011</v>
      </c>
      <c r="G152" s="571">
        <v>1868139071.031827</v>
      </c>
      <c r="H152" s="571">
        <v>199667654.22000009</v>
      </c>
      <c r="I152" s="571">
        <v>951768623.657197</v>
      </c>
      <c r="J152" s="571">
        <v>215105175.0500001</v>
      </c>
      <c r="K152" s="571">
        <v>57166296.429999992</v>
      </c>
      <c r="L152" s="571">
        <v>195710758.42059183</v>
      </c>
      <c r="M152" s="333">
        <f t="shared" ref="M152:M164" si="32">SUM(C152:L152)</f>
        <v>5667687400.2281418</v>
      </c>
    </row>
    <row r="153" spans="1:13" ht="13">
      <c r="A153" s="2">
        <f t="shared" ref="A153:A164" si="33">A152+1</f>
        <v>55</v>
      </c>
      <c r="B153" s="507" t="s">
        <v>3090</v>
      </c>
      <c r="C153" s="571">
        <v>21518182.107499994</v>
      </c>
      <c r="D153" s="571">
        <v>106310036.52999997</v>
      </c>
      <c r="E153" s="571">
        <v>382405384.37592435</v>
      </c>
      <c r="F153" s="571">
        <v>1670215343.9251008</v>
      </c>
      <c r="G153" s="571">
        <v>1868145839.481827</v>
      </c>
      <c r="H153" s="571">
        <v>199669407.02000007</v>
      </c>
      <c r="I153" s="571">
        <v>951780203.79719687</v>
      </c>
      <c r="J153" s="571">
        <v>215105175.0500001</v>
      </c>
      <c r="K153" s="571">
        <v>57166296.429999992</v>
      </c>
      <c r="L153" s="571">
        <v>195712517.88059181</v>
      </c>
      <c r="M153" s="333">
        <f t="shared" si="32"/>
        <v>5668028386.5981407</v>
      </c>
    </row>
    <row r="154" spans="1:13" ht="13">
      <c r="A154" s="2">
        <f t="shared" si="33"/>
        <v>56</v>
      </c>
      <c r="B154" s="387" t="s">
        <v>3091</v>
      </c>
      <c r="C154" s="571">
        <v>21518145.737499993</v>
      </c>
      <c r="D154" s="571">
        <v>106310072.89999998</v>
      </c>
      <c r="E154" s="571">
        <v>382450661.77592432</v>
      </c>
      <c r="F154" s="571">
        <v>1671144618.1251009</v>
      </c>
      <c r="G154" s="571">
        <v>1868153157.8218269</v>
      </c>
      <c r="H154" s="571">
        <v>199671448.92000008</v>
      </c>
      <c r="I154" s="571">
        <v>951786609.22719693</v>
      </c>
      <c r="J154" s="571">
        <v>215105175.0500001</v>
      </c>
      <c r="K154" s="571">
        <v>57166296.429999992</v>
      </c>
      <c r="L154" s="571">
        <v>195714567.53059179</v>
      </c>
      <c r="M154" s="333">
        <f t="shared" si="32"/>
        <v>5669020753.5181417</v>
      </c>
    </row>
    <row r="155" spans="1:13" ht="13">
      <c r="A155" s="2">
        <f t="shared" si="33"/>
        <v>57</v>
      </c>
      <c r="B155" s="507" t="s">
        <v>3092</v>
      </c>
      <c r="C155" s="571">
        <v>21518878.667499993</v>
      </c>
      <c r="D155" s="571">
        <v>106310072.89999998</v>
      </c>
      <c r="E155" s="571">
        <v>383014717.78727031</v>
      </c>
      <c r="F155" s="571">
        <v>1687802362.9274149</v>
      </c>
      <c r="G155" s="571">
        <v>1868161876.0618269</v>
      </c>
      <c r="H155" s="571">
        <v>199673812.60000008</v>
      </c>
      <c r="I155" s="571">
        <v>951797108.68719697</v>
      </c>
      <c r="J155" s="571">
        <v>215105175.0500001</v>
      </c>
      <c r="K155" s="571">
        <v>57166296.429999992</v>
      </c>
      <c r="L155" s="571">
        <v>195716940.17059183</v>
      </c>
      <c r="M155" s="333">
        <f t="shared" si="32"/>
        <v>5686267241.2818012</v>
      </c>
    </row>
    <row r="156" spans="1:13" ht="13">
      <c r="A156" s="2">
        <f t="shared" si="33"/>
        <v>58</v>
      </c>
      <c r="B156" s="507" t="s">
        <v>3093</v>
      </c>
      <c r="C156" s="571">
        <v>21518839.597499993</v>
      </c>
      <c r="D156" s="571">
        <v>106310111.96999997</v>
      </c>
      <c r="E156" s="571">
        <v>383081649.03727037</v>
      </c>
      <c r="F156" s="571">
        <v>1689819911.8574147</v>
      </c>
      <c r="G156" s="571">
        <v>1867832188.6518269</v>
      </c>
      <c r="H156" s="571">
        <v>199580986.84000006</v>
      </c>
      <c r="I156" s="571">
        <v>951543505.59719706</v>
      </c>
      <c r="J156" s="571">
        <v>215105175.0500001</v>
      </c>
      <c r="K156" s="571">
        <v>57166296.429999992</v>
      </c>
      <c r="L156" s="571">
        <v>195623762.2005918</v>
      </c>
      <c r="M156" s="333">
        <f t="shared" si="32"/>
        <v>5687582427.231801</v>
      </c>
    </row>
    <row r="157" spans="1:13" ht="13">
      <c r="A157" s="2">
        <f t="shared" si="33"/>
        <v>59</v>
      </c>
      <c r="B157" s="507" t="s">
        <v>3094</v>
      </c>
      <c r="C157" s="571">
        <v>21518839.597499993</v>
      </c>
      <c r="D157" s="571">
        <v>106310111.96999997</v>
      </c>
      <c r="E157" s="571">
        <v>383201293.48727036</v>
      </c>
      <c r="F157" s="571">
        <v>1692815976.1274152</v>
      </c>
      <c r="G157" s="571">
        <v>1867836462.291827</v>
      </c>
      <c r="H157" s="571">
        <v>199582166.73000008</v>
      </c>
      <c r="I157" s="571">
        <v>951547767.61719704</v>
      </c>
      <c r="J157" s="571">
        <v>215105175.0500001</v>
      </c>
      <c r="K157" s="571">
        <v>57166296.429999992</v>
      </c>
      <c r="L157" s="571">
        <v>195624946.57059181</v>
      </c>
      <c r="M157" s="333">
        <f t="shared" si="32"/>
        <v>5690709035.8718014</v>
      </c>
    </row>
    <row r="158" spans="1:13" ht="13">
      <c r="A158" s="2">
        <f t="shared" si="33"/>
        <v>60</v>
      </c>
      <c r="B158" s="507" t="s">
        <v>3095</v>
      </c>
      <c r="C158" s="571">
        <v>21526609.107499994</v>
      </c>
      <c r="D158" s="571">
        <v>106310111.96999997</v>
      </c>
      <c r="E158" s="571">
        <v>383361516.71727037</v>
      </c>
      <c r="F158" s="571">
        <v>1794407326.347415</v>
      </c>
      <c r="G158" s="571">
        <v>1867838552.9518268</v>
      </c>
      <c r="H158" s="571">
        <v>199582626.35000008</v>
      </c>
      <c r="I158" s="571">
        <v>951554754.14719701</v>
      </c>
      <c r="J158" s="571">
        <v>215105175.0500001</v>
      </c>
      <c r="K158" s="571">
        <v>57166296.429999992</v>
      </c>
      <c r="L158" s="571">
        <v>195625407.94059181</v>
      </c>
      <c r="M158" s="333">
        <f t="shared" si="32"/>
        <v>5792478377.0118017</v>
      </c>
    </row>
    <row r="159" spans="1:13" ht="13">
      <c r="A159" s="2">
        <f t="shared" si="33"/>
        <v>61</v>
      </c>
      <c r="B159" s="507" t="s">
        <v>3096</v>
      </c>
      <c r="C159" s="571">
        <v>22167736.797499996</v>
      </c>
      <c r="D159" s="571">
        <v>106310526.04999998</v>
      </c>
      <c r="E159" s="571">
        <v>383311098.91708839</v>
      </c>
      <c r="F159" s="571">
        <v>1794460011.8038571</v>
      </c>
      <c r="G159" s="571">
        <v>1867887057.801827</v>
      </c>
      <c r="H159" s="571">
        <v>199596201.55000007</v>
      </c>
      <c r="I159" s="571">
        <v>951595470.51719689</v>
      </c>
      <c r="J159" s="571">
        <v>215105175.0500001</v>
      </c>
      <c r="K159" s="571">
        <v>57166296.429999992</v>
      </c>
      <c r="L159" s="571">
        <v>195639034.6405918</v>
      </c>
      <c r="M159" s="333">
        <f t="shared" si="32"/>
        <v>5793238609.5580606</v>
      </c>
    </row>
    <row r="160" spans="1:13" ht="13">
      <c r="A160" s="2">
        <f t="shared" si="33"/>
        <v>62</v>
      </c>
      <c r="B160" s="507" t="s">
        <v>3097</v>
      </c>
      <c r="C160" s="571">
        <v>22167728.157499995</v>
      </c>
      <c r="D160" s="571">
        <v>106310534.68999997</v>
      </c>
      <c r="E160" s="571">
        <v>383325145.48708832</v>
      </c>
      <c r="F160" s="571">
        <v>1794645974.1238573</v>
      </c>
      <c r="G160" s="571">
        <v>1867896768.6218271</v>
      </c>
      <c r="H160" s="571">
        <v>199598848.42000008</v>
      </c>
      <c r="I160" s="571">
        <v>951606579.37719703</v>
      </c>
      <c r="J160" s="571">
        <v>215105175.0500001</v>
      </c>
      <c r="K160" s="571">
        <v>57166296.429999992</v>
      </c>
      <c r="L160" s="571">
        <v>195641691.54059184</v>
      </c>
      <c r="M160" s="333">
        <f t="shared" si="32"/>
        <v>5793464741.8980627</v>
      </c>
    </row>
    <row r="161" spans="1:13" ht="13">
      <c r="A161" s="2">
        <f t="shared" si="33"/>
        <v>63</v>
      </c>
      <c r="B161" s="507" t="s">
        <v>3098</v>
      </c>
      <c r="C161" s="571">
        <v>22167950.777499996</v>
      </c>
      <c r="D161" s="571">
        <v>106310534.68999997</v>
      </c>
      <c r="E161" s="571">
        <v>383409310.1570884</v>
      </c>
      <c r="F161" s="571">
        <v>1795188275.0638571</v>
      </c>
      <c r="G161" s="571">
        <v>1867954996.011827</v>
      </c>
      <c r="H161" s="571">
        <v>199615127.51000008</v>
      </c>
      <c r="I161" s="571">
        <v>951656172.10719705</v>
      </c>
      <c r="J161" s="571">
        <v>215105175.0500001</v>
      </c>
      <c r="K161" s="571">
        <v>57166296.429999992</v>
      </c>
      <c r="L161" s="571">
        <v>195658032.41059178</v>
      </c>
      <c r="M161" s="333">
        <f t="shared" si="32"/>
        <v>5794231870.2080622</v>
      </c>
    </row>
    <row r="162" spans="1:13" ht="13">
      <c r="A162" s="2">
        <f t="shared" si="33"/>
        <v>64</v>
      </c>
      <c r="B162" s="507" t="s">
        <v>3099</v>
      </c>
      <c r="C162" s="571">
        <v>22167938.907499995</v>
      </c>
      <c r="D162" s="571">
        <v>106310546.55999997</v>
      </c>
      <c r="E162" s="571">
        <v>383426234.39708829</v>
      </c>
      <c r="F162" s="571">
        <v>1795413812.0338573</v>
      </c>
      <c r="G162" s="571">
        <v>1868005082.0618269</v>
      </c>
      <c r="H162" s="571">
        <v>199629094.93000007</v>
      </c>
      <c r="I162" s="571">
        <v>951698056.94719696</v>
      </c>
      <c r="J162" s="571">
        <v>215105175.0500001</v>
      </c>
      <c r="K162" s="571">
        <v>57166296.429999992</v>
      </c>
      <c r="L162" s="571">
        <v>195671657.5805918</v>
      </c>
      <c r="M162" s="333">
        <f t="shared" si="32"/>
        <v>5794593894.8980627</v>
      </c>
    </row>
    <row r="163" spans="1:13" ht="13">
      <c r="A163" s="2">
        <f t="shared" si="33"/>
        <v>65</v>
      </c>
      <c r="B163" s="507" t="s">
        <v>3100</v>
      </c>
      <c r="C163" s="571">
        <v>22168100.467499994</v>
      </c>
      <c r="D163" s="571">
        <v>106310546.55999997</v>
      </c>
      <c r="E163" s="571">
        <v>383435104.91708839</v>
      </c>
      <c r="F163" s="571">
        <v>1795529578.1938572</v>
      </c>
      <c r="G163" s="571">
        <v>1868049297.991827</v>
      </c>
      <c r="H163" s="571">
        <v>199641448.49000007</v>
      </c>
      <c r="I163" s="571">
        <v>951736059.27719712</v>
      </c>
      <c r="J163" s="571">
        <v>215105175.0500001</v>
      </c>
      <c r="K163" s="571">
        <v>57166296.429999992</v>
      </c>
      <c r="L163" s="571">
        <v>195684058.0105918</v>
      </c>
      <c r="M163" s="333">
        <f t="shared" si="32"/>
        <v>5794825665.3880615</v>
      </c>
    </row>
    <row r="164" spans="1:13" ht="13">
      <c r="A164" s="2">
        <f t="shared" si="33"/>
        <v>66</v>
      </c>
      <c r="B164" s="507" t="s">
        <v>3101</v>
      </c>
      <c r="C164" s="571">
        <v>22168247.697499994</v>
      </c>
      <c r="D164" s="571">
        <v>106310555.16999999</v>
      </c>
      <c r="E164" s="571">
        <v>383470032.62708831</v>
      </c>
      <c r="F164" s="571">
        <v>1796387907.8338571</v>
      </c>
      <c r="G164" s="571">
        <v>1871667575.4418271</v>
      </c>
      <c r="H164" s="571">
        <v>207196812.13000008</v>
      </c>
      <c r="I164" s="571">
        <v>989862877.0071969</v>
      </c>
      <c r="J164" s="571">
        <v>215105175.0500001</v>
      </c>
      <c r="K164" s="571">
        <v>57166296.429999992</v>
      </c>
      <c r="L164" s="571">
        <v>195630499.78059179</v>
      </c>
      <c r="M164" s="333">
        <f t="shared" si="32"/>
        <v>5844965979.1680613</v>
      </c>
    </row>
    <row r="165" spans="1:13" ht="13">
      <c r="A165" s="2"/>
      <c r="B165" s="559"/>
      <c r="C165" s="114"/>
      <c r="D165" s="114"/>
      <c r="E165" s="114"/>
      <c r="F165" s="114"/>
      <c r="G165" s="114"/>
      <c r="H165" s="114"/>
      <c r="I165" s="114"/>
      <c r="J165" s="114"/>
      <c r="K165" s="114"/>
      <c r="L165" s="114"/>
      <c r="M165" s="114"/>
    </row>
    <row r="166" spans="1:13" ht="13">
      <c r="A166" s="603"/>
      <c r="B166" s="559"/>
      <c r="C166" s="785"/>
      <c r="D166" s="785"/>
      <c r="E166" s="785"/>
      <c r="F166" s="785"/>
      <c r="G166" s="785"/>
      <c r="H166" s="785"/>
      <c r="I166" s="785"/>
      <c r="J166" s="785"/>
      <c r="K166" s="785"/>
      <c r="L166" s="785"/>
      <c r="M166" s="333"/>
    </row>
    <row r="167" spans="1:13" ht="13">
      <c r="B167" s="1" t="s">
        <v>721</v>
      </c>
    </row>
    <row r="169" spans="1:13" ht="13">
      <c r="A169" s="197"/>
      <c r="B169" s="48" t="s">
        <v>345</v>
      </c>
      <c r="C169" s="48" t="s">
        <v>346</v>
      </c>
      <c r="D169" s="48" t="s">
        <v>347</v>
      </c>
      <c r="E169" s="48" t="s">
        <v>348</v>
      </c>
      <c r="F169" s="48" t="s">
        <v>349</v>
      </c>
      <c r="G169" s="48" t="s">
        <v>350</v>
      </c>
      <c r="H169" s="48" t="s">
        <v>351</v>
      </c>
      <c r="I169" s="48" t="s">
        <v>352</v>
      </c>
      <c r="J169" s="48" t="s">
        <v>353</v>
      </c>
      <c r="K169" s="48" t="s">
        <v>603</v>
      </c>
      <c r="L169" s="48" t="s">
        <v>604</v>
      </c>
      <c r="M169" s="48" t="s">
        <v>605</v>
      </c>
    </row>
    <row r="170" spans="1:13">
      <c r="A170" s="112"/>
      <c r="B170" s="125"/>
      <c r="C170" s="112"/>
      <c r="D170" s="112"/>
      <c r="E170" s="112"/>
      <c r="F170" s="112"/>
      <c r="G170" s="112"/>
      <c r="H170" s="112"/>
      <c r="I170" s="112"/>
      <c r="J170" s="112"/>
      <c r="K170" s="112"/>
      <c r="M170" s="125" t="s">
        <v>656</v>
      </c>
    </row>
    <row r="171" spans="1:13" ht="13">
      <c r="A171" s="30"/>
      <c r="B171" s="3" t="s">
        <v>657</v>
      </c>
      <c r="C171" s="48">
        <v>350.1</v>
      </c>
      <c r="D171" s="48">
        <v>350.2</v>
      </c>
      <c r="E171" s="48">
        <v>352</v>
      </c>
      <c r="F171" s="48">
        <v>353</v>
      </c>
      <c r="G171" s="48">
        <v>354</v>
      </c>
      <c r="H171" s="48">
        <v>355</v>
      </c>
      <c r="I171" s="48">
        <v>356</v>
      </c>
      <c r="J171" s="48">
        <v>357</v>
      </c>
      <c r="K171" s="48">
        <v>358</v>
      </c>
      <c r="L171" s="48">
        <v>359</v>
      </c>
      <c r="M171" s="3" t="s">
        <v>252</v>
      </c>
    </row>
    <row r="172" spans="1:13" ht="13">
      <c r="A172" s="2">
        <f>A164+1</f>
        <v>67</v>
      </c>
      <c r="B172" s="507" t="s">
        <v>3090</v>
      </c>
      <c r="C172" s="807">
        <f t="shared" ref="C172:L172" si="34">C153-C152</f>
        <v>651.16000000014901</v>
      </c>
      <c r="D172" s="807">
        <f t="shared" si="34"/>
        <v>31.090000003576279</v>
      </c>
      <c r="E172" s="807">
        <f t="shared" si="34"/>
        <v>28218</v>
      </c>
      <c r="F172" s="807">
        <f t="shared" si="34"/>
        <v>290225.26999974251</v>
      </c>
      <c r="G172" s="807">
        <f t="shared" si="34"/>
        <v>6768.4500000476837</v>
      </c>
      <c r="H172" s="807">
        <f t="shared" si="34"/>
        <v>1752.7999999821186</v>
      </c>
      <c r="I172" s="807">
        <f t="shared" si="34"/>
        <v>11580.139999866486</v>
      </c>
      <c r="J172" s="807">
        <f t="shared" si="34"/>
        <v>0</v>
      </c>
      <c r="K172" s="807">
        <f t="shared" si="34"/>
        <v>0</v>
      </c>
      <c r="L172" s="807">
        <f t="shared" si="34"/>
        <v>1759.4599999785423</v>
      </c>
      <c r="M172" s="807">
        <f t="shared" ref="M172:M183" si="35">SUM(C172:L172)</f>
        <v>340986.36999962106</v>
      </c>
    </row>
    <row r="173" spans="1:13" ht="13">
      <c r="A173" s="2">
        <f t="shared" ref="A173:A184" si="36">A172+1</f>
        <v>68</v>
      </c>
      <c r="B173" s="387" t="s">
        <v>3091</v>
      </c>
      <c r="C173" s="807">
        <f t="shared" ref="C173:L173" si="37">C154-C153</f>
        <v>-36.370000001043081</v>
      </c>
      <c r="D173" s="807">
        <f t="shared" si="37"/>
        <v>36.370000004768372</v>
      </c>
      <c r="E173" s="807">
        <f t="shared" si="37"/>
        <v>45277.399999976158</v>
      </c>
      <c r="F173" s="807">
        <f t="shared" si="37"/>
        <v>929274.20000004768</v>
      </c>
      <c r="G173" s="807">
        <f t="shared" si="37"/>
        <v>7318.3399999141693</v>
      </c>
      <c r="H173" s="807">
        <f t="shared" si="37"/>
        <v>2041.9000000059605</v>
      </c>
      <c r="I173" s="807">
        <f t="shared" si="37"/>
        <v>6405.4300000667572</v>
      </c>
      <c r="J173" s="807">
        <f t="shared" si="37"/>
        <v>0</v>
      </c>
      <c r="K173" s="807">
        <f t="shared" si="37"/>
        <v>0</v>
      </c>
      <c r="L173" s="807">
        <f t="shared" si="37"/>
        <v>2049.6499999761581</v>
      </c>
      <c r="M173" s="807">
        <f t="shared" si="35"/>
        <v>992366.91999999061</v>
      </c>
    </row>
    <row r="174" spans="1:13" ht="13">
      <c r="A174" s="2">
        <f t="shared" si="36"/>
        <v>69</v>
      </c>
      <c r="B174" s="507" t="s">
        <v>3092</v>
      </c>
      <c r="C174" s="807">
        <f t="shared" ref="C174:L174" si="38">C155-C154</f>
        <v>732.92999999970198</v>
      </c>
      <c r="D174" s="807">
        <f t="shared" si="38"/>
        <v>0</v>
      </c>
      <c r="E174" s="807">
        <f t="shared" si="38"/>
        <v>564056.01134598255</v>
      </c>
      <c r="F174" s="807">
        <f t="shared" si="38"/>
        <v>16657744.802314043</v>
      </c>
      <c r="G174" s="807">
        <f t="shared" si="38"/>
        <v>8718.2400000095367</v>
      </c>
      <c r="H174" s="807">
        <f t="shared" si="38"/>
        <v>2363.6800000071526</v>
      </c>
      <c r="I174" s="807">
        <f t="shared" si="38"/>
        <v>10499.460000038147</v>
      </c>
      <c r="J174" s="807">
        <f t="shared" si="38"/>
        <v>0</v>
      </c>
      <c r="K174" s="807">
        <f t="shared" si="38"/>
        <v>0</v>
      </c>
      <c r="L174" s="807">
        <f t="shared" si="38"/>
        <v>2372.6400000452995</v>
      </c>
      <c r="M174" s="807">
        <f t="shared" si="35"/>
        <v>17246487.763660125</v>
      </c>
    </row>
    <row r="175" spans="1:13" ht="13">
      <c r="A175" s="2">
        <f t="shared" si="36"/>
        <v>70</v>
      </c>
      <c r="B175" s="507" t="s">
        <v>3093</v>
      </c>
      <c r="C175" s="807">
        <f t="shared" ref="C175:L175" si="39">C156-C155</f>
        <v>-39.070000000298023</v>
      </c>
      <c r="D175" s="807">
        <f t="shared" si="39"/>
        <v>39.069999992847443</v>
      </c>
      <c r="E175" s="807">
        <f t="shared" si="39"/>
        <v>66931.250000059605</v>
      </c>
      <c r="F175" s="807">
        <f t="shared" si="39"/>
        <v>2017548.9299998283</v>
      </c>
      <c r="G175" s="807">
        <f t="shared" si="39"/>
        <v>-329687.41000008583</v>
      </c>
      <c r="H175" s="807">
        <f t="shared" si="39"/>
        <v>-92825.760000020266</v>
      </c>
      <c r="I175" s="807">
        <f t="shared" si="39"/>
        <v>-253603.08999991417</v>
      </c>
      <c r="J175" s="807">
        <f t="shared" si="39"/>
        <v>0</v>
      </c>
      <c r="K175" s="807">
        <f t="shared" si="39"/>
        <v>0</v>
      </c>
      <c r="L175" s="807">
        <f t="shared" si="39"/>
        <v>-93177.97000002861</v>
      </c>
      <c r="M175" s="807">
        <f t="shared" si="35"/>
        <v>1315185.9499998316</v>
      </c>
    </row>
    <row r="176" spans="1:13" ht="13">
      <c r="A176" s="2">
        <f t="shared" si="36"/>
        <v>71</v>
      </c>
      <c r="B176" s="507" t="s">
        <v>3094</v>
      </c>
      <c r="C176" s="807">
        <f t="shared" ref="C176:L176" si="40">C157-C156</f>
        <v>0</v>
      </c>
      <c r="D176" s="807">
        <f t="shared" si="40"/>
        <v>0</v>
      </c>
      <c r="E176" s="807">
        <f t="shared" si="40"/>
        <v>119644.44999998808</v>
      </c>
      <c r="F176" s="807">
        <f t="shared" si="40"/>
        <v>2996064.2700004578</v>
      </c>
      <c r="G176" s="807">
        <f t="shared" si="40"/>
        <v>4273.6400001049042</v>
      </c>
      <c r="H176" s="807">
        <f t="shared" si="40"/>
        <v>1179.8900000154972</v>
      </c>
      <c r="I176" s="807">
        <f t="shared" si="40"/>
        <v>4262.0199999809265</v>
      </c>
      <c r="J176" s="807">
        <f t="shared" si="40"/>
        <v>0</v>
      </c>
      <c r="K176" s="807">
        <f t="shared" si="40"/>
        <v>0</v>
      </c>
      <c r="L176" s="807">
        <f t="shared" si="40"/>
        <v>1184.3700000047684</v>
      </c>
      <c r="M176" s="807">
        <f t="shared" si="35"/>
        <v>3126608.6400005519</v>
      </c>
    </row>
    <row r="177" spans="1:13" ht="13">
      <c r="A177" s="2">
        <f t="shared" si="36"/>
        <v>72</v>
      </c>
      <c r="B177" s="507" t="s">
        <v>3095</v>
      </c>
      <c r="C177" s="807">
        <f t="shared" ref="C177:L177" si="41">C158-C157</f>
        <v>7769.5100000016391</v>
      </c>
      <c r="D177" s="807">
        <f t="shared" si="41"/>
        <v>0</v>
      </c>
      <c r="E177" s="807">
        <f t="shared" si="41"/>
        <v>160223.23000001907</v>
      </c>
      <c r="F177" s="807">
        <f t="shared" si="41"/>
        <v>101591350.21999979</v>
      </c>
      <c r="G177" s="807">
        <f t="shared" si="41"/>
        <v>2090.6599998474121</v>
      </c>
      <c r="H177" s="807">
        <f t="shared" si="41"/>
        <v>459.62000000476837</v>
      </c>
      <c r="I177" s="807">
        <f t="shared" si="41"/>
        <v>6986.5299999713898</v>
      </c>
      <c r="J177" s="807">
        <f t="shared" si="41"/>
        <v>0</v>
      </c>
      <c r="K177" s="807">
        <f t="shared" si="41"/>
        <v>0</v>
      </c>
      <c r="L177" s="807">
        <f t="shared" si="41"/>
        <v>461.37000000476837</v>
      </c>
      <c r="M177" s="807">
        <f t="shared" si="35"/>
        <v>101769341.13999964</v>
      </c>
    </row>
    <row r="178" spans="1:13" ht="13">
      <c r="A178" s="2">
        <f t="shared" si="36"/>
        <v>73</v>
      </c>
      <c r="B178" s="507" t="s">
        <v>3096</v>
      </c>
      <c r="C178" s="807">
        <f t="shared" ref="C178:L178" si="42">C159-C158</f>
        <v>641127.69000000134</v>
      </c>
      <c r="D178" s="807">
        <f t="shared" si="42"/>
        <v>414.08000001311302</v>
      </c>
      <c r="E178" s="807">
        <f t="shared" si="42"/>
        <v>-50417.800181984901</v>
      </c>
      <c r="F178" s="807">
        <f t="shared" si="42"/>
        <v>52685.456442117691</v>
      </c>
      <c r="G178" s="807">
        <f t="shared" si="42"/>
        <v>48504.850000143051</v>
      </c>
      <c r="H178" s="807">
        <f t="shared" si="42"/>
        <v>13575.199999988079</v>
      </c>
      <c r="I178" s="807">
        <f t="shared" si="42"/>
        <v>40716.369999885559</v>
      </c>
      <c r="J178" s="807">
        <f t="shared" si="42"/>
        <v>0</v>
      </c>
      <c r="K178" s="807">
        <f t="shared" si="42"/>
        <v>0</v>
      </c>
      <c r="L178" s="807">
        <f t="shared" si="42"/>
        <v>13626.699999988079</v>
      </c>
      <c r="M178" s="807">
        <f t="shared" si="35"/>
        <v>760232.54626015201</v>
      </c>
    </row>
    <row r="179" spans="1:13" ht="13">
      <c r="A179" s="2">
        <f t="shared" si="36"/>
        <v>74</v>
      </c>
      <c r="B179" s="507" t="s">
        <v>3097</v>
      </c>
      <c r="C179" s="807">
        <f t="shared" ref="C179:L179" si="43">C160-C159</f>
        <v>-8.6400000005960464</v>
      </c>
      <c r="D179" s="807">
        <f t="shared" si="43"/>
        <v>8.6399999856948853</v>
      </c>
      <c r="E179" s="807">
        <f t="shared" si="43"/>
        <v>14046.569999933243</v>
      </c>
      <c r="F179" s="807">
        <f t="shared" si="43"/>
        <v>185962.32000017166</v>
      </c>
      <c r="G179" s="807">
        <f t="shared" si="43"/>
        <v>9710.8200001716614</v>
      </c>
      <c r="H179" s="807">
        <f t="shared" si="43"/>
        <v>2646.8700000047684</v>
      </c>
      <c r="I179" s="807">
        <f t="shared" si="43"/>
        <v>11108.860000133514</v>
      </c>
      <c r="J179" s="807">
        <f t="shared" si="43"/>
        <v>0</v>
      </c>
      <c r="K179" s="807">
        <f t="shared" si="43"/>
        <v>0</v>
      </c>
      <c r="L179" s="807">
        <f t="shared" si="43"/>
        <v>2656.9000000357628</v>
      </c>
      <c r="M179" s="807">
        <f t="shared" si="35"/>
        <v>226132.34000043571</v>
      </c>
    </row>
    <row r="180" spans="1:13" ht="13">
      <c r="A180" s="2">
        <f t="shared" si="36"/>
        <v>75</v>
      </c>
      <c r="B180" s="507" t="s">
        <v>3098</v>
      </c>
      <c r="C180" s="807">
        <f t="shared" ref="C180:L180" si="44">C161-C160</f>
        <v>222.62000000104308</v>
      </c>
      <c r="D180" s="807">
        <f t="shared" si="44"/>
        <v>0</v>
      </c>
      <c r="E180" s="807">
        <f t="shared" si="44"/>
        <v>84164.670000076294</v>
      </c>
      <c r="F180" s="807">
        <f t="shared" si="44"/>
        <v>542300.9399998188</v>
      </c>
      <c r="G180" s="807">
        <f t="shared" si="44"/>
        <v>58227.389999866486</v>
      </c>
      <c r="H180" s="807">
        <f t="shared" si="44"/>
        <v>16279.090000003576</v>
      </c>
      <c r="I180" s="807">
        <f t="shared" si="44"/>
        <v>49592.730000019073</v>
      </c>
      <c r="J180" s="807">
        <f t="shared" si="44"/>
        <v>0</v>
      </c>
      <c r="K180" s="807">
        <f t="shared" si="44"/>
        <v>0</v>
      </c>
      <c r="L180" s="807">
        <f t="shared" si="44"/>
        <v>16340.869999945164</v>
      </c>
      <c r="M180" s="807">
        <f t="shared" si="35"/>
        <v>767128.30999973044</v>
      </c>
    </row>
    <row r="181" spans="1:13" ht="13">
      <c r="A181" s="2">
        <f t="shared" si="36"/>
        <v>76</v>
      </c>
      <c r="B181" s="507" t="s">
        <v>3099</v>
      </c>
      <c r="C181" s="807">
        <f t="shared" ref="C181:L181" si="45">C162-C161</f>
        <v>-11.870000001043081</v>
      </c>
      <c r="D181" s="807">
        <f t="shared" si="45"/>
        <v>11.870000004768372</v>
      </c>
      <c r="E181" s="807">
        <f t="shared" si="45"/>
        <v>16924.239999890327</v>
      </c>
      <c r="F181" s="807">
        <f t="shared" si="45"/>
        <v>225536.97000026703</v>
      </c>
      <c r="G181" s="807">
        <f t="shared" si="45"/>
        <v>50086.049999952316</v>
      </c>
      <c r="H181" s="807">
        <f t="shared" si="45"/>
        <v>13967.419999986887</v>
      </c>
      <c r="I181" s="807">
        <f t="shared" si="45"/>
        <v>41884.839999914169</v>
      </c>
      <c r="J181" s="807">
        <f t="shared" si="45"/>
        <v>0</v>
      </c>
      <c r="K181" s="807">
        <f t="shared" si="45"/>
        <v>0</v>
      </c>
      <c r="L181" s="807">
        <f t="shared" si="45"/>
        <v>13625.170000016689</v>
      </c>
      <c r="M181" s="807">
        <f t="shared" si="35"/>
        <v>362024.69000003114</v>
      </c>
    </row>
    <row r="182" spans="1:13" ht="13">
      <c r="A182" s="2">
        <f t="shared" si="36"/>
        <v>77</v>
      </c>
      <c r="B182" s="507" t="s">
        <v>3100</v>
      </c>
      <c r="C182" s="807">
        <f t="shared" ref="C182:L182" si="46">C163-C162</f>
        <v>161.5599999986589</v>
      </c>
      <c r="D182" s="807">
        <f t="shared" si="46"/>
        <v>0</v>
      </c>
      <c r="E182" s="807">
        <f t="shared" si="46"/>
        <v>8870.5200001001358</v>
      </c>
      <c r="F182" s="807">
        <f t="shared" si="46"/>
        <v>115766.15999984741</v>
      </c>
      <c r="G182" s="807">
        <f t="shared" si="46"/>
        <v>44215.930000066757</v>
      </c>
      <c r="H182" s="807">
        <f t="shared" si="46"/>
        <v>12353.560000002384</v>
      </c>
      <c r="I182" s="807">
        <f t="shared" si="46"/>
        <v>38002.330000162125</v>
      </c>
      <c r="J182" s="807">
        <f t="shared" si="46"/>
        <v>0</v>
      </c>
      <c r="K182" s="807">
        <f t="shared" si="46"/>
        <v>0</v>
      </c>
      <c r="L182" s="807">
        <f t="shared" si="46"/>
        <v>12400.430000007153</v>
      </c>
      <c r="M182" s="807">
        <f t="shared" si="35"/>
        <v>231770.49000018463</v>
      </c>
    </row>
    <row r="183" spans="1:13" ht="13">
      <c r="A183" s="2">
        <f t="shared" si="36"/>
        <v>78</v>
      </c>
      <c r="B183" s="1191" t="s">
        <v>3101</v>
      </c>
      <c r="C183" s="808">
        <f t="shared" ref="C183:L183" si="47">C164-C163</f>
        <v>147.23000000044703</v>
      </c>
      <c r="D183" s="808">
        <f t="shared" si="47"/>
        <v>8.6100000143051147</v>
      </c>
      <c r="E183" s="808">
        <f t="shared" si="47"/>
        <v>34927.709999918938</v>
      </c>
      <c r="F183" s="808">
        <f t="shared" si="47"/>
        <v>858329.63999986649</v>
      </c>
      <c r="G183" s="808">
        <f t="shared" si="47"/>
        <v>3618277.4500000477</v>
      </c>
      <c r="H183" s="808">
        <f t="shared" si="47"/>
        <v>7555363.6400000155</v>
      </c>
      <c r="I183" s="808">
        <f t="shared" si="47"/>
        <v>38126817.729999781</v>
      </c>
      <c r="J183" s="808">
        <f t="shared" si="47"/>
        <v>0</v>
      </c>
      <c r="K183" s="808">
        <f t="shared" si="47"/>
        <v>0</v>
      </c>
      <c r="L183" s="808">
        <f t="shared" si="47"/>
        <v>-53558.230000019073</v>
      </c>
      <c r="M183" s="808">
        <f t="shared" si="35"/>
        <v>50140313.779999629</v>
      </c>
    </row>
    <row r="184" spans="1:13" ht="13">
      <c r="A184" s="1175">
        <f t="shared" si="36"/>
        <v>79</v>
      </c>
      <c r="B184" s="1084" t="s">
        <v>418</v>
      </c>
      <c r="C184" s="807">
        <f t="shared" ref="C184:M184" si="48">SUM(C172:C183)</f>
        <v>650716.75</v>
      </c>
      <c r="D184" s="807">
        <f t="shared" si="48"/>
        <v>549.73000001907349</v>
      </c>
      <c r="E184" s="807">
        <f t="shared" si="48"/>
        <v>1092866.2511639595</v>
      </c>
      <c r="F184" s="807">
        <f t="shared" si="48"/>
        <v>126462789.178756</v>
      </c>
      <c r="G184" s="807">
        <f t="shared" si="48"/>
        <v>3528504.4100000858</v>
      </c>
      <c r="H184" s="807">
        <f t="shared" si="48"/>
        <v>7529157.9099999964</v>
      </c>
      <c r="I184" s="807">
        <f t="shared" si="48"/>
        <v>38094253.349999905</v>
      </c>
      <c r="J184" s="807">
        <f t="shared" si="48"/>
        <v>0</v>
      </c>
      <c r="K184" s="807">
        <f t="shared" si="48"/>
        <v>0</v>
      </c>
      <c r="L184" s="807">
        <f t="shared" si="48"/>
        <v>-80258.6400000453</v>
      </c>
      <c r="M184" s="807">
        <f t="shared" si="48"/>
        <v>177278578.93991992</v>
      </c>
    </row>
    <row r="185" spans="1:13" ht="13">
      <c r="A185" s="2"/>
      <c r="B185" s="559"/>
      <c r="C185" s="569"/>
      <c r="D185" s="569"/>
      <c r="E185" s="569"/>
      <c r="F185" s="569"/>
      <c r="G185" s="569"/>
      <c r="H185" s="569"/>
      <c r="I185" s="569"/>
      <c r="J185" s="569"/>
      <c r="K185" s="569"/>
      <c r="L185" s="569"/>
      <c r="M185" s="569"/>
    </row>
    <row r="186" spans="1:13" ht="13">
      <c r="B186" s="109" t="s">
        <v>3080</v>
      </c>
    </row>
    <row r="187" spans="1:13" s="233" customFormat="1">
      <c r="A187"/>
      <c r="B187"/>
      <c r="C187"/>
      <c r="D187"/>
      <c r="E187"/>
      <c r="F187"/>
      <c r="G187"/>
      <c r="H187"/>
      <c r="I187"/>
      <c r="J187"/>
      <c r="K187"/>
      <c r="L187"/>
      <c r="M187"/>
    </row>
    <row r="188" spans="1:13" s="233" customFormat="1" ht="13">
      <c r="A188" s="197"/>
      <c r="B188" s="48" t="s">
        <v>345</v>
      </c>
      <c r="C188" s="48" t="s">
        <v>346</v>
      </c>
      <c r="D188" s="48" t="s">
        <v>347</v>
      </c>
      <c r="E188" s="48" t="s">
        <v>348</v>
      </c>
      <c r="F188" s="48" t="s">
        <v>349</v>
      </c>
      <c r="G188" s="48" t="s">
        <v>350</v>
      </c>
      <c r="H188" s="48" t="s">
        <v>351</v>
      </c>
      <c r="I188" s="48" t="s">
        <v>352</v>
      </c>
      <c r="J188" s="48" t="s">
        <v>353</v>
      </c>
      <c r="K188" s="48" t="s">
        <v>603</v>
      </c>
      <c r="L188" s="48" t="s">
        <v>604</v>
      </c>
      <c r="M188" s="48" t="s">
        <v>605</v>
      </c>
    </row>
    <row r="189" spans="1:13" s="233" customFormat="1">
      <c r="A189" s="112"/>
      <c r="B189" s="125"/>
      <c r="C189" s="112"/>
      <c r="D189" s="112"/>
      <c r="E189" s="112"/>
      <c r="F189" s="112"/>
      <c r="G189" s="112"/>
      <c r="H189" s="112"/>
      <c r="I189" s="112"/>
      <c r="J189" s="112"/>
      <c r="K189" s="112"/>
      <c r="L189"/>
      <c r="M189" s="125" t="s">
        <v>656</v>
      </c>
    </row>
    <row r="190" spans="1:13" s="233" customFormat="1" ht="13">
      <c r="A190" s="30"/>
      <c r="B190" s="3" t="s">
        <v>657</v>
      </c>
      <c r="C190" s="48">
        <v>350.1</v>
      </c>
      <c r="D190" s="48">
        <v>350.2</v>
      </c>
      <c r="E190" s="48">
        <v>352</v>
      </c>
      <c r="F190" s="48">
        <v>353</v>
      </c>
      <c r="G190" s="48">
        <v>354</v>
      </c>
      <c r="H190" s="48">
        <v>355</v>
      </c>
      <c r="I190" s="48">
        <v>356</v>
      </c>
      <c r="J190" s="48">
        <v>357</v>
      </c>
      <c r="K190" s="48">
        <v>358</v>
      </c>
      <c r="L190" s="48">
        <v>359</v>
      </c>
      <c r="M190" s="3" t="s">
        <v>252</v>
      </c>
    </row>
    <row r="191" spans="1:13" s="233" customFormat="1" ht="13">
      <c r="A191" s="2">
        <f>A184+1</f>
        <v>80</v>
      </c>
      <c r="B191" s="507" t="s">
        <v>3090</v>
      </c>
      <c r="C191" s="785">
        <f t="shared" ref="C191:L191" si="49">C132-C172</f>
        <v>-3.7252902984619141E-9</v>
      </c>
      <c r="D191" s="785">
        <f t="shared" si="49"/>
        <v>137640.96000000834</v>
      </c>
      <c r="E191" s="785">
        <f t="shared" si="49"/>
        <v>5281776.4400000572</v>
      </c>
      <c r="F191" s="785">
        <f t="shared" si="49"/>
        <v>22776744.640001059</v>
      </c>
      <c r="G191" s="785">
        <f t="shared" si="49"/>
        <v>93383.039999723434</v>
      </c>
      <c r="H191" s="785">
        <f t="shared" si="49"/>
        <v>-3711510.1666662991</v>
      </c>
      <c r="I191" s="785">
        <f t="shared" si="49"/>
        <v>-1315894.0799999237</v>
      </c>
      <c r="J191" s="785">
        <f t="shared" si="49"/>
        <v>10483023.886666715</v>
      </c>
      <c r="K191" s="785">
        <f t="shared" si="49"/>
        <v>634928.37666666508</v>
      </c>
      <c r="L191" s="785">
        <f t="shared" si="49"/>
        <v>8807.6400000452995</v>
      </c>
      <c r="M191" s="785">
        <f t="shared" ref="M191:M202" si="50">SUM(C191:L191)</f>
        <v>34388900.73666805</v>
      </c>
    </row>
    <row r="192" spans="1:13" s="233" customFormat="1" ht="13">
      <c r="A192" s="2">
        <f t="shared" ref="A192:A203" si="51">A191+1</f>
        <v>81</v>
      </c>
      <c r="B192" s="387" t="s">
        <v>3091</v>
      </c>
      <c r="C192" s="785">
        <f t="shared" ref="C192:L192" si="52">C133-C173</f>
        <v>11158641.879999992</v>
      </c>
      <c r="D192" s="785">
        <f t="shared" si="52"/>
        <v>26225.159999996424</v>
      </c>
      <c r="E192" s="785">
        <f t="shared" si="52"/>
        <v>2508678.7199999094</v>
      </c>
      <c r="F192" s="785">
        <f t="shared" si="52"/>
        <v>6041438.8299996853</v>
      </c>
      <c r="G192" s="785">
        <f t="shared" si="52"/>
        <v>-37972.069999933243</v>
      </c>
      <c r="H192" s="785">
        <f t="shared" si="52"/>
        <v>-4291010.1766666472</v>
      </c>
      <c r="I192" s="785">
        <f t="shared" si="52"/>
        <v>1560453.8199999332</v>
      </c>
      <c r="J192" s="785">
        <f t="shared" si="52"/>
        <v>10480016.336666584</v>
      </c>
      <c r="K192" s="785">
        <f t="shared" si="52"/>
        <v>718375.30666661263</v>
      </c>
      <c r="L192" s="785">
        <f t="shared" si="52"/>
        <v>1442.7299999892712</v>
      </c>
      <c r="M192" s="785">
        <f t="shared" si="50"/>
        <v>28166290.536666121</v>
      </c>
    </row>
    <row r="193" spans="1:13" s="233" customFormat="1" ht="13">
      <c r="A193" s="2">
        <f t="shared" si="51"/>
        <v>82</v>
      </c>
      <c r="B193" s="507" t="s">
        <v>3092</v>
      </c>
      <c r="C193" s="785">
        <f t="shared" ref="C193:L193" si="53">C134-C174</f>
        <v>11918.019999988377</v>
      </c>
      <c r="D193" s="785">
        <f t="shared" si="53"/>
        <v>5014.25</v>
      </c>
      <c r="E193" s="785">
        <f t="shared" si="53"/>
        <v>7324257.4286540747</v>
      </c>
      <c r="F193" s="785">
        <f t="shared" si="53"/>
        <v>22124044.387685537</v>
      </c>
      <c r="G193" s="785">
        <f t="shared" si="53"/>
        <v>2199598.370000124</v>
      </c>
      <c r="H193" s="785">
        <f t="shared" si="53"/>
        <v>1718084.6133335233</v>
      </c>
      <c r="I193" s="785">
        <f t="shared" si="53"/>
        <v>766939.44999980927</v>
      </c>
      <c r="J193" s="785">
        <f t="shared" si="53"/>
        <v>10480767.746666729</v>
      </c>
      <c r="K193" s="785">
        <f t="shared" si="53"/>
        <v>1228461.8966667056</v>
      </c>
      <c r="L193" s="785">
        <f t="shared" si="53"/>
        <v>3928.9399999678135</v>
      </c>
      <c r="M193" s="785">
        <f t="shared" si="50"/>
        <v>45863015.10300646</v>
      </c>
    </row>
    <row r="194" spans="1:13" s="233" customFormat="1" ht="13">
      <c r="A194" s="2">
        <f t="shared" si="51"/>
        <v>83</v>
      </c>
      <c r="B194" s="507" t="s">
        <v>3093</v>
      </c>
      <c r="C194" s="785">
        <f t="shared" ref="C194:L194" si="54">C135-C175</f>
        <v>7.4505805969238281E-9</v>
      </c>
      <c r="D194" s="785">
        <f t="shared" si="54"/>
        <v>1201.9000000059605</v>
      </c>
      <c r="E194" s="785">
        <f t="shared" si="54"/>
        <v>19559554.899999797</v>
      </c>
      <c r="F194" s="785">
        <f t="shared" si="54"/>
        <v>66767568.320000172</v>
      </c>
      <c r="G194" s="785">
        <f t="shared" si="54"/>
        <v>26540037.330000162</v>
      </c>
      <c r="H194" s="785">
        <f>H135-H175</f>
        <v>7239187.1933334172</v>
      </c>
      <c r="I194" s="785">
        <f t="shared" si="54"/>
        <v>63090886.169999838</v>
      </c>
      <c r="J194" s="785">
        <f t="shared" si="54"/>
        <v>10481054.406666696</v>
      </c>
      <c r="K194" s="785">
        <f t="shared" si="54"/>
        <v>535616.14666670561</v>
      </c>
      <c r="L194" s="785">
        <f t="shared" si="54"/>
        <v>198388.41000005603</v>
      </c>
      <c r="M194" s="785">
        <f t="shared" si="50"/>
        <v>194413494.77666685</v>
      </c>
    </row>
    <row r="195" spans="1:13" s="233" customFormat="1" ht="13">
      <c r="A195" s="2">
        <f t="shared" si="51"/>
        <v>84</v>
      </c>
      <c r="B195" s="507" t="s">
        <v>3094</v>
      </c>
      <c r="C195" s="785">
        <f t="shared" ref="C195:L195" si="55">C136-C176</f>
        <v>0</v>
      </c>
      <c r="D195" s="785">
        <f t="shared" si="55"/>
        <v>37993.719999998808</v>
      </c>
      <c r="E195" s="785">
        <f t="shared" si="55"/>
        <v>6128622.7100003362</v>
      </c>
      <c r="F195" s="785">
        <f t="shared" si="55"/>
        <v>21623623.759999275</v>
      </c>
      <c r="G195" s="785">
        <f t="shared" si="55"/>
        <v>-1093370.6500003338</v>
      </c>
      <c r="H195" s="785">
        <f t="shared" si="55"/>
        <v>8177946.703332752</v>
      </c>
      <c r="I195" s="785">
        <f t="shared" si="55"/>
        <v>3961219.0600004196</v>
      </c>
      <c r="J195" s="785">
        <f t="shared" si="55"/>
        <v>18146659.526666582</v>
      </c>
      <c r="K195" s="785">
        <f t="shared" si="55"/>
        <v>2464912.1666666269</v>
      </c>
      <c r="L195" s="785">
        <f t="shared" si="55"/>
        <v>687618.4999999702</v>
      </c>
      <c r="M195" s="785">
        <f t="shared" si="50"/>
        <v>60135225.496665627</v>
      </c>
    </row>
    <row r="196" spans="1:13" s="233" customFormat="1" ht="13">
      <c r="A196" s="2">
        <f t="shared" si="51"/>
        <v>85</v>
      </c>
      <c r="B196" s="507" t="s">
        <v>3095</v>
      </c>
      <c r="C196" s="785">
        <f t="shared" ref="C196:L196" si="56">C137-C177</f>
        <v>-8582.5199999921024</v>
      </c>
      <c r="D196" s="785">
        <f t="shared" si="56"/>
        <v>2190.330000013113</v>
      </c>
      <c r="E196" s="785">
        <f t="shared" si="56"/>
        <v>2445125.3999998569</v>
      </c>
      <c r="F196" s="785">
        <f t="shared" si="56"/>
        <v>5615150.9100003242</v>
      </c>
      <c r="G196" s="785">
        <f t="shared" si="56"/>
        <v>239223.39000034332</v>
      </c>
      <c r="H196" s="785">
        <f t="shared" si="56"/>
        <v>-671342.77666628361</v>
      </c>
      <c r="I196" s="785">
        <f t="shared" si="56"/>
        <v>-49607798.730000257</v>
      </c>
      <c r="J196" s="785">
        <f t="shared" si="56"/>
        <v>10569657.536666691</v>
      </c>
      <c r="K196" s="785">
        <f t="shared" si="56"/>
        <v>714925.90666663647</v>
      </c>
      <c r="L196" s="785">
        <f t="shared" si="56"/>
        <v>16304393.089999974</v>
      </c>
      <c r="M196" s="785">
        <f t="shared" si="50"/>
        <v>-14397057.463332698</v>
      </c>
    </row>
    <row r="197" spans="1:13" s="233" customFormat="1" ht="13">
      <c r="A197" s="2">
        <f t="shared" si="51"/>
        <v>86</v>
      </c>
      <c r="B197" s="507" t="s">
        <v>3096</v>
      </c>
      <c r="C197" s="785">
        <f t="shared" ref="C197:L197" si="57">C138-C178</f>
        <v>-3.7252902984619141E-9</v>
      </c>
      <c r="D197" s="785">
        <f t="shared" si="57"/>
        <v>13645.419999986887</v>
      </c>
      <c r="E197" s="785">
        <f t="shared" si="57"/>
        <v>3429101.9601818323</v>
      </c>
      <c r="F197" s="785">
        <f t="shared" si="57"/>
        <v>3146819.6135585308</v>
      </c>
      <c r="G197" s="785">
        <f t="shared" si="57"/>
        <v>16378577.319999933</v>
      </c>
      <c r="H197" s="785">
        <f t="shared" si="57"/>
        <v>-3480188.2566668391</v>
      </c>
      <c r="I197" s="785">
        <f t="shared" si="57"/>
        <v>26576541.420000076</v>
      </c>
      <c r="J197" s="785">
        <f t="shared" si="57"/>
        <v>10652228.75666672</v>
      </c>
      <c r="K197" s="785">
        <f t="shared" si="57"/>
        <v>4871183.2266666889</v>
      </c>
      <c r="L197" s="785">
        <f t="shared" si="57"/>
        <v>1048080.3000000119</v>
      </c>
      <c r="M197" s="785">
        <f t="shared" si="50"/>
        <v>62635989.760406941</v>
      </c>
    </row>
    <row r="198" spans="1:13" s="233" customFormat="1" ht="13">
      <c r="A198" s="2">
        <f t="shared" si="51"/>
        <v>87</v>
      </c>
      <c r="B198" s="507" t="s">
        <v>3097</v>
      </c>
      <c r="C198" s="785">
        <f t="shared" ref="C198:L198" si="58">C139-C179</f>
        <v>-1.4901161193847656E-8</v>
      </c>
      <c r="D198" s="785">
        <f t="shared" si="58"/>
        <v>2193.8199999928474</v>
      </c>
      <c r="E198" s="785">
        <f t="shared" si="58"/>
        <v>6945934.2500002384</v>
      </c>
      <c r="F198" s="785">
        <f t="shared" si="58"/>
        <v>17624417.809999943</v>
      </c>
      <c r="G198" s="785">
        <f t="shared" si="58"/>
        <v>-1691527.9000000954</v>
      </c>
      <c r="H198" s="785">
        <f t="shared" si="58"/>
        <v>5131671.4933332205</v>
      </c>
      <c r="I198" s="785">
        <f t="shared" si="58"/>
        <v>-855974.28999996185</v>
      </c>
      <c r="J198" s="785">
        <f t="shared" si="58"/>
        <v>10615630.886666596</v>
      </c>
      <c r="K198" s="785">
        <f t="shared" si="58"/>
        <v>1162773.6166666746</v>
      </c>
      <c r="L198" s="785">
        <f t="shared" si="58"/>
        <v>205731.16999995708</v>
      </c>
      <c r="M198" s="785">
        <f t="shared" si="50"/>
        <v>39140850.85666655</v>
      </c>
    </row>
    <row r="199" spans="1:13" s="233" customFormat="1" ht="13">
      <c r="A199" s="2">
        <f t="shared" si="51"/>
        <v>88</v>
      </c>
      <c r="B199" s="507" t="s">
        <v>3098</v>
      </c>
      <c r="C199" s="785">
        <f t="shared" ref="C199:L199" si="59">C140-C180</f>
        <v>3.7252902984619141E-9</v>
      </c>
      <c r="D199" s="785">
        <f t="shared" si="59"/>
        <v>2534.5400000214577</v>
      </c>
      <c r="E199" s="785">
        <f t="shared" si="59"/>
        <v>2769587.4800000191</v>
      </c>
      <c r="F199" s="785">
        <f t="shared" si="59"/>
        <v>6377914.5599992275</v>
      </c>
      <c r="G199" s="785">
        <f t="shared" si="59"/>
        <v>906369.46999979019</v>
      </c>
      <c r="H199" s="785">
        <f t="shared" si="59"/>
        <v>-4469324.306666702</v>
      </c>
      <c r="I199" s="785">
        <f t="shared" si="59"/>
        <v>8644013.3099999428</v>
      </c>
      <c r="J199" s="785">
        <f t="shared" si="59"/>
        <v>10804970.196666718</v>
      </c>
      <c r="K199" s="785">
        <f t="shared" si="59"/>
        <v>729600.43666666746</v>
      </c>
      <c r="L199" s="785">
        <f t="shared" si="59"/>
        <v>532843.04000008106</v>
      </c>
      <c r="M199" s="785">
        <f t="shared" si="50"/>
        <v>26298508.726665769</v>
      </c>
    </row>
    <row r="200" spans="1:13" s="233" customFormat="1" ht="13">
      <c r="A200" s="2">
        <f t="shared" si="51"/>
        <v>89</v>
      </c>
      <c r="B200" s="507" t="s">
        <v>3099</v>
      </c>
      <c r="C200" s="785">
        <f t="shared" ref="C200:L200" si="60">C141-C181</f>
        <v>-3.7252902984619141E-9</v>
      </c>
      <c r="D200" s="785">
        <f t="shared" si="60"/>
        <v>2008.7999999821186</v>
      </c>
      <c r="E200" s="785">
        <f>E141-E181</f>
        <v>3459052.9400001764</v>
      </c>
      <c r="F200" s="785">
        <f t="shared" si="60"/>
        <v>7534794.5599994659</v>
      </c>
      <c r="G200" s="785">
        <f t="shared" si="60"/>
        <v>5564739.4100000858</v>
      </c>
      <c r="H200" s="785">
        <f t="shared" si="60"/>
        <v>-4971704.1066664755</v>
      </c>
      <c r="I200" s="785">
        <f t="shared" si="60"/>
        <v>219517.58000016212</v>
      </c>
      <c r="J200" s="785">
        <f t="shared" si="60"/>
        <v>10354549.176666677</v>
      </c>
      <c r="K200" s="785">
        <f t="shared" si="60"/>
        <v>654375.15666669607</v>
      </c>
      <c r="L200" s="785">
        <f t="shared" si="60"/>
        <v>289641.18999993801</v>
      </c>
      <c r="M200" s="785">
        <f t="shared" si="50"/>
        <v>23106974.706666704</v>
      </c>
    </row>
    <row r="201" spans="1:13" s="233" customFormat="1" ht="13">
      <c r="A201" s="2">
        <f t="shared" si="51"/>
        <v>90</v>
      </c>
      <c r="B201" s="507" t="s">
        <v>3100</v>
      </c>
      <c r="C201" s="785">
        <f t="shared" ref="C201:L201" si="61">C142-C182</f>
        <v>-1558.8599999807775</v>
      </c>
      <c r="D201" s="785">
        <f t="shared" si="61"/>
        <v>2165.6899999976158</v>
      </c>
      <c r="E201" s="785">
        <f t="shared" si="61"/>
        <v>-1957677.1300002337</v>
      </c>
      <c r="F201" s="785">
        <f t="shared" si="61"/>
        <v>2480018.7300004959</v>
      </c>
      <c r="G201" s="785">
        <f t="shared" si="61"/>
        <v>-30437.979999780655</v>
      </c>
      <c r="H201" s="785">
        <f t="shared" si="61"/>
        <v>-171905.56666666269</v>
      </c>
      <c r="I201" s="785">
        <f t="shared" si="61"/>
        <v>-416132.33000016212</v>
      </c>
      <c r="J201" s="785">
        <f t="shared" si="61"/>
        <v>15367324.576666594</v>
      </c>
      <c r="K201" s="785">
        <f t="shared" si="61"/>
        <v>1799736.0966666341</v>
      </c>
      <c r="L201" s="785">
        <f t="shared" si="61"/>
        <v>1309002.6299999952</v>
      </c>
      <c r="M201" s="785">
        <f t="shared" si="50"/>
        <v>18380535.856666896</v>
      </c>
    </row>
    <row r="202" spans="1:13" ht="13">
      <c r="A202" s="2">
        <f t="shared" si="51"/>
        <v>91</v>
      </c>
      <c r="B202" s="1191" t="s">
        <v>3101</v>
      </c>
      <c r="C202" s="786">
        <f t="shared" ref="C202:L202" si="62">C143-C183</f>
        <v>-1.1175870895385742E-8</v>
      </c>
      <c r="D202" s="786">
        <f t="shared" si="62"/>
        <v>8681.5900000035763</v>
      </c>
      <c r="E202" s="786">
        <f t="shared" si="62"/>
        <v>5544360.310000062</v>
      </c>
      <c r="F202" s="786">
        <f t="shared" si="62"/>
        <v>31999815.970000744</v>
      </c>
      <c r="G202" s="786">
        <f t="shared" si="62"/>
        <v>989064.51999974251</v>
      </c>
      <c r="H202" s="786">
        <f t="shared" si="62"/>
        <v>-815819.41666665673</v>
      </c>
      <c r="I202" s="786">
        <f t="shared" si="62"/>
        <v>-2489842.8999998569</v>
      </c>
      <c r="J202" s="786">
        <f t="shared" si="62"/>
        <v>11531241.576666713</v>
      </c>
      <c r="K202" s="786">
        <f t="shared" si="62"/>
        <v>659089.00666666031</v>
      </c>
      <c r="L202" s="786">
        <f t="shared" si="62"/>
        <v>411943.99000006914</v>
      </c>
      <c r="M202" s="786">
        <f t="shared" si="50"/>
        <v>47838534.646667466</v>
      </c>
    </row>
    <row r="203" spans="1:13" ht="13">
      <c r="A203" s="1175">
        <f t="shared" si="51"/>
        <v>92</v>
      </c>
      <c r="B203" s="1084" t="s">
        <v>418</v>
      </c>
      <c r="C203" s="785">
        <f t="shared" ref="C203:M203" si="63">SUM(C191:C202)</f>
        <v>11160418.519999981</v>
      </c>
      <c r="D203" s="785">
        <f t="shared" si="63"/>
        <v>241496.18000000715</v>
      </c>
      <c r="E203" s="785">
        <f t="shared" si="63"/>
        <v>63438375.408836126</v>
      </c>
      <c r="F203" s="785">
        <f t="shared" si="63"/>
        <v>214112352.09124446</v>
      </c>
      <c r="G203" s="785">
        <f t="shared" si="63"/>
        <v>50057684.249999762</v>
      </c>
      <c r="H203" s="785">
        <f t="shared" si="63"/>
        <v>-315914.7699996531</v>
      </c>
      <c r="I203" s="785">
        <f t="shared" si="63"/>
        <v>50133928.480000019</v>
      </c>
      <c r="J203" s="785">
        <f t="shared" si="63"/>
        <v>139967124.61000001</v>
      </c>
      <c r="K203" s="785">
        <f t="shared" si="63"/>
        <v>16173977.339999974</v>
      </c>
      <c r="L203" s="785">
        <f t="shared" si="63"/>
        <v>21001821.630000055</v>
      </c>
      <c r="M203" s="785">
        <f t="shared" si="63"/>
        <v>565971263.74008071</v>
      </c>
    </row>
    <row r="204" spans="1:13" ht="13">
      <c r="A204" s="2"/>
      <c r="B204" s="559"/>
      <c r="C204" s="569"/>
      <c r="D204" s="569"/>
      <c r="E204" s="569"/>
      <c r="F204" s="569"/>
      <c r="G204" s="569"/>
      <c r="H204" s="569"/>
      <c r="I204" s="569"/>
      <c r="J204" s="569"/>
      <c r="K204" s="569"/>
      <c r="L204" s="569"/>
      <c r="M204" s="569"/>
    </row>
    <row r="205" spans="1:13" ht="13">
      <c r="A205" s="1058"/>
      <c r="B205" s="1086"/>
      <c r="C205" s="1083"/>
      <c r="D205" s="1083"/>
      <c r="E205" s="1083"/>
      <c r="F205" s="785"/>
    </row>
    <row r="206" spans="1:13" ht="13">
      <c r="A206" s="233"/>
      <c r="B206" s="1" t="s">
        <v>3081</v>
      </c>
      <c r="C206" s="233"/>
      <c r="D206" s="233"/>
      <c r="E206" s="233"/>
      <c r="F206" s="233"/>
      <c r="G206" s="233"/>
      <c r="H206" s="233"/>
      <c r="I206" s="233"/>
      <c r="J206" s="233"/>
      <c r="K206" s="233"/>
      <c r="L206" s="233"/>
      <c r="M206" s="569"/>
    </row>
    <row r="207" spans="1:13">
      <c r="A207" s="233"/>
      <c r="B207" s="233"/>
      <c r="C207" s="233"/>
      <c r="D207" s="233"/>
      <c r="E207" s="233"/>
      <c r="F207" s="233"/>
      <c r="G207" s="233"/>
      <c r="H207" s="233"/>
      <c r="I207" s="233"/>
      <c r="J207" s="233"/>
      <c r="K207" s="233"/>
      <c r="L207" s="233"/>
      <c r="M207" s="569"/>
    </row>
    <row r="208" spans="1:13" ht="13">
      <c r="A208" s="233"/>
      <c r="B208" s="3" t="s">
        <v>657</v>
      </c>
      <c r="C208" s="48">
        <v>350.1</v>
      </c>
      <c r="D208" s="48">
        <v>350.2</v>
      </c>
      <c r="E208" s="48">
        <v>352</v>
      </c>
      <c r="F208" s="48">
        <v>353</v>
      </c>
      <c r="G208" s="48">
        <v>354</v>
      </c>
      <c r="H208" s="48">
        <v>355</v>
      </c>
      <c r="I208" s="48">
        <v>356</v>
      </c>
      <c r="J208" s="48">
        <v>357</v>
      </c>
      <c r="K208" s="48">
        <v>358</v>
      </c>
      <c r="L208" s="48">
        <v>359</v>
      </c>
      <c r="M208" s="569"/>
    </row>
    <row r="209" spans="1:13" ht="13">
      <c r="A209" s="2">
        <f>A203+1</f>
        <v>93</v>
      </c>
      <c r="B209" s="507" t="s">
        <v>3090</v>
      </c>
      <c r="C209" s="572">
        <f t="shared" ref="C209:L209" si="64">C191/C$203</f>
        <v>-3.3379485650883282E-16</v>
      </c>
      <c r="D209" s="572">
        <f t="shared" si="64"/>
        <v>0.56995087872613248</v>
      </c>
      <c r="E209" s="572">
        <f t="shared" si="64"/>
        <v>8.3258381160630668E-2</v>
      </c>
      <c r="F209" s="572">
        <f t="shared" si="64"/>
        <v>0.10637753692180588</v>
      </c>
      <c r="G209" s="572">
        <f t="shared" si="64"/>
        <v>1.8655085907159975E-3</v>
      </c>
      <c r="H209" s="572">
        <f t="shared" si="64"/>
        <v>11.748454074085787</v>
      </c>
      <c r="I209" s="572">
        <f t="shared" si="64"/>
        <v>-2.624757564181061E-2</v>
      </c>
      <c r="J209" s="572">
        <f t="shared" si="64"/>
        <v>7.4896329519351657E-2</v>
      </c>
      <c r="K209" s="572">
        <f t="shared" si="64"/>
        <v>3.9256168307866941E-2</v>
      </c>
      <c r="L209" s="572">
        <f t="shared" si="64"/>
        <v>4.1937505018440995E-4</v>
      </c>
      <c r="M209" s="569"/>
    </row>
    <row r="210" spans="1:13" ht="13">
      <c r="A210" s="2">
        <f t="shared" ref="A210:A220" si="65">A209+1</f>
        <v>94</v>
      </c>
      <c r="B210" s="387" t="s">
        <v>3091</v>
      </c>
      <c r="C210" s="572">
        <f t="shared" ref="C210:L210" si="66">C192/C$203</f>
        <v>0.99984080883733839</v>
      </c>
      <c r="D210" s="572">
        <f t="shared" si="66"/>
        <v>0.10859451275790634</v>
      </c>
      <c r="E210" s="572">
        <f t="shared" si="66"/>
        <v>3.9545128699031651E-2</v>
      </c>
      <c r="F210" s="572">
        <f t="shared" si="66"/>
        <v>2.8216208784746396E-2</v>
      </c>
      <c r="G210" s="572">
        <f t="shared" si="66"/>
        <v>-7.5856625349051028E-4</v>
      </c>
      <c r="H210" s="572">
        <f t="shared" si="66"/>
        <v>13.582809618782177</v>
      </c>
      <c r="I210" s="572">
        <f t="shared" si="66"/>
        <v>3.1125704035390857E-2</v>
      </c>
      <c r="J210" s="572">
        <f t="shared" si="66"/>
        <v>7.4874841973554651E-2</v>
      </c>
      <c r="K210" s="572">
        <f t="shared" si="66"/>
        <v>4.4415500996776699E-2</v>
      </c>
      <c r="L210" s="572">
        <f t="shared" si="66"/>
        <v>6.869546963147251E-5</v>
      </c>
      <c r="M210" s="569"/>
    </row>
    <row r="211" spans="1:13" ht="13">
      <c r="A211" s="2">
        <f t="shared" si="65"/>
        <v>95</v>
      </c>
      <c r="B211" s="507" t="s">
        <v>3092</v>
      </c>
      <c r="C211" s="572">
        <f t="shared" ref="C211:L211" si="67">C193/C$203</f>
        <v>1.0678828915448592E-3</v>
      </c>
      <c r="D211" s="572">
        <f t="shared" si="67"/>
        <v>2.0763268387929992E-2</v>
      </c>
      <c r="E211" s="572">
        <f t="shared" si="67"/>
        <v>0.11545468151496677</v>
      </c>
      <c r="F211" s="572">
        <f t="shared" si="67"/>
        <v>0.10332913618293879</v>
      </c>
      <c r="G211" s="572">
        <f t="shared" si="67"/>
        <v>4.3941273012447324E-2</v>
      </c>
      <c r="H211" s="572">
        <f t="shared" si="67"/>
        <v>-5.4384434552883043</v>
      </c>
      <c r="I211" s="572">
        <f t="shared" si="67"/>
        <v>1.5297812743834053E-2</v>
      </c>
      <c r="J211" s="572">
        <f t="shared" si="67"/>
        <v>7.4880210448489318E-2</v>
      </c>
      <c r="K211" s="572">
        <f t="shared" si="67"/>
        <v>7.59529873724126E-2</v>
      </c>
      <c r="L211" s="572">
        <f t="shared" si="67"/>
        <v>1.8707615316356741E-4</v>
      </c>
      <c r="M211" s="569"/>
    </row>
    <row r="212" spans="1:13" ht="13">
      <c r="A212" s="2">
        <f t="shared" si="65"/>
        <v>96</v>
      </c>
      <c r="B212" s="507" t="s">
        <v>3093</v>
      </c>
      <c r="C212" s="572">
        <f t="shared" ref="C212:L212" si="68">C194/C$203</f>
        <v>6.6758971301766563E-16</v>
      </c>
      <c r="D212" s="572">
        <f t="shared" si="68"/>
        <v>4.97689031770989E-3</v>
      </c>
      <c r="E212" s="572">
        <f t="shared" si="68"/>
        <v>0.30832370428697026</v>
      </c>
      <c r="F212" s="572">
        <f t="shared" si="68"/>
        <v>0.3118342667663892</v>
      </c>
      <c r="G212" s="572">
        <f t="shared" si="68"/>
        <v>0.53018907541653382</v>
      </c>
      <c r="H212" s="572">
        <f t="shared" si="68"/>
        <v>-22.91500075587275</v>
      </c>
      <c r="I212" s="572">
        <f t="shared" si="68"/>
        <v>1.2584468858284017</v>
      </c>
      <c r="J212" s="572">
        <f t="shared" si="68"/>
        <v>7.4882258500849938E-2</v>
      </c>
      <c r="K212" s="572">
        <f t="shared" si="68"/>
        <v>3.3115920432389236E-2</v>
      </c>
      <c r="L212" s="572">
        <f t="shared" si="68"/>
        <v>9.4462477348473475E-3</v>
      </c>
      <c r="M212" s="569"/>
    </row>
    <row r="213" spans="1:13" ht="13">
      <c r="A213" s="2">
        <f t="shared" si="65"/>
        <v>97</v>
      </c>
      <c r="B213" s="507" t="s">
        <v>3094</v>
      </c>
      <c r="C213" s="572">
        <f t="shared" ref="C213:L213" si="69">C195/C$203</f>
        <v>0</v>
      </c>
      <c r="D213" s="572">
        <f t="shared" si="69"/>
        <v>0.15732638089760956</v>
      </c>
      <c r="E213" s="572">
        <f t="shared" si="69"/>
        <v>9.6607497756739533E-2</v>
      </c>
      <c r="F213" s="572">
        <f t="shared" si="69"/>
        <v>0.10099194908094009</v>
      </c>
      <c r="G213" s="572">
        <f t="shared" si="69"/>
        <v>-2.1842213965388119E-2</v>
      </c>
      <c r="H213" s="572">
        <f>H195/H$203</f>
        <v>-25.886560173624463</v>
      </c>
      <c r="I213" s="572">
        <f t="shared" si="69"/>
        <v>7.9012740076426946E-2</v>
      </c>
      <c r="J213" s="572">
        <f t="shared" si="69"/>
        <v>0.12964944144726742</v>
      </c>
      <c r="K213" s="572">
        <f t="shared" si="69"/>
        <v>0.15239987758426221</v>
      </c>
      <c r="L213" s="572">
        <f t="shared" si="69"/>
        <v>3.2740898009425118E-2</v>
      </c>
      <c r="M213" s="569"/>
    </row>
    <row r="214" spans="1:13" ht="13">
      <c r="A214" s="2">
        <f t="shared" si="65"/>
        <v>98</v>
      </c>
      <c r="B214" s="507" t="s">
        <v>3095</v>
      </c>
      <c r="C214" s="572">
        <f t="shared" ref="C214:L214" si="70">C196/C$203</f>
        <v>-7.6901417134239486E-4</v>
      </c>
      <c r="D214" s="572">
        <f t="shared" si="70"/>
        <v>9.0698329058995809E-3</v>
      </c>
      <c r="E214" s="572">
        <f t="shared" si="70"/>
        <v>3.8543316789592365E-2</v>
      </c>
      <c r="F214" s="572">
        <f t="shared" si="70"/>
        <v>2.6225254429073832E-2</v>
      </c>
      <c r="G214" s="572">
        <f t="shared" si="70"/>
        <v>4.7789543920091441E-3</v>
      </c>
      <c r="H214" s="572">
        <f t="shared" si="70"/>
        <v>2.1250756229821759</v>
      </c>
      <c r="I214" s="572">
        <f t="shared" si="70"/>
        <v>-0.9895055152079365</v>
      </c>
      <c r="J214" s="572">
        <f t="shared" si="70"/>
        <v>7.5515286651187924E-2</v>
      </c>
      <c r="K214" s="572">
        <f t="shared" si="70"/>
        <v>4.4202232489750574E-2</v>
      </c>
      <c r="L214" s="572">
        <f t="shared" si="70"/>
        <v>0.77633232855905987</v>
      </c>
      <c r="M214" s="569"/>
    </row>
    <row r="215" spans="1:13" ht="13">
      <c r="A215" s="2">
        <f t="shared" si="65"/>
        <v>99</v>
      </c>
      <c r="B215" s="507" t="s">
        <v>3096</v>
      </c>
      <c r="C215" s="572">
        <f t="shared" ref="C215:L215" si="71">C197/C$203</f>
        <v>-3.3379485650883282E-16</v>
      </c>
      <c r="D215" s="572">
        <f t="shared" si="71"/>
        <v>5.6503668091091475E-2</v>
      </c>
      <c r="E215" s="572">
        <f t="shared" si="71"/>
        <v>5.4054063302891642E-2</v>
      </c>
      <c r="F215" s="572">
        <f t="shared" si="71"/>
        <v>1.4697048455277847E-2</v>
      </c>
      <c r="G215" s="572">
        <f t="shared" si="71"/>
        <v>0.32719406751222241</v>
      </c>
      <c r="H215" s="572">
        <f t="shared" si="71"/>
        <v>11.016225220082811</v>
      </c>
      <c r="I215" s="572">
        <f t="shared" si="71"/>
        <v>0.53011088948679308</v>
      </c>
      <c r="J215" s="572">
        <f t="shared" si="71"/>
        <v>7.6105219610303171E-2</v>
      </c>
      <c r="K215" s="572">
        <f t="shared" si="71"/>
        <v>0.30117410976085224</v>
      </c>
      <c r="L215" s="572">
        <f t="shared" si="71"/>
        <v>4.9904256805175483E-2</v>
      </c>
      <c r="M215" s="569"/>
    </row>
    <row r="216" spans="1:13" ht="13">
      <c r="A216" s="2">
        <f t="shared" si="65"/>
        <v>100</v>
      </c>
      <c r="B216" s="507" t="s">
        <v>3097</v>
      </c>
      <c r="C216" s="572">
        <f t="shared" ref="C216:L216" si="72">C198/C$203</f>
        <v>-1.3351794260353313E-15</v>
      </c>
      <c r="D216" s="572">
        <f t="shared" si="72"/>
        <v>9.0842844801635476E-3</v>
      </c>
      <c r="E216" s="572">
        <f t="shared" si="72"/>
        <v>0.10949104867891622</v>
      </c>
      <c r="F216" s="572">
        <f t="shared" si="72"/>
        <v>8.2313876980293313E-2</v>
      </c>
      <c r="G216" s="572">
        <f t="shared" si="72"/>
        <v>-3.3791573168910696E-2</v>
      </c>
      <c r="H216" s="572">
        <f t="shared" si="72"/>
        <v>-16.243847963610108</v>
      </c>
      <c r="I216" s="572">
        <f t="shared" si="72"/>
        <v>-1.7073752565419577E-2</v>
      </c>
      <c r="J216" s="572">
        <f t="shared" si="72"/>
        <v>7.5843744852554879E-2</v>
      </c>
      <c r="K216" s="572">
        <f t="shared" si="72"/>
        <v>7.1891631367073286E-2</v>
      </c>
      <c r="L216" s="572">
        <f t="shared" si="72"/>
        <v>9.7958726449747756E-3</v>
      </c>
      <c r="M216" s="569"/>
    </row>
    <row r="217" spans="1:13" ht="13">
      <c r="A217" s="2">
        <f t="shared" si="65"/>
        <v>101</v>
      </c>
      <c r="B217" s="507" t="s">
        <v>3098</v>
      </c>
      <c r="C217" s="572">
        <f t="shared" ref="C217:L217" si="73">C199/C$203</f>
        <v>3.3379485650883282E-16</v>
      </c>
      <c r="D217" s="572">
        <f t="shared" si="73"/>
        <v>1.0495155658451338E-2</v>
      </c>
      <c r="E217" s="572">
        <f t="shared" si="73"/>
        <v>4.3657919392656015E-2</v>
      </c>
      <c r="F217" s="572">
        <f t="shared" si="73"/>
        <v>2.9787700231704826E-2</v>
      </c>
      <c r="G217" s="572">
        <f t="shared" si="73"/>
        <v>1.8106500202309989E-2</v>
      </c>
      <c r="H217" s="572">
        <f t="shared" si="73"/>
        <v>14.147247077658349</v>
      </c>
      <c r="I217" s="572">
        <f t="shared" si="73"/>
        <v>0.17241843143108779</v>
      </c>
      <c r="J217" s="572">
        <f t="shared" si="73"/>
        <v>7.719648615182563E-2</v>
      </c>
      <c r="K217" s="572">
        <f t="shared" si="73"/>
        <v>4.5109525092649143E-2</v>
      </c>
      <c r="L217" s="572">
        <f t="shared" si="73"/>
        <v>2.5371277281916411E-2</v>
      </c>
      <c r="M217" s="569"/>
    </row>
    <row r="218" spans="1:13" ht="13">
      <c r="A218" s="2">
        <f t="shared" si="65"/>
        <v>102</v>
      </c>
      <c r="B218" s="507" t="s">
        <v>3099</v>
      </c>
      <c r="C218" s="572">
        <f t="shared" ref="C218:L218" si="74">C200/C$203</f>
        <v>-3.3379485650883282E-16</v>
      </c>
      <c r="D218" s="572">
        <f t="shared" si="74"/>
        <v>8.3181439970688529E-3</v>
      </c>
      <c r="E218" s="572">
        <f t="shared" si="74"/>
        <v>5.4526190459763507E-2</v>
      </c>
      <c r="F218" s="572">
        <f t="shared" si="74"/>
        <v>3.519084483639924E-2</v>
      </c>
      <c r="G218" s="572">
        <f t="shared" si="74"/>
        <v>0.11116653703372449</v>
      </c>
      <c r="H218" s="572">
        <f t="shared" si="74"/>
        <v>15.737485482783647</v>
      </c>
      <c r="I218" s="572">
        <f t="shared" si="74"/>
        <v>4.3786231531353966E-3</v>
      </c>
      <c r="J218" s="572">
        <f t="shared" si="74"/>
        <v>7.3978437476073522E-2</v>
      </c>
      <c r="K218" s="572">
        <f t="shared" si="74"/>
        <v>4.045851820555952E-2</v>
      </c>
      <c r="L218" s="572">
        <f t="shared" si="74"/>
        <v>1.3791241307668284E-2</v>
      </c>
      <c r="M218" s="569"/>
    </row>
    <row r="219" spans="1:13" ht="13">
      <c r="A219" s="2">
        <f t="shared" si="65"/>
        <v>103</v>
      </c>
      <c r="B219" s="507" t="s">
        <v>3100</v>
      </c>
      <c r="C219" s="572">
        <f t="shared" ref="C219:L219" si="75">C201/C$203</f>
        <v>-1.3967755753847662E-4</v>
      </c>
      <c r="D219" s="572">
        <f t="shared" si="75"/>
        <v>8.9678023064280014E-3</v>
      </c>
      <c r="E219" s="572">
        <f t="shared" si="75"/>
        <v>-3.0859509206907512E-2</v>
      </c>
      <c r="F219" s="572">
        <f t="shared" si="75"/>
        <v>1.1582791491373793E-2</v>
      </c>
      <c r="G219" s="572">
        <f t="shared" si="75"/>
        <v>-6.0805809249517566E-4</v>
      </c>
      <c r="H219" s="572">
        <f t="shared" si="75"/>
        <v>0.5441517237919945</v>
      </c>
      <c r="I219" s="572">
        <f t="shared" si="75"/>
        <v>-8.3004133650960588E-3</v>
      </c>
      <c r="J219" s="572">
        <f t="shared" si="75"/>
        <v>0.10979238602983109</v>
      </c>
      <c r="K219" s="572">
        <f t="shared" si="75"/>
        <v>0.11127356362839055</v>
      </c>
      <c r="L219" s="572">
        <f t="shared" si="75"/>
        <v>6.2328051969080159E-2</v>
      </c>
      <c r="M219" s="569"/>
    </row>
    <row r="220" spans="1:13" ht="13">
      <c r="A220" s="2">
        <f t="shared" si="65"/>
        <v>104</v>
      </c>
      <c r="B220" s="507" t="s">
        <v>3101</v>
      </c>
      <c r="C220" s="572">
        <f t="shared" ref="C220:L220" si="76">C202/C$203</f>
        <v>-1.0013845695264985E-15</v>
      </c>
      <c r="D220" s="572">
        <f t="shared" si="76"/>
        <v>3.5949181473608899E-2</v>
      </c>
      <c r="E220" s="572">
        <f t="shared" si="76"/>
        <v>8.7397577164748858E-2</v>
      </c>
      <c r="F220" s="572">
        <f t="shared" si="76"/>
        <v>0.14945338583905682</v>
      </c>
      <c r="G220" s="572">
        <f t="shared" si="76"/>
        <v>1.9758495320321319E-2</v>
      </c>
      <c r="H220" s="572">
        <f t="shared" si="76"/>
        <v>2.5824035282286819</v>
      </c>
      <c r="I220" s="572">
        <f t="shared" si="76"/>
        <v>-4.9663829974807033E-2</v>
      </c>
      <c r="J220" s="572">
        <f t="shared" si="76"/>
        <v>8.2385357338710788E-2</v>
      </c>
      <c r="K220" s="572">
        <f t="shared" si="76"/>
        <v>4.0749964762016998E-2</v>
      </c>
      <c r="L220" s="572">
        <f t="shared" si="76"/>
        <v>1.9614679014873057E-2</v>
      </c>
      <c r="M220" s="569"/>
    </row>
    <row r="221" spans="1:13">
      <c r="B221" s="1174"/>
    </row>
    <row r="222" spans="1:13" ht="13">
      <c r="A222" s="2"/>
      <c r="B222" s="559"/>
      <c r="C222" s="572"/>
      <c r="D222" s="572"/>
      <c r="E222" s="572"/>
      <c r="F222" s="572"/>
      <c r="G222" s="572"/>
      <c r="H222" s="572"/>
      <c r="I222" s="572"/>
      <c r="J222" s="572"/>
      <c r="K222" s="572"/>
      <c r="L222" s="572"/>
      <c r="M222" s="569"/>
    </row>
    <row r="223" spans="1:13" ht="13">
      <c r="B223" s="1" t="s">
        <v>3082</v>
      </c>
    </row>
    <row r="224" spans="1:13">
      <c r="B224" s="232" t="s">
        <v>722</v>
      </c>
    </row>
    <row r="225" spans="1:42" ht="13">
      <c r="B225" s="12"/>
      <c r="C225" s="48">
        <v>350.1</v>
      </c>
      <c r="D225" s="48">
        <v>350.2</v>
      </c>
      <c r="E225" s="48">
        <v>352</v>
      </c>
      <c r="F225" s="48">
        <v>353</v>
      </c>
      <c r="G225" s="48">
        <v>354</v>
      </c>
      <c r="H225" s="48">
        <v>355</v>
      </c>
      <c r="I225" s="48">
        <v>356</v>
      </c>
      <c r="J225" s="48">
        <v>357</v>
      </c>
      <c r="K225" s="48">
        <v>358</v>
      </c>
      <c r="L225" s="48">
        <v>359</v>
      </c>
      <c r="M225" s="3" t="s">
        <v>252</v>
      </c>
    </row>
    <row r="226" spans="1:42" ht="13">
      <c r="A226" s="2">
        <f>A220+1</f>
        <v>105</v>
      </c>
      <c r="B226" s="12"/>
      <c r="C226" s="6">
        <f t="shared" ref="C226:L226" si="77">C25-C13</f>
        <v>7722170.5872474015</v>
      </c>
      <c r="D226" s="6">
        <f t="shared" si="77"/>
        <v>850367.34640526772</v>
      </c>
      <c r="E226" s="6">
        <f t="shared" si="77"/>
        <v>18857775.911627531</v>
      </c>
      <c r="F226" s="6">
        <f t="shared" si="77"/>
        <v>196210204.32846642</v>
      </c>
      <c r="G226" s="6">
        <f t="shared" si="77"/>
        <v>61144265.320187569</v>
      </c>
      <c r="H226" s="6">
        <f t="shared" si="77"/>
        <v>-2464135.2035657167</v>
      </c>
      <c r="I226" s="6">
        <f t="shared" si="77"/>
        <v>98102911.280913115</v>
      </c>
      <c r="J226" s="6">
        <f t="shared" si="77"/>
        <v>1838.942203193903</v>
      </c>
      <c r="K226" s="6">
        <f t="shared" si="77"/>
        <v>0</v>
      </c>
      <c r="L226" s="6">
        <f t="shared" si="77"/>
        <v>20609025.423789978</v>
      </c>
      <c r="M226" s="235">
        <f>SUM(C226:L226)</f>
        <v>401034423.93727469</v>
      </c>
    </row>
    <row r="227" spans="1:42">
      <c r="B227" s="12"/>
      <c r="C227" s="6"/>
      <c r="D227" s="6"/>
      <c r="E227" s="6"/>
      <c r="F227" s="6"/>
      <c r="G227" s="6"/>
      <c r="H227" s="6"/>
      <c r="I227" s="6"/>
      <c r="J227" s="6"/>
      <c r="K227" s="6"/>
      <c r="L227" s="6"/>
      <c r="M227" s="6"/>
    </row>
    <row r="228" spans="1:42">
      <c r="B228" s="12"/>
      <c r="C228" s="6"/>
      <c r="D228" s="6"/>
      <c r="E228" s="6"/>
      <c r="F228" s="6"/>
      <c r="G228" s="6"/>
      <c r="H228" s="6"/>
      <c r="I228" s="6"/>
      <c r="J228" s="6"/>
      <c r="K228" s="6"/>
      <c r="L228" s="6"/>
      <c r="M228" s="6"/>
    </row>
    <row r="229" spans="1:42">
      <c r="B229" s="232" t="s">
        <v>723</v>
      </c>
      <c r="C229" s="6"/>
      <c r="D229" s="6"/>
      <c r="E229" s="6"/>
      <c r="F229" s="6"/>
      <c r="G229" s="6"/>
      <c r="H229" s="6"/>
      <c r="I229" s="6"/>
      <c r="J229" s="6"/>
      <c r="K229" s="6"/>
      <c r="L229" s="6"/>
      <c r="M229" s="6"/>
    </row>
    <row r="230" spans="1:42" ht="13">
      <c r="B230" s="12"/>
      <c r="C230" s="48">
        <v>350.1</v>
      </c>
      <c r="D230" s="48">
        <v>350.2</v>
      </c>
      <c r="E230" s="48">
        <v>352</v>
      </c>
      <c r="F230" s="48">
        <v>353</v>
      </c>
      <c r="G230" s="48">
        <v>354</v>
      </c>
      <c r="H230" s="48">
        <v>355</v>
      </c>
      <c r="I230" s="48">
        <v>356</v>
      </c>
      <c r="J230" s="48">
        <v>357</v>
      </c>
      <c r="K230" s="48">
        <v>358</v>
      </c>
      <c r="L230" s="48">
        <v>359</v>
      </c>
      <c r="M230" s="3" t="s">
        <v>252</v>
      </c>
    </row>
    <row r="231" spans="1:42" ht="13">
      <c r="A231" s="2">
        <f>A226+1</f>
        <v>106</v>
      </c>
      <c r="B231" s="12"/>
      <c r="C231" s="6">
        <f t="shared" ref="C231:L231" si="78">C184</f>
        <v>650716.75</v>
      </c>
      <c r="D231" s="6">
        <f t="shared" si="78"/>
        <v>549.73000001907349</v>
      </c>
      <c r="E231" s="6">
        <f t="shared" si="78"/>
        <v>1092866.2511639595</v>
      </c>
      <c r="F231" s="6">
        <f t="shared" si="78"/>
        <v>126462789.178756</v>
      </c>
      <c r="G231" s="6">
        <f t="shared" si="78"/>
        <v>3528504.4100000858</v>
      </c>
      <c r="H231" s="6">
        <f t="shared" si="78"/>
        <v>7529157.9099999964</v>
      </c>
      <c r="I231" s="6">
        <f t="shared" si="78"/>
        <v>38094253.349999905</v>
      </c>
      <c r="J231" s="6">
        <f t="shared" si="78"/>
        <v>0</v>
      </c>
      <c r="K231" s="6">
        <f t="shared" si="78"/>
        <v>0</v>
      </c>
      <c r="L231" s="6">
        <f t="shared" si="78"/>
        <v>-80258.6400000453</v>
      </c>
      <c r="M231" s="6">
        <f>M184</f>
        <v>177278578.93991992</v>
      </c>
    </row>
    <row r="232" spans="1:42" ht="13">
      <c r="A232" s="2"/>
      <c r="B232" s="12"/>
      <c r="C232" s="6"/>
      <c r="D232" s="6"/>
      <c r="E232" s="6"/>
      <c r="F232" s="6"/>
      <c r="G232" s="6"/>
      <c r="H232" s="6"/>
      <c r="I232" s="6"/>
      <c r="J232" s="6"/>
      <c r="K232" s="6"/>
      <c r="L232" s="6"/>
      <c r="M232" s="6"/>
    </row>
    <row r="233" spans="1:42">
      <c r="B233" s="12"/>
      <c r="C233" s="6"/>
      <c r="D233" s="6"/>
      <c r="E233" s="6"/>
      <c r="F233" s="6"/>
      <c r="G233" s="6"/>
      <c r="H233" s="6"/>
      <c r="I233" s="6"/>
      <c r="J233" s="6"/>
      <c r="K233" s="6"/>
      <c r="L233" s="6"/>
      <c r="M233" s="6"/>
    </row>
    <row r="234" spans="1:42">
      <c r="B234" s="232" t="s">
        <v>3083</v>
      </c>
      <c r="C234" s="6"/>
      <c r="D234" s="6"/>
      <c r="E234" s="6"/>
      <c r="F234" s="6"/>
      <c r="G234" s="6"/>
      <c r="H234" s="6"/>
      <c r="I234" s="6"/>
      <c r="J234" s="6"/>
      <c r="K234" s="6"/>
      <c r="L234" s="6"/>
      <c r="M234" s="6"/>
    </row>
    <row r="235" spans="1:42" ht="13">
      <c r="C235" s="48">
        <v>350.1</v>
      </c>
      <c r="D235" s="48">
        <v>350.2</v>
      </c>
      <c r="E235" s="48">
        <v>352</v>
      </c>
      <c r="F235" s="48">
        <v>353</v>
      </c>
      <c r="G235" s="48">
        <v>354</v>
      </c>
      <c r="H235" s="48">
        <v>355</v>
      </c>
      <c r="I235" s="48">
        <v>356</v>
      </c>
      <c r="J235" s="48">
        <v>357</v>
      </c>
      <c r="K235" s="48">
        <v>358</v>
      </c>
      <c r="L235" s="48">
        <v>359</v>
      </c>
      <c r="M235" s="3" t="s">
        <v>252</v>
      </c>
    </row>
    <row r="236" spans="1:42" ht="13">
      <c r="A236" s="2">
        <f>A231+1</f>
        <v>107</v>
      </c>
      <c r="C236" s="6">
        <f t="shared" ref="C236:M236" si="79">C226-C231</f>
        <v>7071453.8372474015</v>
      </c>
      <c r="D236" s="6">
        <f t="shared" si="79"/>
        <v>849817.61640524864</v>
      </c>
      <c r="E236" s="6">
        <f t="shared" si="79"/>
        <v>17764909.660463572</v>
      </c>
      <c r="F236" s="6">
        <f t="shared" si="79"/>
        <v>69747415.149710417</v>
      </c>
      <c r="G236" s="6">
        <f t="shared" si="79"/>
        <v>57615760.910187483</v>
      </c>
      <c r="H236" s="6">
        <f t="shared" si="79"/>
        <v>-9993293.1135657132</v>
      </c>
      <c r="I236" s="6">
        <f t="shared" si="79"/>
        <v>60008657.93091321</v>
      </c>
      <c r="J236" s="6">
        <f t="shared" si="79"/>
        <v>1838.942203193903</v>
      </c>
      <c r="K236" s="6">
        <f t="shared" si="79"/>
        <v>0</v>
      </c>
      <c r="L236" s="6">
        <f t="shared" si="79"/>
        <v>20689284.063790023</v>
      </c>
      <c r="M236" s="6">
        <f t="shared" si="79"/>
        <v>223755844.99735478</v>
      </c>
    </row>
    <row r="238" spans="1:42" ht="13">
      <c r="B238" s="1" t="s">
        <v>3084</v>
      </c>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row>
    <row r="239" spans="1:42" ht="13">
      <c r="A239" s="197"/>
      <c r="B239" s="48" t="s">
        <v>345</v>
      </c>
      <c r="C239" s="48" t="s">
        <v>346</v>
      </c>
      <c r="D239" s="48" t="s">
        <v>347</v>
      </c>
      <c r="E239" s="48" t="s">
        <v>348</v>
      </c>
      <c r="F239" s="48" t="s">
        <v>349</v>
      </c>
      <c r="G239" s="48" t="s">
        <v>350</v>
      </c>
      <c r="H239" s="48" t="s">
        <v>351</v>
      </c>
      <c r="I239" s="48" t="s">
        <v>352</v>
      </c>
      <c r="J239" s="48" t="s">
        <v>353</v>
      </c>
      <c r="K239" s="48" t="s">
        <v>603</v>
      </c>
      <c r="L239" s="48" t="s">
        <v>604</v>
      </c>
      <c r="M239" s="48" t="s">
        <v>605</v>
      </c>
    </row>
    <row r="240" spans="1:42" ht="13">
      <c r="A240" s="112"/>
      <c r="B240" s="115"/>
      <c r="C240" s="112"/>
      <c r="D240" s="112"/>
      <c r="E240" s="112"/>
      <c r="F240" s="258"/>
      <c r="G240" s="112"/>
      <c r="H240" s="112"/>
      <c r="I240" s="112"/>
      <c r="J240" s="112"/>
      <c r="K240" s="112"/>
      <c r="L240" s="112"/>
      <c r="M240" s="125" t="s">
        <v>656</v>
      </c>
    </row>
    <row r="241" spans="1:13" ht="13">
      <c r="A241" s="112"/>
      <c r="B241" s="2"/>
      <c r="C241" s="48"/>
      <c r="D241" s="48"/>
      <c r="E241" s="112"/>
      <c r="F241" s="112"/>
      <c r="G241" s="112"/>
      <c r="H241" s="112"/>
      <c r="I241" s="112"/>
      <c r="J241" s="112"/>
      <c r="K241" s="112"/>
      <c r="L241" s="112"/>
    </row>
    <row r="242" spans="1:13" ht="13">
      <c r="A242" s="30"/>
      <c r="B242" s="3" t="s">
        <v>657</v>
      </c>
      <c r="C242" s="48">
        <v>350.1</v>
      </c>
      <c r="D242" s="48">
        <v>350.2</v>
      </c>
      <c r="E242" s="48">
        <v>352</v>
      </c>
      <c r="F242" s="48">
        <v>353</v>
      </c>
      <c r="G242" s="48">
        <v>354</v>
      </c>
      <c r="H242" s="48">
        <v>355</v>
      </c>
      <c r="I242" s="48">
        <v>356</v>
      </c>
      <c r="J242" s="48">
        <v>357</v>
      </c>
      <c r="K242" s="48">
        <v>358</v>
      </c>
      <c r="L242" s="48">
        <v>359</v>
      </c>
      <c r="M242" s="3" t="s">
        <v>252</v>
      </c>
    </row>
    <row r="243" spans="1:13" ht="13">
      <c r="A243" s="2">
        <f>A236+1</f>
        <v>108</v>
      </c>
      <c r="B243" s="507" t="s">
        <v>3090</v>
      </c>
      <c r="C243" s="235">
        <f t="shared" ref="C243:L243" si="80">C$236*C209</f>
        <v>-2.3604149189128317E-9</v>
      </c>
      <c r="D243" s="235">
        <f t="shared" si="80"/>
        <v>484354.29722711886</v>
      </c>
      <c r="E243" s="235">
        <f t="shared" si="80"/>
        <v>1479077.619795046</v>
      </c>
      <c r="F243" s="235">
        <f t="shared" si="80"/>
        <v>7419558.2302888427</v>
      </c>
      <c r="G243" s="235">
        <f t="shared" si="80"/>
        <v>107482.69693859371</v>
      </c>
      <c r="H243" s="235">
        <f t="shared" si="80"/>
        <v>-117405745.19360454</v>
      </c>
      <c r="I243" s="235">
        <f t="shared" si="80"/>
        <v>-1575081.7882051826</v>
      </c>
      <c r="J243" s="235">
        <f t="shared" si="80"/>
        <v>137.7300212174531</v>
      </c>
      <c r="K243" s="235">
        <f t="shared" si="80"/>
        <v>0</v>
      </c>
      <c r="L243" s="235">
        <f t="shared" si="80"/>
        <v>8676.5695425314534</v>
      </c>
      <c r="M243" s="235">
        <f>SUM(C243:L243)</f>
        <v>-109481539.83799638</v>
      </c>
    </row>
    <row r="244" spans="1:13" ht="13">
      <c r="A244" s="2">
        <f t="shared" ref="A244:A255" si="81">A243+1</f>
        <v>109</v>
      </c>
      <c r="B244" s="387" t="s">
        <v>3091</v>
      </c>
      <c r="C244" s="235">
        <f t="shared" ref="C244:L244" si="82">C$236*C210</f>
        <v>7070328.1242893422</v>
      </c>
      <c r="D244" s="235">
        <f t="shared" si="82"/>
        <v>92285.529986613328</v>
      </c>
      <c r="E244" s="235">
        <f t="shared" si="82"/>
        <v>702515.63884970255</v>
      </c>
      <c r="F244" s="235">
        <f t="shared" si="82"/>
        <v>1968007.6280606128</v>
      </c>
      <c r="G244" s="235">
        <f t="shared" si="82"/>
        <v>-43705.371895645912</v>
      </c>
      <c r="H244" s="235">
        <f t="shared" si="82"/>
        <v>-135736997.82625005</v>
      </c>
      <c r="I244" s="235">
        <f t="shared" si="82"/>
        <v>1867811.7263186148</v>
      </c>
      <c r="J244" s="235">
        <f t="shared" si="82"/>
        <v>137.6905068626439</v>
      </c>
      <c r="K244" s="235">
        <f t="shared" si="82"/>
        <v>0</v>
      </c>
      <c r="L244" s="235">
        <f t="shared" si="82"/>
        <v>1421.2600851009956</v>
      </c>
      <c r="M244" s="235">
        <f t="shared" ref="M244:M254" si="83">SUM(C244:L244)</f>
        <v>-124078195.60004884</v>
      </c>
    </row>
    <row r="245" spans="1:13" ht="13">
      <c r="A245" s="2">
        <f t="shared" si="81"/>
        <v>110</v>
      </c>
      <c r="B245" s="507" t="s">
        <v>3092</v>
      </c>
      <c r="C245" s="235">
        <f t="shared" ref="C245:L245" si="84">C$236*C211</f>
        <v>7551.4845711457456</v>
      </c>
      <c r="D245" s="235">
        <f t="shared" si="84"/>
        <v>17644.991250213116</v>
      </c>
      <c r="E245" s="235">
        <f t="shared" si="84"/>
        <v>2051041.986990978</v>
      </c>
      <c r="F245" s="235">
        <f t="shared" si="84"/>
        <v>7206940.158412396</v>
      </c>
      <c r="G245" s="235">
        <f t="shared" si="84"/>
        <v>2531709.8799744388</v>
      </c>
      <c r="H245" s="235">
        <f t="shared" si="84"/>
        <v>54347959.530249134</v>
      </c>
      <c r="I245" s="235">
        <f t="shared" si="84"/>
        <v>918001.21203590254</v>
      </c>
      <c r="J245" s="235">
        <f t="shared" si="84"/>
        <v>137.70037917776807</v>
      </c>
      <c r="K245" s="235">
        <f t="shared" si="84"/>
        <v>0</v>
      </c>
      <c r="L245" s="235">
        <f t="shared" si="84"/>
        <v>3870.4716743621366</v>
      </c>
      <c r="M245" s="235">
        <f t="shared" si="83"/>
        <v>67084857.415537745</v>
      </c>
    </row>
    <row r="246" spans="1:13" ht="13">
      <c r="A246" s="2">
        <f t="shared" si="81"/>
        <v>111</v>
      </c>
      <c r="B246" s="507" t="s">
        <v>3093</v>
      </c>
      <c r="C246" s="235">
        <f t="shared" ref="C246:L246" si="85">C$236*C212</f>
        <v>4.7208298378256634E-9</v>
      </c>
      <c r="D246" s="235">
        <f t="shared" si="85"/>
        <v>4229.449066906579</v>
      </c>
      <c r="E246" s="235">
        <f t="shared" si="85"/>
        <v>5477342.7528375117</v>
      </c>
      <c r="F246" s="235">
        <f t="shared" si="85"/>
        <v>21749634.062060893</v>
      </c>
      <c r="G246" s="235">
        <f t="shared" si="85"/>
        <v>30547247.006392371</v>
      </c>
      <c r="H246" s="235">
        <f t="shared" si="85"/>
        <v>228996319.25101626</v>
      </c>
      <c r="I246" s="235">
        <f t="shared" si="85"/>
        <v>75517708.695899546</v>
      </c>
      <c r="J246" s="235">
        <f t="shared" si="85"/>
        <v>137.70414542768836</v>
      </c>
      <c r="K246" s="235">
        <f t="shared" si="85"/>
        <v>0</v>
      </c>
      <c r="L246" s="235">
        <f t="shared" si="85"/>
        <v>195436.10272318983</v>
      </c>
      <c r="M246" s="235">
        <f t="shared" si="83"/>
        <v>362488055.02414209</v>
      </c>
    </row>
    <row r="247" spans="1:13" ht="13">
      <c r="A247" s="2">
        <f t="shared" si="81"/>
        <v>112</v>
      </c>
      <c r="B247" s="507" t="s">
        <v>3094</v>
      </c>
      <c r="C247" s="235">
        <f t="shared" ref="C247:L247" si="86">C$236*C213</f>
        <v>0</v>
      </c>
      <c r="D247" s="235">
        <f t="shared" si="86"/>
        <v>133698.7300120708</v>
      </c>
      <c r="E247" s="235">
        <f t="shared" si="86"/>
        <v>1716223.4701719149</v>
      </c>
      <c r="F247" s="235">
        <f t="shared" si="86"/>
        <v>7043927.3993267436</v>
      </c>
      <c r="G247" s="235">
        <f t="shared" si="86"/>
        <v>-1258455.7775789599</v>
      </c>
      <c r="H247" s="235">
        <f t="shared" si="86"/>
        <v>258691983.5169858</v>
      </c>
      <c r="I247" s="235">
        <f t="shared" si="86"/>
        <v>4741448.4914304623</v>
      </c>
      <c r="J247" s="235">
        <f t="shared" si="86"/>
        <v>238.41782949789686</v>
      </c>
      <c r="K247" s="235">
        <f t="shared" si="86"/>
        <v>0</v>
      </c>
      <c r="L247" s="235">
        <f t="shared" si="86"/>
        <v>677385.73942057358</v>
      </c>
      <c r="M247" s="235">
        <f t="shared" si="83"/>
        <v>271746449.98759818</v>
      </c>
    </row>
    <row r="248" spans="1:13" ht="13">
      <c r="A248" s="2">
        <f t="shared" si="81"/>
        <v>113</v>
      </c>
      <c r="B248" s="507" t="s">
        <v>3095</v>
      </c>
      <c r="C248" s="235">
        <f t="shared" ref="C248:L248" si="87">C$236*C214</f>
        <v>-5438.0482128368085</v>
      </c>
      <c r="D248" s="235">
        <f t="shared" si="87"/>
        <v>7707.7037812854715</v>
      </c>
      <c r="E248" s="235">
        <f t="shared" si="87"/>
        <v>684718.54078173719</v>
      </c>
      <c r="F248" s="235">
        <f t="shared" si="87"/>
        <v>1829143.7080713944</v>
      </c>
      <c r="G248" s="235">
        <f t="shared" si="87"/>
        <v>275343.09365068923</v>
      </c>
      <c r="H248" s="235">
        <f t="shared" si="87"/>
        <v>-21236503.588954147</v>
      </c>
      <c r="I248" s="235">
        <f t="shared" si="87"/>
        <v>-59378897.982865103</v>
      </c>
      <c r="J248" s="235">
        <f t="shared" si="87"/>
        <v>138.86824760915465</v>
      </c>
      <c r="K248" s="235">
        <f t="shared" si="87"/>
        <v>0</v>
      </c>
      <c r="L248" s="235">
        <f t="shared" si="87"/>
        <v>16061760.073461957</v>
      </c>
      <c r="M248" s="235">
        <f t="shared" si="83"/>
        <v>-61762027.632037409</v>
      </c>
    </row>
    <row r="249" spans="1:13" ht="13">
      <c r="A249" s="2">
        <f t="shared" si="81"/>
        <v>114</v>
      </c>
      <c r="B249" s="507" t="s">
        <v>3096</v>
      </c>
      <c r="C249" s="235">
        <f t="shared" ref="C249:L249" si="88">C$236*C215</f>
        <v>-2.3604149189128317E-9</v>
      </c>
      <c r="D249" s="235">
        <f t="shared" si="88"/>
        <v>48017.812535324665</v>
      </c>
      <c r="E249" s="235">
        <f t="shared" si="88"/>
        <v>960265.55135684914</v>
      </c>
      <c r="F249" s="235">
        <f t="shared" si="88"/>
        <v>1025081.1400856742</v>
      </c>
      <c r="G249" s="235">
        <f t="shared" si="88"/>
        <v>18851535.165015947</v>
      </c>
      <c r="H249" s="235">
        <f t="shared" si="88"/>
        <v>-110088367.62934248</v>
      </c>
      <c r="I249" s="235">
        <f t="shared" si="88"/>
        <v>31811243.0326651</v>
      </c>
      <c r="J249" s="235">
        <f t="shared" si="88"/>
        <v>139.95310022472674</v>
      </c>
      <c r="K249" s="235">
        <f t="shared" si="88"/>
        <v>0</v>
      </c>
      <c r="L249" s="235">
        <f t="shared" si="88"/>
        <v>1032483.345034602</v>
      </c>
      <c r="M249" s="235">
        <f t="shared" si="83"/>
        <v>-56359601.629548766</v>
      </c>
    </row>
    <row r="250" spans="1:13" ht="13">
      <c r="A250" s="2">
        <f t="shared" si="81"/>
        <v>115</v>
      </c>
      <c r="B250" s="507" t="s">
        <v>3097</v>
      </c>
      <c r="C250" s="235">
        <f t="shared" ref="C250:L250" si="89">C$236*C216</f>
        <v>-9.4416596756513267E-9</v>
      </c>
      <c r="D250" s="235">
        <f t="shared" si="89"/>
        <v>7719.9849836797794</v>
      </c>
      <c r="E250" s="235">
        <f t="shared" si="89"/>
        <v>1945098.5884103659</v>
      </c>
      <c r="F250" s="235">
        <f t="shared" si="89"/>
        <v>5741180.1503267093</v>
      </c>
      <c r="G250" s="235">
        <f t="shared" si="89"/>
        <v>-1946927.2004790651</v>
      </c>
      <c r="H250" s="235">
        <f t="shared" si="89"/>
        <v>162329533.99255332</v>
      </c>
      <c r="I250" s="235">
        <f t="shared" si="89"/>
        <v>-1024572.9772953152</v>
      </c>
      <c r="J250" s="235">
        <f t="shared" si="89"/>
        <v>139.4722632576335</v>
      </c>
      <c r="K250" s="235">
        <f t="shared" si="89"/>
        <v>0</v>
      </c>
      <c r="L250" s="235">
        <f t="shared" si="89"/>
        <v>202669.59180459325</v>
      </c>
      <c r="M250" s="235">
        <f t="shared" si="83"/>
        <v>167254841.60256752</v>
      </c>
    </row>
    <row r="251" spans="1:13" ht="13">
      <c r="A251" s="2">
        <f t="shared" si="81"/>
        <v>116</v>
      </c>
      <c r="B251" s="507" t="s">
        <v>3098</v>
      </c>
      <c r="C251" s="235">
        <f t="shared" ref="C251:L251" si="90">C$236*C217</f>
        <v>2.3604149189128317E-9</v>
      </c>
      <c r="D251" s="235">
        <f t="shared" si="90"/>
        <v>8918.9681654671731</v>
      </c>
      <c r="E251" s="235">
        <f t="shared" si="90"/>
        <v>775578.99397433479</v>
      </c>
      <c r="F251" s="235">
        <f t="shared" si="90"/>
        <v>2077615.0944158416</v>
      </c>
      <c r="G251" s="235">
        <f t="shared" si="90"/>
        <v>1043219.7865765536</v>
      </c>
      <c r="H251" s="235">
        <f t="shared" si="90"/>
        <v>-141377586.79707584</v>
      </c>
      <c r="I251" s="235">
        <f t="shared" si="90"/>
        <v>10346598.672732761</v>
      </c>
      <c r="J251" s="235">
        <f t="shared" si="90"/>
        <v>141.95987632286585</v>
      </c>
      <c r="K251" s="235">
        <f t="shared" si="90"/>
        <v>0</v>
      </c>
      <c r="L251" s="235">
        <f t="shared" si="90"/>
        <v>524913.56274675112</v>
      </c>
      <c r="M251" s="235">
        <f t="shared" si="83"/>
        <v>-126600599.75858781</v>
      </c>
    </row>
    <row r="252" spans="1:13" ht="13">
      <c r="A252" s="2">
        <f t="shared" si="81"/>
        <v>117</v>
      </c>
      <c r="B252" s="507" t="s">
        <v>3099</v>
      </c>
      <c r="C252" s="235">
        <f t="shared" ref="C252:L252" si="91">C$236*C218</f>
        <v>-2.3604149189128317E-9</v>
      </c>
      <c r="D252" s="235">
        <f t="shared" si="91"/>
        <v>7068.9053045046803</v>
      </c>
      <c r="E252" s="235">
        <f t="shared" si="91"/>
        <v>968652.84764692932</v>
      </c>
      <c r="F252" s="235">
        <f t="shared" si="91"/>
        <v>2454470.464273381</v>
      </c>
      <c r="G252" s="235">
        <f t="shared" si="91"/>
        <v>6404944.6189485723</v>
      </c>
      <c r="H252" s="235">
        <f t="shared" si="91"/>
        <v>-157269305.2999422</v>
      </c>
      <c r="I252" s="235">
        <f t="shared" si="91"/>
        <v>262755.29900487862</v>
      </c>
      <c r="J252" s="235">
        <f t="shared" si="91"/>
        <v>136.04207080109305</v>
      </c>
      <c r="K252" s="235">
        <f t="shared" si="91"/>
        <v>0</v>
      </c>
      <c r="L252" s="235">
        <f t="shared" si="91"/>
        <v>285330.90900662413</v>
      </c>
      <c r="M252" s="235">
        <f t="shared" si="83"/>
        <v>-146885946.2136865</v>
      </c>
    </row>
    <row r="253" spans="1:13" ht="13">
      <c r="A253" s="2">
        <f t="shared" si="81"/>
        <v>118</v>
      </c>
      <c r="B253" s="507" t="s">
        <v>3100</v>
      </c>
      <c r="C253" s="235">
        <f t="shared" ref="C253:L253" si="92">C$236*C219</f>
        <v>-987.72340023280526</v>
      </c>
      <c r="D253" s="235">
        <f t="shared" si="92"/>
        <v>7620.996380442135</v>
      </c>
      <c r="E253" s="235">
        <f t="shared" si="92"/>
        <v>-548216.39322695578</v>
      </c>
      <c r="F253" s="235">
        <f t="shared" si="92"/>
        <v>807869.76674138138</v>
      </c>
      <c r="G253" s="235">
        <f t="shared" si="92"/>
        <v>-35033.729676706709</v>
      </c>
      <c r="H253" s="235">
        <f t="shared" si="92"/>
        <v>-5437867.6741054505</v>
      </c>
      <c r="I253" s="235">
        <f t="shared" si="92"/>
        <v>-498096.66631122964</v>
      </c>
      <c r="J253" s="235">
        <f t="shared" si="92"/>
        <v>201.90185225961307</v>
      </c>
      <c r="K253" s="235">
        <f t="shared" si="92"/>
        <v>0</v>
      </c>
      <c r="L253" s="235">
        <f t="shared" si="92"/>
        <v>1289522.7723309665</v>
      </c>
      <c r="M253" s="235">
        <f t="shared" si="83"/>
        <v>-4414986.7494155262</v>
      </c>
    </row>
    <row r="254" spans="1:13" ht="13">
      <c r="A254" s="2">
        <f t="shared" si="81"/>
        <v>119</v>
      </c>
      <c r="B254" s="1191" t="s">
        <v>3101</v>
      </c>
      <c r="C254" s="53">
        <f t="shared" ref="C254:L254" si="93">C$236*C220</f>
        <v>-7.0812447567384954E-9</v>
      </c>
      <c r="D254" s="53">
        <f t="shared" si="93"/>
        <v>30550.24771162204</v>
      </c>
      <c r="E254" s="53">
        <f t="shared" si="93"/>
        <v>1552610.0628751575</v>
      </c>
      <c r="F254" s="53">
        <f t="shared" si="93"/>
        <v>10423987.347646547</v>
      </c>
      <c r="G254" s="53">
        <f t="shared" si="93"/>
        <v>1138400.7423206915</v>
      </c>
      <c r="H254" s="53">
        <f t="shared" si="93"/>
        <v>-25806715.395095486</v>
      </c>
      <c r="I254" s="53">
        <f t="shared" si="93"/>
        <v>-2980259.7844972294</v>
      </c>
      <c r="J254" s="53">
        <f t="shared" si="93"/>
        <v>151.50191053536579</v>
      </c>
      <c r="K254" s="53">
        <f t="shared" si="93"/>
        <v>0</v>
      </c>
      <c r="L254" s="53">
        <f t="shared" si="93"/>
        <v>405813.66595876974</v>
      </c>
      <c r="M254" s="53">
        <f t="shared" si="83"/>
        <v>-15235461.611169398</v>
      </c>
    </row>
    <row r="255" spans="1:13" ht="13">
      <c r="A255" s="1175">
        <f t="shared" si="81"/>
        <v>120</v>
      </c>
      <c r="B255" s="1084" t="s">
        <v>418</v>
      </c>
      <c r="C255" s="114">
        <f>SUM(C243:C254)</f>
        <v>7071453.8372474015</v>
      </c>
      <c r="D255" s="114">
        <f t="shared" ref="D255:L255" si="94">SUM(D243:D254)</f>
        <v>849817.61640524853</v>
      </c>
      <c r="E255" s="114">
        <f t="shared" si="94"/>
        <v>17764909.660463572</v>
      </c>
      <c r="F255" s="114">
        <f t="shared" si="94"/>
        <v>69747415.149710417</v>
      </c>
      <c r="G255" s="114">
        <f t="shared" si="94"/>
        <v>57615760.910187475</v>
      </c>
      <c r="H255" s="114">
        <f t="shared" si="94"/>
        <v>-9993293.1135656573</v>
      </c>
      <c r="I255" s="114">
        <f t="shared" si="94"/>
        <v>60008657.930913195</v>
      </c>
      <c r="J255" s="114">
        <f t="shared" si="94"/>
        <v>1838.9422031939034</v>
      </c>
      <c r="K255" s="114">
        <f t="shared" si="94"/>
        <v>0</v>
      </c>
      <c r="L255" s="114">
        <f t="shared" si="94"/>
        <v>20689284.063790023</v>
      </c>
      <c r="M255" s="235">
        <f>SUM(C255:L255)</f>
        <v>223755844.99735489</v>
      </c>
    </row>
    <row r="257" spans="2:13" ht="13">
      <c r="B257" s="200" t="s">
        <v>233</v>
      </c>
    </row>
    <row r="258" spans="2:13">
      <c r="B258" s="233" t="s">
        <v>3086</v>
      </c>
      <c r="C258" s="233"/>
      <c r="D258" s="233"/>
      <c r="E258" s="233"/>
      <c r="F258" s="233"/>
      <c r="G258" s="233"/>
    </row>
    <row r="259" spans="2:13">
      <c r="B259" s="1156" t="s">
        <v>3087</v>
      </c>
      <c r="C259" s="233"/>
      <c r="D259" s="233"/>
      <c r="E259" s="233"/>
      <c r="F259" s="233"/>
      <c r="G259" s="233"/>
      <c r="H259" s="233"/>
      <c r="J259" s="233"/>
      <c r="K259" s="233"/>
      <c r="L259" s="233"/>
      <c r="M259" s="233"/>
    </row>
    <row r="260" spans="2:13">
      <c r="B260" s="233" t="s">
        <v>3085</v>
      </c>
      <c r="C260" s="233"/>
      <c r="D260" s="233"/>
      <c r="E260" s="233"/>
      <c r="F260" s="233"/>
      <c r="G260" s="233"/>
    </row>
    <row r="261" spans="2:13">
      <c r="B261" s="232" t="s">
        <v>724</v>
      </c>
      <c r="C261" s="233"/>
      <c r="D261" s="233"/>
      <c r="E261" s="233"/>
      <c r="F261" s="233"/>
      <c r="G261" s="233"/>
    </row>
    <row r="262" spans="2:13">
      <c r="B262" s="232" t="s">
        <v>725</v>
      </c>
    </row>
    <row r="263" spans="2:13">
      <c r="B263" s="12" t="s">
        <v>726</v>
      </c>
    </row>
    <row r="264" spans="2:13">
      <c r="B264" s="233" t="s">
        <v>727</v>
      </c>
    </row>
    <row r="265" spans="2:13">
      <c r="B265" s="232" t="s">
        <v>728</v>
      </c>
    </row>
    <row r="266" spans="2:13">
      <c r="B266" s="232" t="s">
        <v>729</v>
      </c>
    </row>
    <row r="267" spans="2:13">
      <c r="B267" s="232" t="s">
        <v>730</v>
      </c>
    </row>
    <row r="268" spans="2:13">
      <c r="B268" s="233" t="s">
        <v>3028</v>
      </c>
    </row>
    <row r="269" spans="2:13">
      <c r="B269" s="232" t="s">
        <v>3049</v>
      </c>
      <c r="M269" s="586"/>
    </row>
    <row r="270" spans="2:13">
      <c r="B270" s="233" t="str">
        <f>"2) Amounts on Line "&amp;A56&amp;" must match 6-Plant Study amounts for Distribution Plant - ISO for previous year."</f>
        <v>2) Amounts on Line 15 must match 6-Plant Study amounts for Distribution Plant - ISO for previous year.</v>
      </c>
    </row>
    <row r="271" spans="2:13">
      <c r="B271" s="232" t="str">
        <f>"Amounts on Line "&amp;A57&amp;" must match amounts on 6-PlantStudy for Distribution Plant - ISO."</f>
        <v>Amounts on Line 16 must match amounts on 6-PlantStudy for Distribution Plant - ISO.</v>
      </c>
    </row>
    <row r="272" spans="2:13">
      <c r="B272" s="233" t="s">
        <v>3050</v>
      </c>
    </row>
    <row r="273" spans="2:10">
      <c r="B273" s="232" t="s">
        <v>731</v>
      </c>
    </row>
    <row r="274" spans="2:10">
      <c r="B274" s="570" t="s">
        <v>3126</v>
      </c>
      <c r="J274" s="240" t="s">
        <v>652</v>
      </c>
    </row>
    <row r="275" spans="2:10">
      <c r="B275" s="570" t="s">
        <v>732</v>
      </c>
    </row>
    <row r="276" spans="2:10">
      <c r="B276" s="279" t="s">
        <v>3051</v>
      </c>
    </row>
    <row r="277" spans="2:10">
      <c r="B277" s="570" t="s">
        <v>3052</v>
      </c>
    </row>
    <row r="278" spans="2:10">
      <c r="B278" s="570" t="s">
        <v>3125</v>
      </c>
      <c r="H278" s="25"/>
      <c r="J278" s="54" t="s">
        <v>453</v>
      </c>
    </row>
    <row r="279" spans="2:10">
      <c r="B279" s="233" t="s">
        <v>3088</v>
      </c>
      <c r="J279" s="233"/>
    </row>
    <row r="280" spans="2:10">
      <c r="B280" s="233" t="s">
        <v>733</v>
      </c>
    </row>
    <row r="281" spans="2:10">
      <c r="B281" s="233" t="s">
        <v>734</v>
      </c>
    </row>
    <row r="282" spans="2:10">
      <c r="B282" s="233" t="s">
        <v>735</v>
      </c>
    </row>
    <row r="283" spans="2:10">
      <c r="B283" s="233" t="s">
        <v>736</v>
      </c>
    </row>
    <row r="284" spans="2:10">
      <c r="B284" s="233" t="s">
        <v>2996</v>
      </c>
    </row>
    <row r="285" spans="2:10">
      <c r="B285" t="str">
        <f>"10) Line "&amp;A184&amp;""</f>
        <v>10) Line 79</v>
      </c>
    </row>
    <row r="286" spans="2:10">
      <c r="B286" t="str">
        <f>"11) Amount on Line "&amp;A226&amp;" less amount on Line "&amp;A231&amp;" for each account."</f>
        <v>11) Amount on Line 105 less amount on Line 106 for each account.</v>
      </c>
    </row>
    <row r="287" spans="2:10">
      <c r="B287" s="233" t="str">
        <f>"12) For each column (FERC Account) divide Line "&amp;A236&amp;" by Line "&amp;A203&amp;" to arrive at a ratio for each column."</f>
        <v>12) For each column (FERC Account) divide Line 107 by Line 92 to arrive at a ratio for each column.</v>
      </c>
    </row>
    <row r="288" spans="2:10">
      <c r="B288" s="232" t="str">
        <f>"Apply the ratio of each column to each monthly value from Lines "&amp;A191&amp;"-"&amp;A202&amp;" to calculate the values for"</f>
        <v>Apply the ratio of each column to each monthly value from Lines 80-91 to calculate the values for</v>
      </c>
    </row>
    <row r="289" spans="2:2">
      <c r="B289" s="232" t="str">
        <f>"the corresponsing months listed in Lines "&amp;A243&amp;"-"&amp;A254&amp;"."</f>
        <v>the corresponsing months listed in Lines 108-119.</v>
      </c>
    </row>
  </sheetData>
  <mergeCells count="1">
    <mergeCell ref="B32:E32"/>
  </mergeCells>
  <phoneticPr fontId="26" type="noConversion"/>
  <pageMargins left="0.75" right="0.75" top="1" bottom="1" header="0.5" footer="0.5"/>
  <pageSetup scale="52" orientation="landscape" cellComments="asDisplayed" r:id="rId1"/>
  <headerFooter alignWithMargins="0">
    <oddHeader>&amp;CSchedule 6
Plant In Service
&amp;RTO2027 Draft Annual Update 
Attachment 1</oddHeader>
    <oddFooter>&amp;R&amp;A</oddFooter>
  </headerFooter>
  <rowBreaks count="4" manualBreakCount="4">
    <brk id="59" max="12" man="1"/>
    <brk id="126" max="12" man="1"/>
    <brk id="185" max="12" man="1"/>
    <brk id="237"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68"/>
  <sheetViews>
    <sheetView zoomScaleNormal="100" workbookViewId="0"/>
  </sheetViews>
  <sheetFormatPr defaultRowHeight="13"/>
  <cols>
    <col min="1" max="1" width="4.54296875" customWidth="1"/>
    <col min="2" max="2" width="25.81640625" style="66" customWidth="1"/>
    <col min="3" max="3" width="15.54296875" style="66" customWidth="1"/>
    <col min="4" max="4" width="16.81640625" style="66" customWidth="1"/>
    <col min="5" max="5" width="15.81640625" style="66" customWidth="1"/>
    <col min="6" max="6" width="10.81640625" style="66" customWidth="1"/>
    <col min="7" max="7" width="22.90625" bestFit="1" customWidth="1"/>
    <col min="8" max="8" width="2.81640625" customWidth="1"/>
    <col min="12" max="12" width="25.81640625" customWidth="1"/>
    <col min="13" max="13" width="11.54296875" customWidth="1"/>
    <col min="14" max="14" width="14.453125" customWidth="1"/>
  </cols>
  <sheetData>
    <row r="1" spans="1:8">
      <c r="A1" s="1" t="s">
        <v>737</v>
      </c>
      <c r="B1" s="96"/>
      <c r="C1" s="96"/>
      <c r="D1" s="96"/>
      <c r="E1" s="97" t="s">
        <v>738</v>
      </c>
      <c r="F1" s="103"/>
      <c r="G1" s="233"/>
    </row>
    <row r="2" spans="1:8">
      <c r="B2" s="665" t="s">
        <v>200</v>
      </c>
      <c r="C2" s="259" t="s">
        <v>739</v>
      </c>
      <c r="G2" s="233"/>
    </row>
    <row r="3" spans="1:8">
      <c r="A3" s="91" t="s">
        <v>740</v>
      </c>
      <c r="B3" s="96"/>
      <c r="C3" s="96"/>
      <c r="D3" s="96"/>
      <c r="E3" s="485" t="s">
        <v>655</v>
      </c>
      <c r="F3" s="804">
        <v>2025</v>
      </c>
      <c r="G3" s="233"/>
    </row>
    <row r="4" spans="1:8">
      <c r="A4" s="91"/>
      <c r="B4" s="91" t="s">
        <v>3006</v>
      </c>
      <c r="C4" s="96"/>
      <c r="D4" s="96"/>
      <c r="E4" s="96"/>
      <c r="F4" s="96"/>
      <c r="G4" s="233"/>
    </row>
    <row r="5" spans="1:8">
      <c r="B5" s="91"/>
      <c r="C5" s="48" t="s">
        <v>345</v>
      </c>
      <c r="E5" s="48" t="s">
        <v>346</v>
      </c>
      <c r="F5" s="48" t="s">
        <v>347</v>
      </c>
      <c r="G5" s="233"/>
    </row>
    <row r="6" spans="1:8">
      <c r="B6" s="91"/>
      <c r="C6" s="48"/>
      <c r="E6" s="48"/>
      <c r="F6" s="48"/>
      <c r="G6" s="233"/>
    </row>
    <row r="7" spans="1:8">
      <c r="A7" s="30" t="s">
        <v>282</v>
      </c>
      <c r="B7" s="91"/>
      <c r="C7" s="95" t="s">
        <v>252</v>
      </c>
      <c r="D7" s="95"/>
      <c r="E7" s="95" t="s">
        <v>741</v>
      </c>
      <c r="F7" s="95" t="s">
        <v>742</v>
      </c>
      <c r="G7" s="233"/>
    </row>
    <row r="8" spans="1:8">
      <c r="A8" s="2">
        <v>1</v>
      </c>
      <c r="B8" s="90" t="s">
        <v>743</v>
      </c>
      <c r="C8" s="90" t="s">
        <v>692</v>
      </c>
      <c r="D8" s="90" t="s">
        <v>744</v>
      </c>
      <c r="E8" s="90" t="s">
        <v>745</v>
      </c>
      <c r="F8" s="90" t="s">
        <v>746</v>
      </c>
      <c r="G8" s="1137" t="s">
        <v>3072</v>
      </c>
    </row>
    <row r="9" spans="1:8" ht="12.75" customHeight="1">
      <c r="A9" s="2">
        <f>A8+1</f>
        <v>2</v>
      </c>
      <c r="B9" s="91" t="s">
        <v>747</v>
      </c>
      <c r="C9" s="863"/>
      <c r="D9" s="863"/>
      <c r="E9" s="863"/>
      <c r="F9" s="864"/>
      <c r="G9" s="233"/>
    </row>
    <row r="10" spans="1:8">
      <c r="A10" s="2">
        <f>A9+1</f>
        <v>3</v>
      </c>
      <c r="B10" s="1022">
        <v>352</v>
      </c>
      <c r="C10" s="253">
        <v>1603402800</v>
      </c>
      <c r="D10" s="267" t="s">
        <v>748</v>
      </c>
      <c r="E10" s="797">
        <v>997121241.56282353</v>
      </c>
      <c r="F10" s="865">
        <f>E10/C10</f>
        <v>0.62187819652231091</v>
      </c>
      <c r="G10" s="232" t="s">
        <v>3020</v>
      </c>
      <c r="H10" s="508"/>
    </row>
    <row r="11" spans="1:8">
      <c r="A11" s="2">
        <f t="shared" ref="A11:A27" si="0">A10+1</f>
        <v>4</v>
      </c>
      <c r="B11" s="1022">
        <v>353</v>
      </c>
      <c r="C11" s="61">
        <v>8611680159</v>
      </c>
      <c r="D11" s="267" t="s">
        <v>749</v>
      </c>
      <c r="E11" s="199">
        <v>4909339726.8853455</v>
      </c>
      <c r="F11" s="87">
        <f>E11/C11</f>
        <v>0.57007919897659376</v>
      </c>
      <c r="G11" s="232" t="s">
        <v>3020</v>
      </c>
      <c r="H11" s="233"/>
    </row>
    <row r="12" spans="1:8">
      <c r="A12" s="2">
        <f t="shared" si="0"/>
        <v>5</v>
      </c>
      <c r="B12" s="92" t="s">
        <v>750</v>
      </c>
      <c r="C12" s="866">
        <f>SUM(C10:C11)</f>
        <v>10215082959</v>
      </c>
      <c r="D12" s="232" t="str">
        <f>"L "&amp;A10&amp;" + L "&amp;A11&amp;""</f>
        <v>L 3 + L 4</v>
      </c>
      <c r="E12" s="866">
        <f>SUM(E10:E11)</f>
        <v>5906460968.4481688</v>
      </c>
      <c r="F12" s="865">
        <f>E12/C12</f>
        <v>0.57820978959786917</v>
      </c>
      <c r="G12" s="232"/>
    </row>
    <row r="13" spans="1:8">
      <c r="A13" s="2">
        <f t="shared" si="0"/>
        <v>6</v>
      </c>
      <c r="B13" s="1023"/>
      <c r="C13" s="867"/>
      <c r="D13" s="867"/>
      <c r="E13" s="866"/>
      <c r="F13" s="865"/>
      <c r="G13" s="232"/>
    </row>
    <row r="14" spans="1:8">
      <c r="A14" s="2">
        <f t="shared" si="0"/>
        <v>7</v>
      </c>
      <c r="B14" s="1024" t="s">
        <v>751</v>
      </c>
      <c r="C14" s="98"/>
      <c r="D14" s="98"/>
      <c r="E14" s="985"/>
      <c r="F14" s="99"/>
      <c r="G14" s="232"/>
    </row>
    <row r="15" spans="1:8">
      <c r="A15" s="2">
        <f t="shared" si="0"/>
        <v>8</v>
      </c>
      <c r="B15" s="1022">
        <v>350</v>
      </c>
      <c r="C15" s="385">
        <v>404778803</v>
      </c>
      <c r="D15" s="267" t="s">
        <v>752</v>
      </c>
      <c r="E15" s="798">
        <v>287896978.09493202</v>
      </c>
      <c r="F15" s="865">
        <f>E15/C15</f>
        <v>0.71124519357534643</v>
      </c>
      <c r="G15" s="232" t="s">
        <v>3020</v>
      </c>
      <c r="H15" s="233"/>
    </row>
    <row r="16" spans="1:8">
      <c r="A16" s="2">
        <f t="shared" si="0"/>
        <v>9</v>
      </c>
      <c r="B16" s="1022"/>
      <c r="C16" s="866"/>
      <c r="D16" s="866"/>
      <c r="E16" s="866"/>
      <c r="F16" s="865"/>
      <c r="G16" s="232"/>
    </row>
    <row r="17" spans="1:12">
      <c r="A17" s="2">
        <f t="shared" si="0"/>
        <v>10</v>
      </c>
      <c r="B17" s="92" t="s">
        <v>753</v>
      </c>
      <c r="C17" s="866">
        <f>C12+C15</f>
        <v>10619861762</v>
      </c>
      <c r="D17" s="1091" t="str">
        <f>"Sum L"&amp;A12&amp;" + L"&amp;A15&amp;""</f>
        <v>Sum L5 + L8</v>
      </c>
      <c r="E17" s="866">
        <f>E12+E15</f>
        <v>6194357946.5431004</v>
      </c>
      <c r="F17" s="865">
        <f>E17/C17</f>
        <v>0.58328046874468353</v>
      </c>
      <c r="G17" s="232" t="s">
        <v>3020</v>
      </c>
    </row>
    <row r="18" spans="1:12">
      <c r="A18" s="2">
        <f t="shared" si="0"/>
        <v>11</v>
      </c>
      <c r="B18" s="1023"/>
      <c r="C18" s="867"/>
      <c r="D18" s="867"/>
      <c r="E18" s="866"/>
      <c r="F18" s="865"/>
      <c r="G18" s="232"/>
    </row>
    <row r="19" spans="1:12">
      <c r="A19" s="2">
        <f t="shared" si="0"/>
        <v>12</v>
      </c>
      <c r="B19" s="1024" t="s">
        <v>754</v>
      </c>
      <c r="C19" s="867"/>
      <c r="D19" s="867"/>
      <c r="E19" s="866"/>
      <c r="F19" s="865"/>
      <c r="G19" s="232"/>
    </row>
    <row r="20" spans="1:12">
      <c r="A20" s="2">
        <f t="shared" si="0"/>
        <v>13</v>
      </c>
      <c r="B20" s="1022">
        <v>354</v>
      </c>
      <c r="C20" s="390">
        <v>2681180449</v>
      </c>
      <c r="D20" s="267" t="s">
        <v>755</v>
      </c>
      <c r="E20" s="798">
        <v>2589498528.5157771</v>
      </c>
      <c r="F20" s="868">
        <f>E20/C20</f>
        <v>0.96580538974226171</v>
      </c>
      <c r="G20" s="232" t="s">
        <v>3020</v>
      </c>
      <c r="H20" s="233"/>
    </row>
    <row r="21" spans="1:12">
      <c r="A21" s="2">
        <f t="shared" si="0"/>
        <v>14</v>
      </c>
      <c r="B21" s="1022">
        <v>355</v>
      </c>
      <c r="C21" s="390">
        <v>2645185272</v>
      </c>
      <c r="D21" s="267" t="s">
        <v>756</v>
      </c>
      <c r="E21" s="798">
        <v>652727599.37119353</v>
      </c>
      <c r="F21" s="868">
        <f t="shared" ref="F21:F25" si="1">E21/C21</f>
        <v>0.24676063574090304</v>
      </c>
      <c r="G21" s="232" t="s">
        <v>3020</v>
      </c>
      <c r="H21" s="233"/>
    </row>
    <row r="22" spans="1:12">
      <c r="A22" s="2">
        <f t="shared" si="0"/>
        <v>15</v>
      </c>
      <c r="B22" s="1022">
        <v>356</v>
      </c>
      <c r="C22" s="390">
        <v>2258717211</v>
      </c>
      <c r="D22" s="267" t="s">
        <v>757</v>
      </c>
      <c r="E22" s="798">
        <v>1745095033.8296139</v>
      </c>
      <c r="F22" s="868">
        <f t="shared" si="1"/>
        <v>0.7726044789188149</v>
      </c>
      <c r="G22" s="232" t="s">
        <v>3020</v>
      </c>
      <c r="H22" s="233"/>
    </row>
    <row r="23" spans="1:12">
      <c r="A23" s="2">
        <f t="shared" si="0"/>
        <v>16</v>
      </c>
      <c r="B23" s="1022">
        <v>357</v>
      </c>
      <c r="C23" s="390">
        <v>479228332</v>
      </c>
      <c r="D23" s="267" t="s">
        <v>758</v>
      </c>
      <c r="E23" s="798">
        <v>215309410.45358056</v>
      </c>
      <c r="F23" s="868">
        <f t="shared" si="1"/>
        <v>0.44928355874748355</v>
      </c>
      <c r="G23" s="232" t="s">
        <v>3020</v>
      </c>
      <c r="H23" s="233"/>
    </row>
    <row r="24" spans="1:12">
      <c r="A24" s="2">
        <f t="shared" si="0"/>
        <v>17</v>
      </c>
      <c r="B24" s="1022">
        <v>358</v>
      </c>
      <c r="C24" s="390">
        <v>481255481</v>
      </c>
      <c r="D24" s="267" t="s">
        <v>759</v>
      </c>
      <c r="E24" s="798">
        <v>58752899.030000001</v>
      </c>
      <c r="F24" s="868">
        <f t="shared" si="1"/>
        <v>0.12208255562703919</v>
      </c>
      <c r="G24" s="232" t="s">
        <v>3020</v>
      </c>
      <c r="H24" s="233"/>
    </row>
    <row r="25" spans="1:12">
      <c r="A25" s="2">
        <f t="shared" si="0"/>
        <v>18</v>
      </c>
      <c r="B25" s="1022">
        <v>359</v>
      </c>
      <c r="C25" s="100">
        <v>282165367</v>
      </c>
      <c r="D25" s="267" t="s">
        <v>760</v>
      </c>
      <c r="E25" s="986">
        <v>252924342.04312441</v>
      </c>
      <c r="F25" s="101">
        <f t="shared" si="1"/>
        <v>0.89636919205298649</v>
      </c>
      <c r="G25" s="232" t="s">
        <v>3020</v>
      </c>
      <c r="H25" s="233"/>
    </row>
    <row r="26" spans="1:12">
      <c r="A26" s="2">
        <f t="shared" si="0"/>
        <v>19</v>
      </c>
      <c r="B26" s="92" t="s">
        <v>761</v>
      </c>
      <c r="C26" s="866">
        <f>SUM(C20:C25)</f>
        <v>8827732112</v>
      </c>
      <c r="D26" s="869" t="str">
        <f>"Sum L"&amp;A20&amp;" to L"&amp;A25&amp;""</f>
        <v>Sum L13 to L18</v>
      </c>
      <c r="E26" s="866">
        <f>SUM(E20:E25)</f>
        <v>5514307813.243289</v>
      </c>
      <c r="F26" s="865">
        <f>E26/C26</f>
        <v>0.62465735743695716</v>
      </c>
      <c r="G26" s="232" t="s">
        <v>3020</v>
      </c>
      <c r="L26" s="233"/>
    </row>
    <row r="27" spans="1:12">
      <c r="A27" s="2">
        <f t="shared" si="0"/>
        <v>20</v>
      </c>
      <c r="B27" s="102"/>
      <c r="C27" s="866"/>
      <c r="D27" s="866"/>
      <c r="E27" s="866"/>
      <c r="F27" s="865"/>
      <c r="G27" s="12"/>
    </row>
    <row r="28" spans="1:12">
      <c r="A28" s="2" t="s">
        <v>3074</v>
      </c>
      <c r="B28" s="1142" t="s">
        <v>3014</v>
      </c>
      <c r="C28" s="88">
        <f>C17+C26</f>
        <v>19447593874</v>
      </c>
      <c r="D28" s="232" t="str">
        <f>"L "&amp;A17&amp;" + L "&amp;A26&amp;""</f>
        <v>L 10 + L 19</v>
      </c>
      <c r="E28" s="88">
        <f>E17+E26</f>
        <v>11708665759.786388</v>
      </c>
      <c r="F28" s="868">
        <f t="shared" ref="F28" si="2">E28/C28</f>
        <v>0.6020624369084554</v>
      </c>
      <c r="G28" s="232" t="s">
        <v>3073</v>
      </c>
      <c r="J28" s="1088"/>
    </row>
    <row r="29" spans="1:12">
      <c r="A29" s="2"/>
      <c r="B29" s="1136"/>
      <c r="C29" s="88"/>
      <c r="D29" s="232"/>
      <c r="E29" s="88"/>
      <c r="F29" s="89"/>
      <c r="G29" s="232" t="s">
        <v>3042</v>
      </c>
      <c r="J29" s="1088"/>
    </row>
    <row r="30" spans="1:12">
      <c r="A30" s="2"/>
      <c r="B30" s="1100"/>
      <c r="C30" s="88"/>
      <c r="D30" s="232"/>
      <c r="E30" s="88"/>
      <c r="G30" s="247" t="s">
        <v>3043</v>
      </c>
      <c r="J30" s="1088"/>
    </row>
    <row r="31" spans="1:12">
      <c r="A31" s="2" t="s">
        <v>762</v>
      </c>
      <c r="B31" s="1024" t="s">
        <v>3034</v>
      </c>
      <c r="C31" s="88"/>
      <c r="D31" s="232"/>
      <c r="E31" s="88"/>
      <c r="F31" s="89"/>
      <c r="J31" s="1088"/>
    </row>
    <row r="32" spans="1:12">
      <c r="A32" s="2"/>
      <c r="B32" s="1100"/>
      <c r="C32" s="48" t="s">
        <v>345</v>
      </c>
      <c r="D32" s="1127"/>
      <c r="E32" s="48" t="s">
        <v>346</v>
      </c>
      <c r="F32" s="1082"/>
      <c r="J32" s="1088"/>
    </row>
    <row r="33" spans="1:12">
      <c r="C33" s="90"/>
      <c r="D33" s="90"/>
      <c r="E33" s="1143" t="s">
        <v>3044</v>
      </c>
      <c r="F33" s="1128"/>
      <c r="J33" s="1088"/>
    </row>
    <row r="34" spans="1:12">
      <c r="A34" s="1058"/>
      <c r="B34" s="1116"/>
      <c r="C34" s="90"/>
      <c r="D34" s="90"/>
      <c r="E34" s="88"/>
      <c r="F34" s="89"/>
      <c r="J34" s="1088"/>
    </row>
    <row r="35" spans="1:12">
      <c r="A35" s="2"/>
      <c r="B35" s="70"/>
      <c r="C35" s="95" t="s">
        <v>252</v>
      </c>
      <c r="D35" s="95" t="s">
        <v>3033</v>
      </c>
      <c r="E35" s="95" t="s">
        <v>741</v>
      </c>
      <c r="F35" s="1125"/>
      <c r="G35" s="1126"/>
      <c r="J35" s="1088"/>
    </row>
    <row r="36" spans="1:12">
      <c r="A36" s="233" t="s">
        <v>132</v>
      </c>
      <c r="B36" s="90" t="s">
        <v>743</v>
      </c>
      <c r="C36" s="90" t="s">
        <v>692</v>
      </c>
      <c r="D36" s="90" t="s">
        <v>744</v>
      </c>
      <c r="E36" s="90" t="s">
        <v>745</v>
      </c>
      <c r="F36" s="1125"/>
      <c r="G36" s="1137" t="s">
        <v>3037</v>
      </c>
      <c r="H36" s="233"/>
      <c r="J36" s="1088"/>
    </row>
    <row r="37" spans="1:12">
      <c r="A37" s="2" t="s">
        <v>764</v>
      </c>
      <c r="B37" s="1145">
        <v>351.1</v>
      </c>
      <c r="C37" s="1079">
        <v>996445</v>
      </c>
      <c r="D37" s="1145" t="s">
        <v>763</v>
      </c>
      <c r="E37" s="866">
        <f>C37*$F$28</f>
        <v>599922.1049452459</v>
      </c>
      <c r="F37" s="1095"/>
      <c r="G37" s="1129"/>
      <c r="J37" s="1088"/>
      <c r="K37" s="1135"/>
    </row>
    <row r="38" spans="1:12">
      <c r="A38" s="2" t="s">
        <v>766</v>
      </c>
      <c r="B38" s="1145">
        <v>351.2</v>
      </c>
      <c r="C38" s="1109">
        <v>0</v>
      </c>
      <c r="D38" s="1145" t="s">
        <v>765</v>
      </c>
      <c r="E38" s="866">
        <f t="shared" ref="E38:E39" si="3">C38*$F$28</f>
        <v>0</v>
      </c>
      <c r="F38" s="1095"/>
      <c r="G38" s="1129"/>
      <c r="J38" s="1088"/>
    </row>
    <row r="39" spans="1:12">
      <c r="A39" s="2" t="s">
        <v>768</v>
      </c>
      <c r="B39" s="1145">
        <v>351.3</v>
      </c>
      <c r="C39" s="1172">
        <v>197670501</v>
      </c>
      <c r="D39" s="1145" t="s">
        <v>767</v>
      </c>
      <c r="E39" s="1173">
        <f t="shared" si="3"/>
        <v>119009983.53697526</v>
      </c>
      <c r="F39" s="1095"/>
      <c r="G39" s="1129"/>
      <c r="J39" s="1088"/>
    </row>
    <row r="40" spans="1:12">
      <c r="A40" s="2" t="s">
        <v>769</v>
      </c>
      <c r="B40" s="92" t="s">
        <v>3035</v>
      </c>
      <c r="C40" s="1146">
        <f>SUM(C37:C39)</f>
        <v>198666946</v>
      </c>
      <c r="D40" s="1145"/>
      <c r="E40" s="1146">
        <f>SUM(E37:E39)</f>
        <v>119609905.64192051</v>
      </c>
      <c r="F40" s="1095"/>
      <c r="G40" s="279" t="s">
        <v>3045</v>
      </c>
      <c r="J40" s="1088"/>
      <c r="L40" s="1080"/>
    </row>
    <row r="41" spans="1:12">
      <c r="A41" s="2" t="s">
        <v>770</v>
      </c>
      <c r="B41" s="1144"/>
      <c r="C41" s="485"/>
      <c r="D41" s="1081"/>
      <c r="E41" s="1147"/>
      <c r="F41" s="1095"/>
      <c r="G41" s="1148" t="s">
        <v>2449</v>
      </c>
      <c r="J41" s="1088"/>
    </row>
    <row r="42" spans="1:12">
      <c r="A42" s="2" t="s">
        <v>3005</v>
      </c>
      <c r="B42" s="92" t="s">
        <v>3036</v>
      </c>
      <c r="C42" s="1146">
        <f>C28+C40</f>
        <v>19646260820</v>
      </c>
      <c r="D42" s="1081"/>
      <c r="E42" s="1146">
        <f>E28+E40</f>
        <v>11828275665.428308</v>
      </c>
      <c r="F42" s="1095"/>
      <c r="G42" s="1149" t="s">
        <v>3046</v>
      </c>
      <c r="J42" s="1088"/>
    </row>
    <row r="43" spans="1:12">
      <c r="A43" s="2"/>
      <c r="B43" s="68"/>
      <c r="E43" s="298"/>
      <c r="F43" s="1097"/>
      <c r="G43" s="481" t="s">
        <v>226</v>
      </c>
      <c r="J43" s="1088"/>
    </row>
    <row r="44" spans="1:12">
      <c r="A44" s="91" t="s">
        <v>772</v>
      </c>
      <c r="J44" s="1088"/>
    </row>
    <row r="45" spans="1:12">
      <c r="A45" s="2"/>
      <c r="B45" s="73"/>
      <c r="J45" s="1088"/>
      <c r="L45" s="1129"/>
    </row>
    <row r="46" spans="1:12">
      <c r="A46" s="30" t="s">
        <v>282</v>
      </c>
      <c r="B46" s="91"/>
      <c r="C46" s="95" t="s">
        <v>252</v>
      </c>
      <c r="D46" s="95"/>
      <c r="E46" s="95" t="s">
        <v>427</v>
      </c>
      <c r="F46" s="95" t="s">
        <v>742</v>
      </c>
    </row>
    <row r="47" spans="1:12">
      <c r="A47" s="2">
        <v>22</v>
      </c>
      <c r="B47" s="90" t="s">
        <v>743</v>
      </c>
      <c r="C47" s="90" t="s">
        <v>692</v>
      </c>
      <c r="D47" s="90" t="s">
        <v>744</v>
      </c>
      <c r="E47" s="90" t="s">
        <v>745</v>
      </c>
      <c r="F47" s="90" t="s">
        <v>746</v>
      </c>
    </row>
    <row r="48" spans="1:12">
      <c r="A48" s="2">
        <v>23</v>
      </c>
      <c r="B48" s="91" t="s">
        <v>773</v>
      </c>
      <c r="C48" s="67"/>
      <c r="D48" s="67"/>
      <c r="E48" s="67"/>
      <c r="F48" s="69"/>
    </row>
    <row r="49" spans="1:9">
      <c r="A49" s="2">
        <v>24</v>
      </c>
      <c r="B49" s="1022">
        <v>360</v>
      </c>
      <c r="C49" s="385">
        <v>141344113</v>
      </c>
      <c r="D49" s="267" t="s">
        <v>774</v>
      </c>
      <c r="E49" s="509">
        <v>0</v>
      </c>
      <c r="F49" s="865">
        <f>E49/C49</f>
        <v>0</v>
      </c>
      <c r="H49" s="233"/>
    </row>
    <row r="50" spans="1:9">
      <c r="A50" s="2">
        <v>25</v>
      </c>
      <c r="B50" s="1024" t="s">
        <v>775</v>
      </c>
      <c r="C50" s="866"/>
      <c r="D50" s="866"/>
      <c r="E50" s="866"/>
      <c r="F50" s="865"/>
    </row>
    <row r="51" spans="1:9">
      <c r="A51" s="2">
        <v>26</v>
      </c>
      <c r="B51" s="1022">
        <v>361</v>
      </c>
      <c r="C51" s="385">
        <v>1258448948</v>
      </c>
      <c r="D51" s="267" t="s">
        <v>776</v>
      </c>
      <c r="E51" s="385">
        <v>0</v>
      </c>
      <c r="F51" s="865">
        <f>E51/C51</f>
        <v>0</v>
      </c>
      <c r="H51" s="233"/>
    </row>
    <row r="52" spans="1:9">
      <c r="A52" s="2">
        <v>27</v>
      </c>
      <c r="B52" s="1022">
        <v>362</v>
      </c>
      <c r="C52" s="86">
        <v>4190771659</v>
      </c>
      <c r="D52" s="267" t="s">
        <v>777</v>
      </c>
      <c r="E52" s="86">
        <v>0</v>
      </c>
      <c r="F52" s="87">
        <f>E52/C52</f>
        <v>0</v>
      </c>
      <c r="H52" s="233"/>
    </row>
    <row r="53" spans="1:9">
      <c r="A53" s="2">
        <v>28</v>
      </c>
      <c r="B53" s="92" t="s">
        <v>778</v>
      </c>
      <c r="C53" s="866">
        <f>SUM(C51:C52)</f>
        <v>5449220607</v>
      </c>
      <c r="D53" s="232" t="str">
        <f>"L "&amp;A51&amp;" + L "&amp;A52&amp;""</f>
        <v>L 26 + L 27</v>
      </c>
      <c r="E53" s="866">
        <f>SUM(E51:E52)</f>
        <v>0</v>
      </c>
      <c r="F53" s="865">
        <f>E53/C53</f>
        <v>0</v>
      </c>
    </row>
    <row r="54" spans="1:9">
      <c r="A54" s="2">
        <v>29</v>
      </c>
      <c r="B54" s="93"/>
      <c r="C54" s="77"/>
      <c r="D54" s="866"/>
      <c r="E54" s="866"/>
      <c r="F54" s="865"/>
    </row>
    <row r="55" spans="1:9">
      <c r="A55" s="2">
        <v>30</v>
      </c>
      <c r="B55" s="94" t="s">
        <v>779</v>
      </c>
      <c r="C55" s="88">
        <f>C49+C53</f>
        <v>5590564720</v>
      </c>
      <c r="D55" s="232" t="str">
        <f>"L "&amp;A49&amp;" + L "&amp;A53&amp;""</f>
        <v>L 24 + L 28</v>
      </c>
      <c r="E55" s="88">
        <f>E49+E53</f>
        <v>0</v>
      </c>
      <c r="F55" s="89">
        <f>E55/C55</f>
        <v>0</v>
      </c>
      <c r="G55" s="233" t="s">
        <v>168</v>
      </c>
      <c r="H55" s="233"/>
    </row>
    <row r="56" spans="1:9">
      <c r="A56" s="2"/>
      <c r="B56" s="74"/>
      <c r="C56" s="75"/>
      <c r="D56" s="75"/>
      <c r="E56" s="75"/>
      <c r="F56" s="76"/>
      <c r="H56" s="599"/>
      <c r="I56" s="233"/>
    </row>
    <row r="57" spans="1:9">
      <c r="A57" s="47" t="s">
        <v>233</v>
      </c>
    </row>
    <row r="58" spans="1:9">
      <c r="A58" s="232" t="s">
        <v>780</v>
      </c>
      <c r="E58" s="71"/>
    </row>
    <row r="59" spans="1:9">
      <c r="A59" s="232" t="s">
        <v>781</v>
      </c>
    </row>
    <row r="60" spans="1:9">
      <c r="A60" s="232" t="s">
        <v>782</v>
      </c>
      <c r="C60" s="71"/>
      <c r="D60" s="71"/>
    </row>
    <row r="61" spans="1:9">
      <c r="A61" s="232" t="s">
        <v>783</v>
      </c>
      <c r="C61" s="72"/>
      <c r="D61" s="72"/>
    </row>
    <row r="62" spans="1:9">
      <c r="A62" s="232" t="s">
        <v>3041</v>
      </c>
      <c r="B62" s="1150"/>
      <c r="C62" s="71"/>
      <c r="D62" s="71"/>
      <c r="G62" s="233"/>
    </row>
    <row r="63" spans="1:9">
      <c r="A63" s="232" t="s">
        <v>3047</v>
      </c>
      <c r="B63" s="1150"/>
      <c r="C63" s="71"/>
      <c r="D63" s="71"/>
      <c r="G63" s="233"/>
    </row>
    <row r="64" spans="1:9">
      <c r="A64" s="47" t="s">
        <v>442</v>
      </c>
    </row>
    <row r="65" spans="1:2">
      <c r="A65" s="232" t="s">
        <v>784</v>
      </c>
    </row>
    <row r="66" spans="1:2">
      <c r="A66" s="232" t="s">
        <v>785</v>
      </c>
    </row>
    <row r="67" spans="1:2">
      <c r="A67" s="232" t="s">
        <v>786</v>
      </c>
    </row>
    <row r="68" spans="1:2">
      <c r="B68" s="1151" t="s">
        <v>3048</v>
      </c>
    </row>
  </sheetData>
  <phoneticPr fontId="26" type="noConversion"/>
  <pageMargins left="0.7" right="0.7" top="0.75" bottom="0.75" header="0.3" footer="0.3"/>
  <pageSetup scale="74" orientation="portrait" cellComments="asDisplayed" r:id="rId1"/>
  <headerFooter>
    <oddHeader>&amp;CSchedule 7
Transmission Plant Study Summary
&amp;RTO2027 Draft Annual Update 
Attachment 1</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00"/>
  <sheetViews>
    <sheetView zoomScaleNormal="100" workbookViewId="0"/>
  </sheetViews>
  <sheetFormatPr defaultColWidth="8.54296875" defaultRowHeight="12.5"/>
  <cols>
    <col min="1" max="1" width="4.54296875" customWidth="1"/>
    <col min="2" max="2" width="6.26953125" customWidth="1"/>
    <col min="3" max="3" width="10.54296875" customWidth="1"/>
    <col min="4" max="4" width="13.54296875" customWidth="1"/>
    <col min="5" max="6" width="14.54296875" customWidth="1"/>
    <col min="7" max="7" width="14.81640625" customWidth="1"/>
    <col min="8" max="8" width="13.54296875" customWidth="1"/>
    <col min="9" max="9" width="14.90625" customWidth="1"/>
    <col min="10" max="10" width="14.54296875" customWidth="1"/>
    <col min="11" max="12" width="11.54296875" customWidth="1"/>
    <col min="13" max="13" width="13.54296875" customWidth="1"/>
    <col min="14" max="14" width="14.54296875" customWidth="1"/>
    <col min="15" max="15" width="13.54296875" customWidth="1"/>
    <col min="16" max="16" width="15.453125" customWidth="1"/>
    <col min="17" max="21" width="15.54296875" customWidth="1"/>
  </cols>
  <sheetData>
    <row r="1" spans="1:18" ht="13">
      <c r="A1" s="47"/>
      <c r="B1" s="1"/>
      <c r="C1" s="112"/>
      <c r="D1" s="112"/>
      <c r="E1" s="112"/>
      <c r="F1" s="112"/>
      <c r="G1" s="112"/>
      <c r="H1" s="112"/>
      <c r="I1" s="112"/>
      <c r="J1" s="259" t="s">
        <v>738</v>
      </c>
      <c r="K1" s="103"/>
      <c r="L1" s="112"/>
      <c r="M1" s="112"/>
      <c r="N1" s="112"/>
      <c r="O1" s="112"/>
      <c r="P1" s="112"/>
      <c r="Q1" s="112"/>
      <c r="R1" s="112"/>
    </row>
    <row r="2" spans="1:18" ht="13">
      <c r="A2" s="112"/>
      <c r="B2" s="112"/>
      <c r="C2" s="665" t="s">
        <v>200</v>
      </c>
      <c r="D2" s="259" t="s">
        <v>652</v>
      </c>
      <c r="E2" s="198"/>
      <c r="F2" s="112"/>
      <c r="G2" s="112"/>
      <c r="H2" s="112"/>
      <c r="I2" s="112"/>
      <c r="L2" s="112"/>
      <c r="M2" s="112"/>
      <c r="N2" s="112"/>
      <c r="O2" s="112"/>
      <c r="P2" s="112"/>
      <c r="Q2" s="112"/>
      <c r="R2" s="112"/>
    </row>
    <row r="3" spans="1:18" ht="13">
      <c r="A3" s="112"/>
      <c r="B3" s="1" t="s">
        <v>787</v>
      </c>
      <c r="C3" s="112"/>
      <c r="D3" s="112"/>
      <c r="E3" s="112"/>
      <c r="F3" s="112"/>
      <c r="G3" s="113" t="s">
        <v>655</v>
      </c>
      <c r="H3" s="803">
        <v>2025</v>
      </c>
      <c r="I3" s="112"/>
      <c r="J3" s="112"/>
      <c r="K3" s="112"/>
      <c r="L3" s="112"/>
      <c r="M3" s="112"/>
      <c r="N3" s="112"/>
      <c r="O3" s="112"/>
      <c r="P3" s="112"/>
      <c r="Q3" s="112"/>
      <c r="R3" s="112"/>
    </row>
    <row r="4" spans="1:18">
      <c r="A4" s="112"/>
      <c r="B4" s="112"/>
      <c r="C4" s="112"/>
      <c r="D4" s="112"/>
      <c r="E4" s="112"/>
      <c r="F4" s="112"/>
      <c r="G4" s="112"/>
      <c r="H4" s="112"/>
      <c r="I4" s="112"/>
      <c r="J4" s="112"/>
      <c r="K4" s="112"/>
      <c r="L4" s="112"/>
      <c r="M4" s="112"/>
      <c r="N4" s="112"/>
      <c r="O4" s="112"/>
      <c r="P4" s="112"/>
      <c r="Q4" s="112"/>
      <c r="R4" s="112"/>
    </row>
    <row r="5" spans="1:18">
      <c r="A5" s="112"/>
      <c r="B5" s="112"/>
      <c r="C5" s="233" t="s">
        <v>788</v>
      </c>
      <c r="D5" s="112"/>
      <c r="E5" s="112"/>
      <c r="F5" s="112"/>
      <c r="G5" s="112"/>
      <c r="H5" s="112"/>
      <c r="I5" s="112"/>
      <c r="J5" s="233"/>
      <c r="K5" s="112"/>
      <c r="L5" s="112"/>
      <c r="M5" s="112"/>
      <c r="N5" s="112"/>
      <c r="O5" s="112"/>
      <c r="P5" s="112"/>
      <c r="Q5" s="112"/>
      <c r="R5" s="112"/>
    </row>
    <row r="6" spans="1:18">
      <c r="A6" s="112"/>
      <c r="B6" s="112"/>
      <c r="C6" s="232" t="s">
        <v>2994</v>
      </c>
      <c r="D6" s="112"/>
      <c r="E6" s="112"/>
      <c r="F6" s="112"/>
      <c r="G6" s="112"/>
      <c r="H6" s="112"/>
      <c r="I6" s="112"/>
      <c r="J6" s="112"/>
      <c r="K6" s="112"/>
      <c r="L6" s="112"/>
      <c r="M6" s="112"/>
      <c r="N6" s="112"/>
      <c r="O6" s="112"/>
      <c r="P6" s="112"/>
      <c r="Q6" s="112"/>
      <c r="R6" s="112"/>
    </row>
    <row r="7" spans="1:18" ht="13">
      <c r="A7" s="112"/>
      <c r="B7" s="112"/>
      <c r="C7" s="48" t="s">
        <v>345</v>
      </c>
      <c r="D7" s="48" t="s">
        <v>346</v>
      </c>
      <c r="E7" s="48" t="s">
        <v>347</v>
      </c>
      <c r="F7" s="48" t="s">
        <v>348</v>
      </c>
      <c r="G7" s="48" t="s">
        <v>349</v>
      </c>
      <c r="H7" s="48" t="s">
        <v>350</v>
      </c>
      <c r="I7" s="48" t="s">
        <v>351</v>
      </c>
      <c r="J7" s="48" t="s">
        <v>352</v>
      </c>
      <c r="K7" s="48" t="s">
        <v>353</v>
      </c>
      <c r="L7" s="48" t="s">
        <v>603</v>
      </c>
      <c r="M7" s="48" t="s">
        <v>604</v>
      </c>
      <c r="N7" s="1130"/>
      <c r="O7" s="112"/>
      <c r="P7" s="112"/>
      <c r="Q7" s="112"/>
      <c r="R7" s="112"/>
    </row>
    <row r="8" spans="1:18">
      <c r="A8" s="112"/>
      <c r="B8" s="112"/>
      <c r="D8" s="112"/>
      <c r="E8" s="112"/>
      <c r="F8" s="112"/>
      <c r="G8" s="112"/>
      <c r="H8" s="112"/>
      <c r="I8" s="112"/>
      <c r="J8" s="112"/>
      <c r="K8" s="112"/>
      <c r="L8" s="112"/>
      <c r="M8" s="112"/>
      <c r="N8" s="1131"/>
      <c r="O8" s="112"/>
      <c r="P8" s="112"/>
      <c r="Q8" s="112"/>
      <c r="R8" s="112"/>
    </row>
    <row r="9" spans="1:18" ht="13">
      <c r="A9" s="112"/>
      <c r="B9" s="112"/>
      <c r="C9" s="115"/>
      <c r="D9" s="243" t="s">
        <v>247</v>
      </c>
      <c r="E9" s="112"/>
      <c r="F9" s="112"/>
      <c r="G9" s="112"/>
      <c r="H9" s="112"/>
      <c r="I9" s="112"/>
      <c r="J9" s="112"/>
      <c r="K9" s="112"/>
      <c r="L9" s="112"/>
      <c r="M9" s="112"/>
      <c r="N9" s="835"/>
      <c r="O9" s="112"/>
      <c r="P9" s="112"/>
      <c r="Q9" s="112"/>
      <c r="R9" s="112"/>
    </row>
    <row r="10" spans="1:18" ht="13">
      <c r="A10" s="112"/>
      <c r="B10" s="112"/>
      <c r="C10" s="2"/>
      <c r="D10" s="243" t="s">
        <v>789</v>
      </c>
      <c r="E10" s="112"/>
      <c r="F10" s="112"/>
      <c r="G10" s="112"/>
      <c r="H10" s="112"/>
      <c r="I10" s="112"/>
      <c r="J10" s="112"/>
      <c r="K10" s="112"/>
      <c r="L10" s="112"/>
      <c r="M10" s="112"/>
      <c r="N10" s="835"/>
      <c r="O10" s="112"/>
      <c r="P10" s="112"/>
      <c r="Q10" s="112"/>
      <c r="R10" s="112"/>
    </row>
    <row r="11" spans="1:18" ht="12.75" customHeight="1">
      <c r="A11" s="30" t="s">
        <v>282</v>
      </c>
      <c r="B11" s="30"/>
      <c r="C11" s="3" t="s">
        <v>657</v>
      </c>
      <c r="D11" s="48">
        <v>350.1</v>
      </c>
      <c r="E11" s="48">
        <v>350.2</v>
      </c>
      <c r="F11" s="48">
        <v>352</v>
      </c>
      <c r="G11" s="48">
        <v>353</v>
      </c>
      <c r="H11" s="48">
        <v>354</v>
      </c>
      <c r="I11" s="48">
        <v>355</v>
      </c>
      <c r="J11" s="48">
        <v>356</v>
      </c>
      <c r="K11" s="48">
        <v>357</v>
      </c>
      <c r="L11" s="48">
        <v>358</v>
      </c>
      <c r="M11" s="48">
        <v>359</v>
      </c>
      <c r="N11" s="1132"/>
      <c r="O11" s="112"/>
      <c r="P11" s="112"/>
      <c r="Q11" s="112"/>
      <c r="R11" s="112"/>
    </row>
    <row r="12" spans="1:18" ht="12.75" customHeight="1">
      <c r="A12" s="2">
        <v>1</v>
      </c>
      <c r="B12" s="2"/>
      <c r="C12" s="507" t="s">
        <v>3089</v>
      </c>
      <c r="D12" s="253">
        <v>0</v>
      </c>
      <c r="E12" s="253">
        <v>39870243.045931391</v>
      </c>
      <c r="F12" s="253">
        <v>215399158.82301661</v>
      </c>
      <c r="G12" s="253">
        <v>973135333.18677747</v>
      </c>
      <c r="H12" s="253">
        <v>833166352.59997797</v>
      </c>
      <c r="I12" s="253">
        <v>92698459.078265682</v>
      </c>
      <c r="J12" s="253">
        <v>607217809.19905019</v>
      </c>
      <c r="K12" s="253">
        <v>26089707.867154703</v>
      </c>
      <c r="L12" s="253">
        <v>29994634.14126312</v>
      </c>
      <c r="M12" s="253">
        <v>39608381.674239919</v>
      </c>
      <c r="N12" s="1133"/>
      <c r="O12" s="112"/>
      <c r="P12" s="112"/>
      <c r="Q12" s="112"/>
      <c r="R12" s="112"/>
    </row>
    <row r="13" spans="1:18" ht="12.75" customHeight="1">
      <c r="A13" s="2">
        <f>A12+1</f>
        <v>2</v>
      </c>
      <c r="B13" s="2"/>
      <c r="C13" s="507" t="s">
        <v>3090</v>
      </c>
      <c r="D13" s="114">
        <f t="shared" ref="D13:D23" si="0">D12+D110+D159</f>
        <v>0</v>
      </c>
      <c r="E13" s="114">
        <f t="shared" ref="E13:E23" si="1">E12+E110+E159</f>
        <v>40230590.535781257</v>
      </c>
      <c r="F13" s="114">
        <f t="shared" ref="F13:F23" si="2">F12+F110+F159</f>
        <v>216984392.49513704</v>
      </c>
      <c r="G13" s="114">
        <f t="shared" ref="G13:G23" si="3">G12+G110+G159</f>
        <v>976087801.9889065</v>
      </c>
      <c r="H13" s="114">
        <f t="shared" ref="H13:H23" si="4">H12+H110+H159</f>
        <v>838307228.1109972</v>
      </c>
      <c r="I13" s="114">
        <f t="shared" ref="I13:I23" si="5">I12+I110+I159</f>
        <v>-39638966.142481863</v>
      </c>
      <c r="J13" s="114">
        <f t="shared" ref="J13:J23" si="6">J12+J110+J159</f>
        <v>612479671.26288807</v>
      </c>
      <c r="K13" s="114">
        <f t="shared" ref="K13:K23" si="7">K12+K110+K159</f>
        <v>26354554.505348869</v>
      </c>
      <c r="L13" s="114">
        <f t="shared" ref="L13:L23" si="8">L12+L110+L159</f>
        <v>30211703.964590669</v>
      </c>
      <c r="M13" s="114">
        <f t="shared" ref="M13:M23" si="9">M12+M110+M159</f>
        <v>39911328.195134975</v>
      </c>
      <c r="N13" s="1133"/>
      <c r="O13" s="112"/>
      <c r="P13" s="112"/>
      <c r="Q13" s="112"/>
      <c r="R13" s="112"/>
    </row>
    <row r="14" spans="1:18" ht="12.75" customHeight="1">
      <c r="A14" s="2">
        <f t="shared" ref="A14:A25" si="10">A13+1</f>
        <v>3</v>
      </c>
      <c r="B14" s="2"/>
      <c r="C14" s="387" t="s">
        <v>3091</v>
      </c>
      <c r="D14" s="114">
        <f t="shared" si="0"/>
        <v>0</v>
      </c>
      <c r="E14" s="114">
        <f t="shared" si="1"/>
        <v>40508727.990261152</v>
      </c>
      <c r="F14" s="114">
        <f t="shared" si="2"/>
        <v>218840557.53537241</v>
      </c>
      <c r="G14" s="114">
        <f t="shared" si="3"/>
        <v>984014791.63426328</v>
      </c>
      <c r="H14" s="114">
        <f t="shared" si="4"/>
        <v>843448492.75867343</v>
      </c>
      <c r="I14" s="114">
        <f t="shared" si="5"/>
        <v>-193310940.26693064</v>
      </c>
      <c r="J14" s="114">
        <f t="shared" si="6"/>
        <v>615386115.1263051</v>
      </c>
      <c r="K14" s="114">
        <f t="shared" si="7"/>
        <v>26619410.284478974</v>
      </c>
      <c r="L14" s="114">
        <f t="shared" si="8"/>
        <v>30432400.09403735</v>
      </c>
      <c r="M14" s="114">
        <f t="shared" si="9"/>
        <v>40213505.094281547</v>
      </c>
      <c r="N14" s="1133"/>
      <c r="O14" s="112"/>
      <c r="P14" s="112"/>
      <c r="Q14" s="112"/>
      <c r="R14" s="112"/>
    </row>
    <row r="15" spans="1:18" ht="12.75" customHeight="1">
      <c r="A15" s="2">
        <f t="shared" si="10"/>
        <v>4</v>
      </c>
      <c r="B15" s="2"/>
      <c r="C15" s="507" t="s">
        <v>3092</v>
      </c>
      <c r="D15" s="114">
        <f t="shared" si="0"/>
        <v>0</v>
      </c>
      <c r="E15" s="114">
        <f t="shared" si="1"/>
        <v>40771214.7627896</v>
      </c>
      <c r="F15" s="114">
        <f t="shared" si="2"/>
        <v>220233448.29263166</v>
      </c>
      <c r="G15" s="114">
        <f t="shared" si="3"/>
        <v>987182487.63392711</v>
      </c>
      <c r="H15" s="114">
        <f t="shared" si="4"/>
        <v>848587011.9648596</v>
      </c>
      <c r="I15" s="114">
        <f t="shared" si="5"/>
        <v>-129893816.85815378</v>
      </c>
      <c r="J15" s="114">
        <f t="shared" si="6"/>
        <v>618946028.86898565</v>
      </c>
      <c r="K15" s="114">
        <f t="shared" si="7"/>
        <v>26884264.016465448</v>
      </c>
      <c r="L15" s="114">
        <f t="shared" si="8"/>
        <v>30675262.768407926</v>
      </c>
      <c r="M15" s="114">
        <f t="shared" si="9"/>
        <v>40515950.890552327</v>
      </c>
      <c r="N15" s="1133"/>
      <c r="O15" s="112"/>
      <c r="P15" s="112"/>
      <c r="Q15" s="112"/>
      <c r="R15" s="112"/>
    </row>
    <row r="16" spans="1:18" ht="12.75" customHeight="1">
      <c r="A16" s="2">
        <f t="shared" si="10"/>
        <v>5</v>
      </c>
      <c r="B16" s="2"/>
      <c r="C16" s="507" t="s">
        <v>3093</v>
      </c>
      <c r="D16" s="114">
        <f t="shared" si="0"/>
        <v>0</v>
      </c>
      <c r="E16" s="114">
        <f t="shared" si="1"/>
        <v>41030890.009317674</v>
      </c>
      <c r="F16" s="114">
        <f t="shared" si="2"/>
        <v>220450795.32764354</v>
      </c>
      <c r="G16" s="114">
        <f t="shared" si="3"/>
        <v>977171481.18147767</v>
      </c>
      <c r="H16" s="114">
        <f t="shared" si="4"/>
        <v>853701636.44954073</v>
      </c>
      <c r="I16" s="114">
        <f t="shared" si="5"/>
        <v>133530461.35407822</v>
      </c>
      <c r="J16" s="114">
        <f t="shared" si="6"/>
        <v>571557828.41209447</v>
      </c>
      <c r="K16" s="114">
        <f t="shared" si="7"/>
        <v>27149117.084586047</v>
      </c>
      <c r="L16" s="114">
        <f t="shared" si="8"/>
        <v>30888016.836232502</v>
      </c>
      <c r="M16" s="114">
        <f t="shared" si="9"/>
        <v>40839083.730040014</v>
      </c>
      <c r="N16" s="1133"/>
      <c r="O16" s="112"/>
      <c r="P16" s="112"/>
      <c r="Q16" s="112"/>
      <c r="R16" s="112"/>
    </row>
    <row r="17" spans="1:18" ht="12.75" customHeight="1">
      <c r="A17" s="2">
        <f t="shared" si="10"/>
        <v>6</v>
      </c>
      <c r="B17" s="2"/>
      <c r="C17" s="507" t="s">
        <v>3094</v>
      </c>
      <c r="D17" s="114">
        <f t="shared" si="0"/>
        <v>0</v>
      </c>
      <c r="E17" s="114">
        <f t="shared" si="1"/>
        <v>41317939.898168817</v>
      </c>
      <c r="F17" s="114">
        <f t="shared" si="2"/>
        <v>221976582.30972761</v>
      </c>
      <c r="G17" s="114">
        <f t="shared" si="3"/>
        <v>980585493.489398</v>
      </c>
      <c r="H17" s="114">
        <f t="shared" si="4"/>
        <v>858910695.06801867</v>
      </c>
      <c r="I17" s="114">
        <f t="shared" si="5"/>
        <v>431633989.69674087</v>
      </c>
      <c r="J17" s="114">
        <f t="shared" si="6"/>
        <v>572700041.58500171</v>
      </c>
      <c r="K17" s="114">
        <f t="shared" si="7"/>
        <v>27391154.72721969</v>
      </c>
      <c r="L17" s="114">
        <f t="shared" si="8"/>
        <v>31184611.231831253</v>
      </c>
      <c r="M17" s="114">
        <f t="shared" si="9"/>
        <v>41214374.50239826</v>
      </c>
      <c r="N17" s="1133"/>
      <c r="O17" s="112"/>
      <c r="P17" s="112"/>
      <c r="Q17" s="112"/>
      <c r="R17" s="112"/>
    </row>
    <row r="18" spans="1:18" ht="12.75" customHeight="1">
      <c r="A18" s="2">
        <f t="shared" si="10"/>
        <v>7</v>
      </c>
      <c r="B18" s="2"/>
      <c r="C18" s="507" t="s">
        <v>3095</v>
      </c>
      <c r="D18" s="114">
        <f t="shared" si="0"/>
        <v>0</v>
      </c>
      <c r="E18" s="114">
        <f t="shared" si="1"/>
        <v>41578541.273733549</v>
      </c>
      <c r="F18" s="114">
        <f t="shared" si="2"/>
        <v>223861890.51697698</v>
      </c>
      <c r="G18" s="114">
        <f t="shared" si="3"/>
        <v>988763463.229707</v>
      </c>
      <c r="H18" s="114">
        <f t="shared" si="4"/>
        <v>864115612.52070487</v>
      </c>
      <c r="I18" s="114">
        <f t="shared" si="5"/>
        <v>410221241.40430081</v>
      </c>
      <c r="J18" s="114">
        <f t="shared" si="6"/>
        <v>617647545.52593601</v>
      </c>
      <c r="K18" s="114">
        <f t="shared" si="7"/>
        <v>27655744.597529843</v>
      </c>
      <c r="L18" s="114">
        <f t="shared" si="8"/>
        <v>31405157.462649822</v>
      </c>
      <c r="M18" s="114">
        <f t="shared" si="9"/>
        <v>43251243.829417691</v>
      </c>
      <c r="N18" s="1133"/>
      <c r="O18" s="112"/>
      <c r="P18" s="112"/>
      <c r="Q18" s="112"/>
      <c r="R18" s="112"/>
    </row>
    <row r="19" spans="1:18" ht="12.75" customHeight="1">
      <c r="A19" s="2">
        <f t="shared" si="10"/>
        <v>8</v>
      </c>
      <c r="B19" s="2"/>
      <c r="C19" s="507" t="s">
        <v>3096</v>
      </c>
      <c r="D19" s="114">
        <f t="shared" si="0"/>
        <v>0</v>
      </c>
      <c r="E19" s="114">
        <f t="shared" si="1"/>
        <v>41847674.53595072</v>
      </c>
      <c r="F19" s="114">
        <f t="shared" si="2"/>
        <v>225654019.33049983</v>
      </c>
      <c r="G19" s="114">
        <f t="shared" si="3"/>
        <v>997885670.49633598</v>
      </c>
      <c r="H19" s="114">
        <f t="shared" si="4"/>
        <v>869301825.17571199</v>
      </c>
      <c r="I19" s="114">
        <f t="shared" si="5"/>
        <v>287075030.84419054</v>
      </c>
      <c r="J19" s="114">
        <f t="shared" si="6"/>
        <v>600162656.04808199</v>
      </c>
      <c r="K19" s="114">
        <f t="shared" si="7"/>
        <v>27920088.896952633</v>
      </c>
      <c r="L19" s="114">
        <f t="shared" si="8"/>
        <v>31806319.821014561</v>
      </c>
      <c r="M19" s="114">
        <f t="shared" si="9"/>
        <v>43686629.337192871</v>
      </c>
      <c r="N19" s="1133"/>
      <c r="O19" s="112"/>
      <c r="P19" s="112"/>
      <c r="Q19" s="112"/>
      <c r="R19" s="112"/>
    </row>
    <row r="20" spans="1:18" ht="12.75" customHeight="1">
      <c r="A20" s="2">
        <f t="shared" si="10"/>
        <v>9</v>
      </c>
      <c r="B20" s="2"/>
      <c r="C20" s="507" t="s">
        <v>3097</v>
      </c>
      <c r="D20" s="114">
        <f t="shared" si="0"/>
        <v>0</v>
      </c>
      <c r="E20" s="114">
        <f t="shared" si="1"/>
        <v>42108356.167435192</v>
      </c>
      <c r="F20" s="114">
        <f t="shared" si="2"/>
        <v>227108596.46983287</v>
      </c>
      <c r="G20" s="114">
        <f t="shared" si="3"/>
        <v>1002720400.7524333</v>
      </c>
      <c r="H20" s="114">
        <f t="shared" si="4"/>
        <v>874548041.96557367</v>
      </c>
      <c r="I20" s="114">
        <f t="shared" si="5"/>
        <v>475305653.44392407</v>
      </c>
      <c r="J20" s="114">
        <f t="shared" si="6"/>
        <v>605185090.31622112</v>
      </c>
      <c r="K20" s="114">
        <f t="shared" si="7"/>
        <v>28184542.317315917</v>
      </c>
      <c r="L20" s="114">
        <f t="shared" si="8"/>
        <v>32046327.91689172</v>
      </c>
      <c r="M20" s="114">
        <f t="shared" si="9"/>
        <v>44033798.917474076</v>
      </c>
      <c r="N20" s="1133"/>
      <c r="O20" s="112"/>
      <c r="P20" s="112"/>
      <c r="Q20" s="112"/>
      <c r="R20" s="112"/>
    </row>
    <row r="21" spans="1:18" ht="12.75" customHeight="1">
      <c r="A21" s="2">
        <f t="shared" si="10"/>
        <v>10</v>
      </c>
      <c r="B21" s="2"/>
      <c r="C21" s="507" t="s">
        <v>3098</v>
      </c>
      <c r="D21" s="114">
        <f t="shared" si="0"/>
        <v>0</v>
      </c>
      <c r="E21" s="114">
        <f t="shared" si="1"/>
        <v>42369301.945334166</v>
      </c>
      <c r="F21" s="114">
        <f t="shared" si="2"/>
        <v>228970536.47646198</v>
      </c>
      <c r="G21" s="114">
        <f t="shared" si="3"/>
        <v>1010899656.8031633</v>
      </c>
      <c r="H21" s="114">
        <f t="shared" si="4"/>
        <v>879787218.09685993</v>
      </c>
      <c r="I21" s="114">
        <f t="shared" si="5"/>
        <v>316516655.3804059</v>
      </c>
      <c r="J21" s="114">
        <f t="shared" si="6"/>
        <v>602438610.10575557</v>
      </c>
      <c r="K21" s="114">
        <f t="shared" si="7"/>
        <v>28448432.387149792</v>
      </c>
      <c r="L21" s="114">
        <f t="shared" si="8"/>
        <v>32267511.850474603</v>
      </c>
      <c r="M21" s="114">
        <f t="shared" si="9"/>
        <v>44416020.678663425</v>
      </c>
      <c r="N21" s="1133"/>
      <c r="O21" s="112"/>
      <c r="P21" s="112"/>
      <c r="Q21" s="112"/>
      <c r="R21" s="112"/>
    </row>
    <row r="22" spans="1:18" ht="12.75" customHeight="1">
      <c r="A22" s="2">
        <f t="shared" si="10"/>
        <v>11</v>
      </c>
      <c r="B22" s="2"/>
      <c r="C22" s="507" t="s">
        <v>3099</v>
      </c>
      <c r="D22" s="114">
        <f t="shared" si="0"/>
        <v>0</v>
      </c>
      <c r="E22" s="114">
        <f t="shared" si="1"/>
        <v>42629868.973118052</v>
      </c>
      <c r="F22" s="114">
        <f t="shared" si="2"/>
        <v>230767759.658622</v>
      </c>
      <c r="G22" s="114">
        <f t="shared" si="3"/>
        <v>1018741523.3234173</v>
      </c>
      <c r="H22" s="114">
        <f t="shared" si="4"/>
        <v>885023072.16960967</v>
      </c>
      <c r="I22" s="114">
        <f t="shared" si="5"/>
        <v>139111269.56856745</v>
      </c>
      <c r="J22" s="114">
        <f t="shared" si="6"/>
        <v>606605666.35841525</v>
      </c>
      <c r="K22" s="114">
        <f t="shared" si="7"/>
        <v>28713663.26813025</v>
      </c>
      <c r="L22" s="114">
        <f t="shared" si="8"/>
        <v>32485426.761540089</v>
      </c>
      <c r="M22" s="114">
        <f t="shared" si="9"/>
        <v>44773083.851901181</v>
      </c>
      <c r="N22" s="1133"/>
      <c r="O22" s="112"/>
      <c r="P22" s="112"/>
      <c r="Q22" s="112"/>
      <c r="R22" s="112"/>
    </row>
    <row r="23" spans="1:18" ht="12.75" customHeight="1">
      <c r="A23" s="2">
        <f t="shared" si="10"/>
        <v>12</v>
      </c>
      <c r="B23" s="2"/>
      <c r="C23" s="507" t="s">
        <v>3100</v>
      </c>
      <c r="D23" s="114">
        <f t="shared" si="0"/>
        <v>0</v>
      </c>
      <c r="E23" s="114">
        <f t="shared" si="1"/>
        <v>42890562.50347174</v>
      </c>
      <c r="F23" s="114">
        <f t="shared" si="2"/>
        <v>233090002.06026947</v>
      </c>
      <c r="G23" s="114">
        <f t="shared" si="3"/>
        <v>1028086630.3589617</v>
      </c>
      <c r="H23" s="114">
        <f t="shared" si="4"/>
        <v>890278731.6016252</v>
      </c>
      <c r="I23" s="114">
        <f t="shared" si="5"/>
        <v>134957673.8854534</v>
      </c>
      <c r="J23" s="114">
        <f t="shared" si="6"/>
        <v>611293147.31211281</v>
      </c>
      <c r="K23" s="114">
        <f t="shared" si="7"/>
        <v>28963974.502578631</v>
      </c>
      <c r="L23" s="114">
        <f t="shared" si="8"/>
        <v>32753114.976253059</v>
      </c>
      <c r="M23" s="114">
        <f t="shared" si="9"/>
        <v>45238935.12515948</v>
      </c>
      <c r="N23" s="1133"/>
      <c r="O23" s="112"/>
      <c r="P23" s="112"/>
      <c r="Q23" s="112"/>
      <c r="R23" s="112"/>
    </row>
    <row r="24" spans="1:18" ht="14">
      <c r="A24" s="2">
        <f t="shared" si="10"/>
        <v>13</v>
      </c>
      <c r="B24" s="2"/>
      <c r="C24" s="507" t="s">
        <v>3101</v>
      </c>
      <c r="D24" s="61">
        <v>0</v>
      </c>
      <c r="E24" s="61">
        <v>43156113.630710065</v>
      </c>
      <c r="F24" s="61">
        <v>234686874.07832801</v>
      </c>
      <c r="G24" s="61">
        <v>1028686957.1475602</v>
      </c>
      <c r="H24" s="61">
        <v>895533192.51134264</v>
      </c>
      <c r="I24" s="61">
        <v>107480483.90742692</v>
      </c>
      <c r="J24" s="61">
        <v>617674738.80116999</v>
      </c>
      <c r="K24" s="61">
        <v>29225703.585833684</v>
      </c>
      <c r="L24" s="61">
        <v>32971234.734436341</v>
      </c>
      <c r="M24" s="61">
        <v>45611085.188594252</v>
      </c>
      <c r="N24" s="1134"/>
      <c r="O24" s="112"/>
      <c r="P24" s="112"/>
      <c r="Q24" s="112"/>
      <c r="R24" s="112"/>
    </row>
    <row r="25" spans="1:18" ht="13">
      <c r="A25" s="2">
        <f t="shared" si="10"/>
        <v>14</v>
      </c>
      <c r="B25" s="112"/>
      <c r="C25" s="559" t="s">
        <v>658</v>
      </c>
      <c r="D25" s="114">
        <f t="shared" ref="D25:M25" si="11">AVERAGE(D12:D24)</f>
        <v>0</v>
      </c>
      <c r="E25" s="114">
        <f t="shared" si="11"/>
        <v>41562309.636307955</v>
      </c>
      <c r="F25" s="114">
        <f t="shared" si="11"/>
        <v>224463431.79803997</v>
      </c>
      <c r="G25" s="114">
        <f t="shared" si="11"/>
        <v>996458591.6327945</v>
      </c>
      <c r="H25" s="114">
        <f t="shared" si="11"/>
        <v>864208393.15334582</v>
      </c>
      <c r="I25" s="114">
        <f t="shared" si="11"/>
        <v>166591322.71506059</v>
      </c>
      <c r="J25" s="114">
        <f t="shared" si="11"/>
        <v>604561149.9170785</v>
      </c>
      <c r="K25" s="114">
        <f t="shared" si="11"/>
        <v>27661566.003134187</v>
      </c>
      <c r="L25" s="114">
        <f t="shared" si="11"/>
        <v>31470901.735355616</v>
      </c>
      <c r="M25" s="114">
        <f t="shared" si="11"/>
        <v>42562570.847311541</v>
      </c>
      <c r="N25" s="1133"/>
      <c r="O25" s="112"/>
      <c r="P25" s="112"/>
      <c r="Q25" s="112"/>
      <c r="R25" s="112"/>
    </row>
    <row r="26" spans="1:18" ht="13">
      <c r="A26" s="2"/>
      <c r="B26" s="112"/>
      <c r="C26" s="559"/>
      <c r="D26" s="114"/>
      <c r="E26" s="114"/>
      <c r="F26" s="114"/>
      <c r="G26" s="114"/>
      <c r="H26" s="114"/>
      <c r="I26" s="114"/>
      <c r="J26" s="114"/>
      <c r="K26" s="114"/>
      <c r="L26" s="114"/>
      <c r="M26" s="114"/>
      <c r="O26" s="112"/>
      <c r="P26" s="112"/>
      <c r="Q26" s="112"/>
      <c r="R26" s="112"/>
    </row>
    <row r="27" spans="1:18">
      <c r="A27" s="112"/>
      <c r="B27" s="112"/>
      <c r="C27" s="232" t="s">
        <v>2995</v>
      </c>
      <c r="D27" s="112"/>
      <c r="E27" s="112"/>
      <c r="F27" s="112"/>
      <c r="G27" s="112"/>
      <c r="H27" s="112"/>
      <c r="I27" s="112"/>
      <c r="J27" s="112"/>
      <c r="K27" s="112"/>
      <c r="L27" s="112"/>
      <c r="M27" s="112"/>
      <c r="N27" s="112"/>
      <c r="O27" s="112"/>
      <c r="P27" s="112"/>
      <c r="Q27" s="112"/>
      <c r="R27" s="112"/>
    </row>
    <row r="28" spans="1:18" ht="13">
      <c r="A28" s="112"/>
      <c r="B28" s="112"/>
      <c r="C28" s="48" t="s">
        <v>345</v>
      </c>
      <c r="D28" s="48" t="s">
        <v>346</v>
      </c>
      <c r="E28" s="48" t="s">
        <v>347</v>
      </c>
      <c r="F28" s="48" t="s">
        <v>348</v>
      </c>
      <c r="G28" s="48" t="s">
        <v>349</v>
      </c>
      <c r="H28" s="48" t="s">
        <v>350</v>
      </c>
      <c r="I28" s="48" t="s">
        <v>351</v>
      </c>
      <c r="J28" s="48" t="s">
        <v>352</v>
      </c>
    </row>
    <row r="29" spans="1:18">
      <c r="A29" s="112"/>
      <c r="B29" s="112"/>
      <c r="D29" s="112"/>
      <c r="E29" s="112"/>
      <c r="F29" s="112"/>
      <c r="J29" s="570" t="s">
        <v>2998</v>
      </c>
    </row>
    <row r="30" spans="1:18">
      <c r="A30" s="112"/>
      <c r="B30" s="112"/>
      <c r="C30" s="125"/>
      <c r="D30" s="112"/>
      <c r="E30" s="112"/>
      <c r="F30" s="112"/>
      <c r="J30" s="1119"/>
    </row>
    <row r="31" spans="1:18" ht="13">
      <c r="A31" s="112"/>
      <c r="B31" s="112"/>
      <c r="C31" s="115"/>
      <c r="D31" s="1157" t="s">
        <v>247</v>
      </c>
      <c r="E31" s="112"/>
      <c r="F31" s="112"/>
      <c r="G31" s="112"/>
      <c r="J31" s="3" t="s">
        <v>369</v>
      </c>
      <c r="K31" s="233"/>
      <c r="L31" s="233"/>
    </row>
    <row r="32" spans="1:18" ht="13">
      <c r="A32" s="112"/>
      <c r="B32" s="112"/>
      <c r="C32" s="2"/>
      <c r="D32" s="1157" t="s">
        <v>789</v>
      </c>
      <c r="E32" s="112"/>
      <c r="F32" s="112"/>
      <c r="G32" s="112"/>
      <c r="J32" s="3" t="s">
        <v>790</v>
      </c>
      <c r="K32" s="233"/>
      <c r="L32" s="233"/>
    </row>
    <row r="33" spans="1:14" ht="12.75" customHeight="1">
      <c r="A33" s="30"/>
      <c r="B33" s="30"/>
      <c r="C33" s="3" t="s">
        <v>657</v>
      </c>
      <c r="D33" s="48">
        <v>351.1</v>
      </c>
      <c r="E33" s="48" t="s">
        <v>660</v>
      </c>
      <c r="F33" s="48" t="s">
        <v>661</v>
      </c>
      <c r="G33" s="48" t="s">
        <v>662</v>
      </c>
      <c r="H33" s="48" t="s">
        <v>663</v>
      </c>
      <c r="I33" s="48">
        <v>351.3</v>
      </c>
      <c r="J33" s="1152" t="s">
        <v>252</v>
      </c>
      <c r="K33" s="1071" t="s">
        <v>103</v>
      </c>
      <c r="L33" s="233"/>
    </row>
    <row r="34" spans="1:14" ht="12.75" customHeight="1">
      <c r="A34" s="2" t="s">
        <v>664</v>
      </c>
      <c r="B34" s="2"/>
      <c r="C34" s="507" t="s">
        <v>3089</v>
      </c>
      <c r="D34" s="1190">
        <v>12634859.764571257</v>
      </c>
      <c r="E34" s="253">
        <v>0</v>
      </c>
      <c r="F34" s="253">
        <v>0</v>
      </c>
      <c r="G34" s="253">
        <v>0</v>
      </c>
      <c r="H34" s="253">
        <v>0</v>
      </c>
      <c r="I34" s="1190">
        <v>62300524.619844496</v>
      </c>
      <c r="J34" s="235">
        <f t="shared" ref="J34:J46" si="12">SUM(D12:M12)+SUM(D34:I34)</f>
        <v>2932115464.000093</v>
      </c>
      <c r="K34" s="232" t="s">
        <v>791</v>
      </c>
      <c r="L34" s="233"/>
      <c r="M34" s="233"/>
      <c r="N34" s="28"/>
    </row>
    <row r="35" spans="1:14" ht="12.75" customHeight="1">
      <c r="A35" s="2" t="s">
        <v>665</v>
      </c>
      <c r="B35" s="2"/>
      <c r="C35" s="507" t="s">
        <v>3090</v>
      </c>
      <c r="D35" s="1153">
        <f>D54*'7-PlantStudy'!F$28</f>
        <v>11874816.807116557</v>
      </c>
      <c r="E35" s="235">
        <f>E54*'7-PlantStudy'!F$28</f>
        <v>0</v>
      </c>
      <c r="F35" s="235">
        <f>F54*'7-PlantStudy'!F$28</f>
        <v>0</v>
      </c>
      <c r="G35" s="235">
        <f>G54*'7-PlantStudy'!F$28</f>
        <v>0</v>
      </c>
      <c r="H35" s="235">
        <f>H54*'7-PlantStudy'!F$28</f>
        <v>0</v>
      </c>
      <c r="I35" s="1153">
        <f>I54*'7-PlantStudy'!F$28</f>
        <v>63524160.138999179</v>
      </c>
      <c r="J35" s="235">
        <f t="shared" si="12"/>
        <v>2816327281.8624182</v>
      </c>
      <c r="K35" s="232" t="s">
        <v>3038</v>
      </c>
      <c r="L35" s="233"/>
      <c r="M35" s="233"/>
      <c r="N35" s="28"/>
    </row>
    <row r="36" spans="1:14" ht="12.75" customHeight="1">
      <c r="A36" s="2" t="s">
        <v>666</v>
      </c>
      <c r="B36" s="2"/>
      <c r="C36" s="387" t="s">
        <v>3091</v>
      </c>
      <c r="D36" s="1153">
        <f>D55*'7-PlantStudy'!F$28</f>
        <v>12244636.746097373</v>
      </c>
      <c r="E36" s="235">
        <f>E55*'7-PlantStudy'!F$28</f>
        <v>0</v>
      </c>
      <c r="F36" s="235">
        <f>F55*'7-PlantStudy'!F$28</f>
        <v>0</v>
      </c>
      <c r="G36" s="235">
        <f>G55*'7-PlantStudy'!F$28</f>
        <v>0</v>
      </c>
      <c r="H36" s="235">
        <f>H55*'7-PlantStudy'!F$28</f>
        <v>0</v>
      </c>
      <c r="I36" s="1153">
        <f>I55*'7-PlantStudy'!F$28</f>
        <v>65502506.534400664</v>
      </c>
      <c r="J36" s="235">
        <f t="shared" si="12"/>
        <v>2683900203.5312409</v>
      </c>
      <c r="K36" s="232"/>
      <c r="L36" s="233"/>
      <c r="M36" s="233"/>
      <c r="N36" s="28"/>
    </row>
    <row r="37" spans="1:14" ht="12.75" customHeight="1">
      <c r="A37" s="2" t="s">
        <v>667</v>
      </c>
      <c r="B37" s="2"/>
      <c r="C37" s="507" t="s">
        <v>3092</v>
      </c>
      <c r="D37" s="1153">
        <f>D56*'7-PlantStudy'!F$28</f>
        <v>12424443.494862398</v>
      </c>
      <c r="E37" s="235">
        <f>E56*'7-PlantStudy'!F$28</f>
        <v>0</v>
      </c>
      <c r="F37" s="235">
        <f>F56*'7-PlantStudy'!F$28</f>
        <v>0</v>
      </c>
      <c r="G37" s="235">
        <f>G56*'7-PlantStudy'!F$28</f>
        <v>0</v>
      </c>
      <c r="H37" s="235">
        <f>H56*'7-PlantStudy'!F$28</f>
        <v>0</v>
      </c>
      <c r="I37" s="1153">
        <f>I56*'7-PlantStudy'!F$28</f>
        <v>65844641.875851542</v>
      </c>
      <c r="J37" s="235">
        <f t="shared" si="12"/>
        <v>2762170937.7111797</v>
      </c>
      <c r="K37" s="659"/>
      <c r="L37" s="28"/>
      <c r="M37" s="28"/>
      <c r="N37" s="28"/>
    </row>
    <row r="38" spans="1:14" ht="12.75" customHeight="1">
      <c r="A38" s="2" t="s">
        <v>668</v>
      </c>
      <c r="B38" s="2"/>
      <c r="C38" s="507" t="s">
        <v>3093</v>
      </c>
      <c r="D38" s="1153">
        <f>D57*'7-PlantStudy'!F$28</f>
        <v>12552208.212231185</v>
      </c>
      <c r="E38" s="235">
        <f>E57*'7-PlantStudy'!F$28</f>
        <v>0</v>
      </c>
      <c r="F38" s="235">
        <f>F57*'7-PlantStudy'!F$28</f>
        <v>0</v>
      </c>
      <c r="G38" s="235">
        <f>G57*'7-PlantStudy'!F$28</f>
        <v>0</v>
      </c>
      <c r="H38" s="235">
        <f>H57*'7-PlantStudy'!F$28</f>
        <v>0</v>
      </c>
      <c r="I38" s="1153">
        <f>I57*'7-PlantStudy'!F$28</f>
        <v>66709096.322120063</v>
      </c>
      <c r="J38" s="235">
        <f t="shared" si="12"/>
        <v>2975580614.9193625</v>
      </c>
      <c r="K38" s="659"/>
      <c r="L38" s="28"/>
      <c r="M38" s="28"/>
      <c r="N38" s="28"/>
    </row>
    <row r="39" spans="1:14" ht="12.75" customHeight="1">
      <c r="A39" s="2" t="s">
        <v>669</v>
      </c>
      <c r="B39" s="2"/>
      <c r="C39" s="507" t="s">
        <v>3094</v>
      </c>
      <c r="D39" s="1153">
        <f>D58*'7-PlantStudy'!F$28</f>
        <v>12680253.145144066</v>
      </c>
      <c r="E39" s="235">
        <f>E58*'7-PlantStudy'!F$28</f>
        <v>0</v>
      </c>
      <c r="F39" s="235">
        <f>F58*'7-PlantStudy'!F$28</f>
        <v>0</v>
      </c>
      <c r="G39" s="235">
        <f>G58*'7-PlantStudy'!F$28</f>
        <v>0</v>
      </c>
      <c r="H39" s="235">
        <f>H58*'7-PlantStudy'!F$28</f>
        <v>0</v>
      </c>
      <c r="I39" s="1153">
        <f>I58*'7-PlantStudy'!F$28</f>
        <v>67536681.389252439</v>
      </c>
      <c r="J39" s="235">
        <f t="shared" si="12"/>
        <v>3287131817.042902</v>
      </c>
      <c r="K39" s="659"/>
      <c r="L39" s="28"/>
      <c r="M39" s="28"/>
      <c r="N39" s="28"/>
    </row>
    <row r="40" spans="1:14" ht="12.75" customHeight="1">
      <c r="A40" s="2" t="s">
        <v>670</v>
      </c>
      <c r="B40" s="2"/>
      <c r="C40" s="507" t="s">
        <v>3095</v>
      </c>
      <c r="D40" s="1153">
        <f>D59*'7-PlantStudy'!F$28</f>
        <v>12808323.818806956</v>
      </c>
      <c r="E40" s="235">
        <f>E59*'7-PlantStudy'!F$28</f>
        <v>0</v>
      </c>
      <c r="F40" s="235">
        <f>F59*'7-PlantStudy'!F$28</f>
        <v>0</v>
      </c>
      <c r="G40" s="235">
        <f>G59*'7-PlantStudy'!F$28</f>
        <v>0</v>
      </c>
      <c r="H40" s="235">
        <f>H59*'7-PlantStudy'!F$28</f>
        <v>0</v>
      </c>
      <c r="I40" s="1153">
        <f>I59*'7-PlantStudy'!F$28</f>
        <v>68176065.520089924</v>
      </c>
      <c r="J40" s="235">
        <f>SUM(D18:M18)+SUM(D40:I40)</f>
        <v>3329484829.6998534</v>
      </c>
      <c r="K40" s="659"/>
      <c r="L40" s="28"/>
      <c r="M40" s="28"/>
      <c r="N40" s="28"/>
    </row>
    <row r="41" spans="1:14" ht="12.75" customHeight="1">
      <c r="A41" s="2" t="s">
        <v>671</v>
      </c>
      <c r="B41" s="2"/>
      <c r="C41" s="507" t="s">
        <v>3096</v>
      </c>
      <c r="D41" s="1153">
        <f>D60*'7-PlantStudy'!F$28</f>
        <v>12936252.781596053</v>
      </c>
      <c r="E41" s="235">
        <f>E60*'7-PlantStudy'!F$28</f>
        <v>0</v>
      </c>
      <c r="F41" s="235">
        <f>F60*'7-PlantStudy'!F$28</f>
        <v>0</v>
      </c>
      <c r="G41" s="235">
        <f>G60*'7-PlantStudy'!F$28</f>
        <v>0</v>
      </c>
      <c r="H41" s="235">
        <f>H60*'7-PlantStudy'!F$28</f>
        <v>0</v>
      </c>
      <c r="I41" s="1153">
        <f>I60*'7-PlantStudy'!F$28</f>
        <v>67906317.200988159</v>
      </c>
      <c r="J41" s="235">
        <f t="shared" si="12"/>
        <v>3206182484.4685149</v>
      </c>
      <c r="K41" s="659"/>
      <c r="L41" s="28"/>
      <c r="M41" s="28"/>
      <c r="N41" s="28"/>
    </row>
    <row r="42" spans="1:14" ht="12.75" customHeight="1">
      <c r="A42" s="2" t="s">
        <v>672</v>
      </c>
      <c r="B42" s="2"/>
      <c r="C42" s="507" t="s">
        <v>3097</v>
      </c>
      <c r="D42" s="1153">
        <f>D61*'7-PlantStudy'!F$28</f>
        <v>13050045.528358186</v>
      </c>
      <c r="E42" s="235">
        <f>E61*'7-PlantStudy'!F$28</f>
        <v>0</v>
      </c>
      <c r="F42" s="235">
        <f>F61*'7-PlantStudy'!F$28</f>
        <v>0</v>
      </c>
      <c r="G42" s="235">
        <f>G61*'7-PlantStudy'!F$28</f>
        <v>0</v>
      </c>
      <c r="H42" s="235">
        <f>H61*'7-PlantStudy'!F$28</f>
        <v>0</v>
      </c>
      <c r="I42" s="1153">
        <f>I61*'7-PlantStudy'!F$28</f>
        <v>67283253.426941603</v>
      </c>
      <c r="J42" s="235">
        <f t="shared" si="12"/>
        <v>3411574107.2224021</v>
      </c>
      <c r="K42" s="659"/>
      <c r="L42" s="28"/>
      <c r="M42" s="28"/>
      <c r="N42" s="28"/>
    </row>
    <row r="43" spans="1:14" ht="12.75" customHeight="1">
      <c r="A43" s="2" t="s">
        <v>673</v>
      </c>
      <c r="B43" s="2"/>
      <c r="C43" s="507" t="s">
        <v>3098</v>
      </c>
      <c r="D43" s="1153">
        <f>D62*'7-PlantStudy'!F$28</f>
        <v>13571096.437940726</v>
      </c>
      <c r="E43" s="235">
        <f>E62*'7-PlantStudy'!F$28</f>
        <v>0</v>
      </c>
      <c r="F43" s="235">
        <f>F62*'7-PlantStudy'!F$28</f>
        <v>0</v>
      </c>
      <c r="G43" s="235">
        <f>G62*'7-PlantStudy'!F$28</f>
        <v>0</v>
      </c>
      <c r="H43" s="235">
        <f>H62*'7-PlantStudy'!F$28</f>
        <v>0</v>
      </c>
      <c r="I43" s="1153">
        <f>I62*'7-PlantStudy'!F$28</f>
        <v>65532864.559128083</v>
      </c>
      <c r="J43" s="235">
        <f t="shared" si="12"/>
        <v>3265217904.7213373</v>
      </c>
      <c r="K43" s="659"/>
      <c r="L43" s="28"/>
      <c r="M43" s="28"/>
      <c r="N43" s="28"/>
    </row>
    <row r="44" spans="1:14" ht="12.75" customHeight="1">
      <c r="A44" s="2" t="s">
        <v>674</v>
      </c>
      <c r="B44" s="2"/>
      <c r="C44" s="507" t="s">
        <v>3099</v>
      </c>
      <c r="D44" s="1153">
        <f>D63*'7-PlantStudy'!F$28</f>
        <v>1349070.1649949865</v>
      </c>
      <c r="E44" s="235">
        <f>E63*'7-PlantStudy'!F$28</f>
        <v>0</v>
      </c>
      <c r="F44" s="235">
        <f>F63*'7-PlantStudy'!F$28</f>
        <v>0</v>
      </c>
      <c r="G44" s="235">
        <f>G63*'7-PlantStudy'!F$28</f>
        <v>0</v>
      </c>
      <c r="H44" s="235">
        <f>H63*'7-PlantStudy'!F$28</f>
        <v>0</v>
      </c>
      <c r="I44" s="1153">
        <f>I63*'7-PlantStudy'!F$28</f>
        <v>64594093.817080326</v>
      </c>
      <c r="J44" s="235">
        <f t="shared" si="12"/>
        <v>3094794497.9153957</v>
      </c>
      <c r="K44" s="659"/>
      <c r="L44" s="28"/>
      <c r="M44" s="28"/>
      <c r="N44" s="28"/>
    </row>
    <row r="45" spans="1:14" ht="12.75" customHeight="1">
      <c r="A45" s="2" t="s">
        <v>675</v>
      </c>
      <c r="B45" s="2"/>
      <c r="C45" s="507" t="s">
        <v>3100</v>
      </c>
      <c r="D45" s="1153">
        <f>D64*'7-PlantStudy'!F$28</f>
        <v>327467.46736143786</v>
      </c>
      <c r="E45" s="235">
        <f>E64*'7-PlantStudy'!F$28</f>
        <v>0</v>
      </c>
      <c r="F45" s="235">
        <f>F64*'7-PlantStudy'!F$28</f>
        <v>0</v>
      </c>
      <c r="G45" s="235">
        <f>G64*'7-PlantStudy'!F$28</f>
        <v>0</v>
      </c>
      <c r="H45" s="235">
        <f>H64*'7-PlantStudy'!F$28</f>
        <v>0</v>
      </c>
      <c r="I45" s="1153">
        <f>I64*'7-PlantStudy'!F$28</f>
        <v>64258529.640392214</v>
      </c>
      <c r="J45" s="235">
        <f t="shared" si="12"/>
        <v>3112138769.433639</v>
      </c>
      <c r="K45" s="659"/>
      <c r="L45" s="28"/>
      <c r="M45" s="28"/>
      <c r="N45" s="28"/>
    </row>
    <row r="46" spans="1:14" ht="13">
      <c r="A46" s="2" t="s">
        <v>676</v>
      </c>
      <c r="B46" s="2"/>
      <c r="C46" s="1191" t="s">
        <v>3101</v>
      </c>
      <c r="D46" s="1188">
        <f>D65*'7-PlantStudy'!F$28</f>
        <v>315427.02700928826</v>
      </c>
      <c r="E46" s="53">
        <f>E65*'7-PlantStudy'!F$28</f>
        <v>0</v>
      </c>
      <c r="F46" s="53">
        <f>F65*'7-PlantStudy'!F$28</f>
        <v>0</v>
      </c>
      <c r="G46" s="53">
        <f>G65*'7-PlantStudy'!F$28</f>
        <v>0</v>
      </c>
      <c r="H46" s="53">
        <f>H65*'7-PlantStudy'!F$28</f>
        <v>0</v>
      </c>
      <c r="I46" s="1188">
        <f>I65*'7-PlantStudy'!F$28</f>
        <v>58077645.358116694</v>
      </c>
      <c r="J46" s="53">
        <f t="shared" si="12"/>
        <v>3093419455.9705281</v>
      </c>
      <c r="K46" s="659"/>
      <c r="L46" s="28"/>
      <c r="M46" s="28"/>
      <c r="N46" s="28"/>
    </row>
    <row r="47" spans="1:14" ht="13">
      <c r="A47" s="2" t="s">
        <v>677</v>
      </c>
      <c r="B47" s="112"/>
      <c r="C47" s="559" t="s">
        <v>658</v>
      </c>
      <c r="D47" s="235">
        <f t="shared" ref="D47:H47" si="13">AVERAGE(D34:D46)</f>
        <v>9905300.1073915754</v>
      </c>
      <c r="E47" s="235">
        <f t="shared" si="13"/>
        <v>0</v>
      </c>
      <c r="F47" s="235">
        <f t="shared" si="13"/>
        <v>0</v>
      </c>
      <c r="G47" s="235">
        <f t="shared" si="13"/>
        <v>0</v>
      </c>
      <c r="H47" s="235">
        <f t="shared" si="13"/>
        <v>0</v>
      </c>
      <c r="I47" s="1153">
        <f>AVERAGE(I34:I46)</f>
        <v>65172798.492554262</v>
      </c>
      <c r="J47" s="235">
        <f>AVERAGE(J34:J46)</f>
        <v>3074618336.0383739</v>
      </c>
    </row>
    <row r="48" spans="1:14" ht="13">
      <c r="A48" s="1058"/>
      <c r="B48" s="112"/>
      <c r="C48" s="559"/>
      <c r="D48" s="235"/>
      <c r="E48" s="235"/>
      <c r="F48" s="235"/>
      <c r="G48" s="235"/>
      <c r="H48" s="235"/>
      <c r="I48" s="235"/>
      <c r="J48" s="235"/>
    </row>
    <row r="49" spans="1:10" ht="13">
      <c r="A49" s="1058"/>
      <c r="B49" s="112"/>
      <c r="C49" s="1158" t="s">
        <v>792</v>
      </c>
      <c r="D49" s="235"/>
      <c r="E49" s="235"/>
      <c r="F49" s="235"/>
      <c r="G49" s="235"/>
      <c r="H49" s="235"/>
      <c r="I49" s="235"/>
      <c r="J49" s="235"/>
    </row>
    <row r="50" spans="1:10" ht="13">
      <c r="A50" s="1058"/>
      <c r="B50" s="112"/>
      <c r="C50" s="48" t="s">
        <v>345</v>
      </c>
      <c r="D50" s="48" t="s">
        <v>346</v>
      </c>
      <c r="E50" s="48" t="s">
        <v>347</v>
      </c>
      <c r="F50" s="48" t="s">
        <v>348</v>
      </c>
      <c r="G50" s="48" t="s">
        <v>349</v>
      </c>
      <c r="H50" s="48" t="s">
        <v>350</v>
      </c>
      <c r="I50" s="48" t="s">
        <v>351</v>
      </c>
      <c r="J50" s="48" t="s">
        <v>352</v>
      </c>
    </row>
    <row r="51" spans="1:10" ht="13">
      <c r="A51" s="1058"/>
      <c r="B51" s="112"/>
      <c r="J51" s="114"/>
    </row>
    <row r="52" spans="1:10" ht="13">
      <c r="A52" s="1058"/>
      <c r="B52" s="112"/>
      <c r="C52" s="3" t="s">
        <v>657</v>
      </c>
      <c r="D52" s="3">
        <v>351.1</v>
      </c>
      <c r="E52" s="48" t="s">
        <v>660</v>
      </c>
      <c r="F52" s="48" t="s">
        <v>661</v>
      </c>
      <c r="G52" s="48" t="s">
        <v>662</v>
      </c>
      <c r="H52" s="48" t="s">
        <v>663</v>
      </c>
      <c r="I52" s="48">
        <v>351.3</v>
      </c>
      <c r="J52" s="182" t="s">
        <v>684</v>
      </c>
    </row>
    <row r="53" spans="1:10" ht="13">
      <c r="A53" s="2" t="s">
        <v>793</v>
      </c>
      <c r="B53" s="112"/>
      <c r="C53" s="507" t="s">
        <v>3089</v>
      </c>
      <c r="D53" s="1110">
        <v>20985962.568019185</v>
      </c>
      <c r="E53" s="1110">
        <v>0</v>
      </c>
      <c r="F53" s="1110">
        <v>0</v>
      </c>
      <c r="G53" s="1110">
        <v>0</v>
      </c>
      <c r="H53" s="1110">
        <v>0</v>
      </c>
      <c r="I53" s="1110">
        <v>103478511.19852772</v>
      </c>
      <c r="J53" s="1155" t="s">
        <v>794</v>
      </c>
    </row>
    <row r="54" spans="1:10" ht="13">
      <c r="A54" s="2" t="s">
        <v>795</v>
      </c>
      <c r="B54" s="112"/>
      <c r="C54" s="507" t="s">
        <v>3090</v>
      </c>
      <c r="D54" s="1110">
        <v>19723563.669065345</v>
      </c>
      <c r="E54" s="1110">
        <v>0</v>
      </c>
      <c r="F54" s="1110">
        <v>0</v>
      </c>
      <c r="G54" s="1110">
        <v>0</v>
      </c>
      <c r="H54" s="1110">
        <v>0</v>
      </c>
      <c r="I54" s="1110">
        <v>105510917.54734091</v>
      </c>
      <c r="J54" s="232" t="s">
        <v>796</v>
      </c>
    </row>
    <row r="55" spans="1:10" ht="13">
      <c r="A55" s="2" t="s">
        <v>797</v>
      </c>
      <c r="B55" s="112"/>
      <c r="C55" s="387" t="s">
        <v>3091</v>
      </c>
      <c r="D55" s="1110">
        <v>20337818.796622898</v>
      </c>
      <c r="E55" s="1110">
        <v>0</v>
      </c>
      <c r="F55" s="1110">
        <v>0</v>
      </c>
      <c r="G55" s="1110">
        <v>0</v>
      </c>
      <c r="H55" s="1110">
        <v>0</v>
      </c>
      <c r="I55" s="1110">
        <v>108796866.43589829</v>
      </c>
      <c r="J55" s="232" t="s">
        <v>2999</v>
      </c>
    </row>
    <row r="56" spans="1:10" ht="13">
      <c r="A56" s="2" t="s">
        <v>799</v>
      </c>
      <c r="B56" s="112"/>
      <c r="C56" s="507" t="s">
        <v>3092</v>
      </c>
      <c r="D56" s="1110">
        <v>20636470.12868128</v>
      </c>
      <c r="E56" s="1110">
        <v>0</v>
      </c>
      <c r="F56" s="1110">
        <v>0</v>
      </c>
      <c r="G56" s="1110">
        <v>0</v>
      </c>
      <c r="H56" s="1110">
        <v>0</v>
      </c>
      <c r="I56" s="1110">
        <v>109365138.62907434</v>
      </c>
      <c r="J56" s="267" t="s">
        <v>798</v>
      </c>
    </row>
    <row r="57" spans="1:10" ht="13">
      <c r="A57" s="2" t="s">
        <v>800</v>
      </c>
      <c r="B57" s="112"/>
      <c r="C57" s="507" t="s">
        <v>3093</v>
      </c>
      <c r="D57" s="1110">
        <v>20848681.868754037</v>
      </c>
      <c r="E57" s="1110">
        <v>0</v>
      </c>
      <c r="F57" s="1110">
        <v>0</v>
      </c>
      <c r="G57" s="1110">
        <v>0</v>
      </c>
      <c r="H57" s="1110">
        <v>0</v>
      </c>
      <c r="I57" s="1110">
        <v>110800960.55263998</v>
      </c>
      <c r="J57" s="1117"/>
    </row>
    <row r="58" spans="1:10" ht="13">
      <c r="A58" s="2" t="s">
        <v>801</v>
      </c>
      <c r="B58" s="112"/>
      <c r="C58" s="507" t="s">
        <v>3094</v>
      </c>
      <c r="D58" s="1110">
        <v>21061359.034880497</v>
      </c>
      <c r="E58" s="1110">
        <v>0</v>
      </c>
      <c r="F58" s="1110">
        <v>0</v>
      </c>
      <c r="G58" s="1110">
        <v>0</v>
      </c>
      <c r="H58" s="1110">
        <v>0</v>
      </c>
      <c r="I58" s="1110">
        <v>112175544.01176086</v>
      </c>
      <c r="J58" s="1122"/>
    </row>
    <row r="59" spans="1:10" ht="13">
      <c r="A59" s="2" t="s">
        <v>802</v>
      </c>
      <c r="B59" s="112"/>
      <c r="C59" s="507" t="s">
        <v>3095</v>
      </c>
      <c r="D59" s="1110">
        <v>21274078.955293607</v>
      </c>
      <c r="E59" s="1110">
        <v>0</v>
      </c>
      <c r="F59" s="1110">
        <v>0</v>
      </c>
      <c r="G59" s="1110">
        <v>0</v>
      </c>
      <c r="H59" s="1110">
        <v>0</v>
      </c>
      <c r="I59" s="1110">
        <v>113237533.75176305</v>
      </c>
      <c r="J59" s="1123"/>
    </row>
    <row r="60" spans="1:10" ht="13">
      <c r="A60" s="2" t="s">
        <v>803</v>
      </c>
      <c r="B60" s="112"/>
      <c r="C60" s="507" t="s">
        <v>3096</v>
      </c>
      <c r="D60" s="1110">
        <v>21486563.499996316</v>
      </c>
      <c r="E60" s="1110">
        <v>0</v>
      </c>
      <c r="F60" s="1110">
        <v>0</v>
      </c>
      <c r="G60" s="1110">
        <v>0</v>
      </c>
      <c r="H60" s="1110">
        <v>0</v>
      </c>
      <c r="I60" s="1110">
        <v>112789493.31182644</v>
      </c>
      <c r="J60" s="1122"/>
    </row>
    <row r="61" spans="1:10" ht="13">
      <c r="A61" s="2" t="s">
        <v>804</v>
      </c>
      <c r="B61" s="112"/>
      <c r="C61" s="507" t="s">
        <v>3097</v>
      </c>
      <c r="D61" s="1110">
        <v>21675568.393486183</v>
      </c>
      <c r="E61" s="1110">
        <v>0</v>
      </c>
      <c r="F61" s="1110">
        <v>0</v>
      </c>
      <c r="G61" s="1110">
        <v>0</v>
      </c>
      <c r="H61" s="1110">
        <v>0</v>
      </c>
      <c r="I61" s="1110">
        <v>111754610.98758456</v>
      </c>
      <c r="J61" s="1122"/>
    </row>
    <row r="62" spans="1:10" ht="13">
      <c r="A62" s="2" t="s">
        <v>805</v>
      </c>
      <c r="B62" s="112"/>
      <c r="C62" s="507" t="s">
        <v>3098</v>
      </c>
      <c r="D62" s="1110">
        <v>22541011.705741465</v>
      </c>
      <c r="E62" s="1110">
        <v>0</v>
      </c>
      <c r="F62" s="1110">
        <v>0</v>
      </c>
      <c r="G62" s="1110">
        <v>0</v>
      </c>
      <c r="H62" s="1110">
        <v>0</v>
      </c>
      <c r="I62" s="1110">
        <v>108847289.81870109</v>
      </c>
      <c r="J62" s="1122"/>
    </row>
    <row r="63" spans="1:10" ht="13">
      <c r="A63" s="2" t="s">
        <v>806</v>
      </c>
      <c r="B63" s="112"/>
      <c r="C63" s="507" t="s">
        <v>3099</v>
      </c>
      <c r="D63" s="1110">
        <v>2240747.9395697871</v>
      </c>
      <c r="E63" s="1110">
        <v>0</v>
      </c>
      <c r="F63" s="1110">
        <v>0</v>
      </c>
      <c r="G63" s="1110">
        <v>0</v>
      </c>
      <c r="H63" s="1110">
        <v>0</v>
      </c>
      <c r="I63" s="1110">
        <v>107288031.70110738</v>
      </c>
      <c r="J63" s="1122"/>
    </row>
    <row r="64" spans="1:10" ht="13">
      <c r="A64" s="2" t="s">
        <v>807</v>
      </c>
      <c r="B64" s="112"/>
      <c r="C64" s="507" t="s">
        <v>3100</v>
      </c>
      <c r="D64" s="1110">
        <v>543909.48062290391</v>
      </c>
      <c r="E64" s="1110">
        <v>0</v>
      </c>
      <c r="F64" s="1110">
        <v>0</v>
      </c>
      <c r="G64" s="1110">
        <v>0</v>
      </c>
      <c r="H64" s="1110">
        <v>0</v>
      </c>
      <c r="I64" s="1110">
        <v>106730673.93201751</v>
      </c>
      <c r="J64" s="1122"/>
    </row>
    <row r="65" spans="1:18" ht="13">
      <c r="A65" s="2" t="s">
        <v>808</v>
      </c>
      <c r="B65" s="112"/>
      <c r="C65" s="507" t="s">
        <v>3101</v>
      </c>
      <c r="D65" s="1110">
        <v>523910.82331756473</v>
      </c>
      <c r="E65" s="1110">
        <v>0</v>
      </c>
      <c r="F65" s="1110">
        <v>0</v>
      </c>
      <c r="G65" s="1110">
        <v>0</v>
      </c>
      <c r="H65" s="1110">
        <v>0</v>
      </c>
      <c r="I65" s="1110">
        <v>96464489.059209481</v>
      </c>
    </row>
    <row r="66" spans="1:18" ht="13">
      <c r="A66" s="1058"/>
      <c r="B66" s="112"/>
      <c r="C66" s="559"/>
      <c r="D66" s="114"/>
      <c r="E66" s="114"/>
      <c r="F66" s="114"/>
      <c r="G66" s="114"/>
      <c r="H66" s="114"/>
      <c r="I66" s="114"/>
    </row>
    <row r="67" spans="1:18" ht="13">
      <c r="A67" s="112"/>
      <c r="B67" s="197" t="s">
        <v>809</v>
      </c>
      <c r="C67" s="112"/>
      <c r="D67" s="112"/>
      <c r="E67" s="112"/>
      <c r="F67" s="112"/>
      <c r="G67" s="112"/>
      <c r="H67" s="112"/>
      <c r="I67" s="112"/>
      <c r="J67" s="1021"/>
      <c r="K67" s="112"/>
      <c r="L67" s="112"/>
      <c r="M67" s="112"/>
      <c r="O67" s="112"/>
      <c r="P67" s="112"/>
      <c r="Q67" s="112"/>
      <c r="R67" s="112"/>
    </row>
    <row r="68" spans="1:18" ht="13">
      <c r="A68" s="112"/>
      <c r="B68" s="197"/>
      <c r="C68" s="112"/>
      <c r="D68" s="112"/>
      <c r="E68" s="112"/>
      <c r="F68" s="112"/>
      <c r="G68" s="112"/>
      <c r="H68" s="112"/>
      <c r="I68" s="112"/>
      <c r="J68" s="112"/>
      <c r="K68" s="112"/>
      <c r="L68" s="112"/>
      <c r="M68" s="112"/>
      <c r="N68" s="112"/>
      <c r="O68" s="112"/>
      <c r="P68" s="112"/>
      <c r="Q68" s="112"/>
      <c r="R68" s="112"/>
    </row>
    <row r="69" spans="1:18" ht="13">
      <c r="A69" s="112"/>
      <c r="B69" s="112"/>
      <c r="C69" s="48" t="s">
        <v>345</v>
      </c>
      <c r="D69" s="48" t="s">
        <v>346</v>
      </c>
      <c r="E69" s="48" t="s">
        <v>347</v>
      </c>
      <c r="F69" s="48" t="s">
        <v>348</v>
      </c>
      <c r="G69" s="48" t="s">
        <v>349</v>
      </c>
      <c r="H69" s="112"/>
      <c r="I69" s="112"/>
      <c r="J69" s="112"/>
      <c r="K69" s="112"/>
      <c r="L69" s="112"/>
      <c r="M69" s="112"/>
      <c r="N69" s="112"/>
      <c r="O69" s="112"/>
      <c r="P69" s="112"/>
      <c r="Q69" s="112"/>
      <c r="R69" s="112"/>
    </row>
    <row r="70" spans="1:18" ht="13">
      <c r="A70" s="112"/>
      <c r="B70" s="112"/>
      <c r="C70" s="112"/>
      <c r="D70" s="243" t="s">
        <v>247</v>
      </c>
      <c r="E70" s="112"/>
      <c r="F70" s="112"/>
      <c r="G70" s="229" t="s">
        <v>810</v>
      </c>
      <c r="H70" s="112"/>
      <c r="I70" s="112"/>
      <c r="J70" s="112"/>
      <c r="K70" s="112"/>
      <c r="L70" s="112"/>
      <c r="M70" s="112"/>
      <c r="N70" s="112"/>
      <c r="O70" s="200"/>
      <c r="P70" s="112"/>
      <c r="Q70" s="112"/>
      <c r="R70" s="112"/>
    </row>
    <row r="71" spans="1:18">
      <c r="A71" s="112"/>
      <c r="B71" s="112"/>
      <c r="C71" s="112"/>
      <c r="D71" s="243" t="s">
        <v>789</v>
      </c>
      <c r="E71" s="112"/>
      <c r="F71" s="112"/>
      <c r="G71" s="112"/>
      <c r="H71" s="112"/>
      <c r="I71" s="112"/>
      <c r="J71" s="112"/>
      <c r="K71" s="112"/>
      <c r="L71" s="112"/>
      <c r="M71" s="112"/>
      <c r="N71" s="112"/>
      <c r="O71" s="123"/>
      <c r="P71" s="112"/>
      <c r="Q71" s="112"/>
      <c r="R71" s="112"/>
    </row>
    <row r="72" spans="1:18" ht="13">
      <c r="A72" s="112"/>
      <c r="B72" s="112"/>
      <c r="C72" s="3" t="s">
        <v>657</v>
      </c>
      <c r="D72" s="48">
        <v>360</v>
      </c>
      <c r="E72" s="48">
        <v>361</v>
      </c>
      <c r="F72" s="48">
        <v>362</v>
      </c>
      <c r="G72" s="3" t="s">
        <v>252</v>
      </c>
      <c r="H72" s="486" t="s">
        <v>103</v>
      </c>
      <c r="I72" s="112"/>
      <c r="J72" s="112"/>
      <c r="K72" s="112"/>
      <c r="L72" s="112"/>
      <c r="M72" s="112"/>
      <c r="N72" s="112"/>
      <c r="O72" s="123"/>
      <c r="P72" s="112"/>
      <c r="Q72" s="112"/>
      <c r="R72" s="112"/>
    </row>
    <row r="73" spans="1:18" ht="13">
      <c r="A73" s="2">
        <f>A25+1</f>
        <v>15</v>
      </c>
      <c r="C73" s="507" t="s">
        <v>3089</v>
      </c>
      <c r="D73" s="253">
        <v>0</v>
      </c>
      <c r="E73" s="253">
        <v>0</v>
      </c>
      <c r="F73" s="253">
        <v>0</v>
      </c>
      <c r="G73" s="114">
        <f>SUM(D73:F73)</f>
        <v>0</v>
      </c>
      <c r="H73" s="232" t="s">
        <v>811</v>
      </c>
      <c r="I73" s="112"/>
      <c r="J73" s="112"/>
      <c r="K73" s="112"/>
      <c r="L73" s="112"/>
      <c r="M73" s="112"/>
      <c r="N73" s="112"/>
      <c r="O73" s="123"/>
      <c r="P73" s="112"/>
      <c r="Q73" s="112"/>
      <c r="R73" s="112"/>
    </row>
    <row r="74" spans="1:18" ht="13">
      <c r="A74" s="2">
        <v>16</v>
      </c>
      <c r="C74" s="1191" t="s">
        <v>3101</v>
      </c>
      <c r="D74" s="61">
        <v>0</v>
      </c>
      <c r="E74" s="61">
        <v>0</v>
      </c>
      <c r="F74" s="61">
        <v>0</v>
      </c>
      <c r="G74" s="183">
        <f>SUM(D74:F74)</f>
        <v>0</v>
      </c>
      <c r="H74" s="232" t="s">
        <v>812</v>
      </c>
      <c r="I74" s="112"/>
      <c r="J74" s="112"/>
      <c r="K74" s="112"/>
      <c r="L74" s="112"/>
      <c r="N74" s="112"/>
      <c r="O74" s="123"/>
      <c r="P74" s="112"/>
      <c r="Q74" s="112"/>
      <c r="R74" s="112"/>
    </row>
    <row r="75" spans="1:18" ht="13">
      <c r="A75" s="2">
        <f>A74+1</f>
        <v>17</v>
      </c>
      <c r="B75" s="38"/>
      <c r="C75" s="113" t="s">
        <v>813</v>
      </c>
      <c r="D75" s="114">
        <f>AVERAGE(D73:D74)</f>
        <v>0</v>
      </c>
      <c r="E75" s="114">
        <f>AVERAGE(E73:E74)</f>
        <v>0</v>
      </c>
      <c r="F75" s="114">
        <f>AVERAGE(F73:F74)</f>
        <v>0</v>
      </c>
      <c r="G75" s="114">
        <f>AVERAGE(G73:G74)</f>
        <v>0</v>
      </c>
      <c r="H75" s="123" t="str">
        <f>"Average of Line "&amp;A73&amp;" and Line "&amp;A74&amp;""</f>
        <v>Average of Line 15 and Line 16</v>
      </c>
      <c r="I75" s="112"/>
      <c r="J75" s="112"/>
      <c r="K75" s="112"/>
      <c r="M75" s="329"/>
      <c r="O75" s="123"/>
      <c r="P75" s="112"/>
      <c r="Q75" s="112"/>
      <c r="R75" s="112"/>
    </row>
    <row r="76" spans="1:18">
      <c r="C76" s="113"/>
      <c r="I76" s="112"/>
      <c r="J76" s="112"/>
      <c r="K76" s="112"/>
      <c r="M76" s="303"/>
      <c r="N76" s="303"/>
      <c r="O76" s="123"/>
      <c r="P76" s="112"/>
      <c r="Q76" s="112"/>
      <c r="R76" s="112"/>
    </row>
    <row r="77" spans="1:18" ht="13">
      <c r="B77" s="197" t="s">
        <v>814</v>
      </c>
      <c r="I77" s="112"/>
      <c r="J77" s="112"/>
      <c r="K77" s="112"/>
      <c r="L77" s="112"/>
      <c r="M77" s="329"/>
      <c r="N77" s="565"/>
      <c r="O77" s="123"/>
      <c r="P77" s="112"/>
      <c r="Q77" s="112"/>
      <c r="R77" s="112"/>
    </row>
    <row r="78" spans="1:18" ht="14.5">
      <c r="B78" s="186"/>
      <c r="C78" s="48" t="s">
        <v>345</v>
      </c>
      <c r="D78" s="48" t="s">
        <v>346</v>
      </c>
      <c r="E78" s="48" t="s">
        <v>347</v>
      </c>
      <c r="F78" s="48" t="s">
        <v>348</v>
      </c>
      <c r="G78" s="48" t="s">
        <v>349</v>
      </c>
      <c r="J78" s="112"/>
      <c r="K78" s="115"/>
      <c r="L78" s="112"/>
      <c r="N78" s="565"/>
      <c r="O78" s="112"/>
      <c r="P78" s="112"/>
      <c r="Q78" s="112"/>
      <c r="R78" s="112"/>
    </row>
    <row r="79" spans="1:18" ht="14.5">
      <c r="B79" s="186"/>
      <c r="C79" s="48"/>
      <c r="D79" s="48"/>
      <c r="E79" s="239" t="s">
        <v>815</v>
      </c>
      <c r="F79" s="48"/>
      <c r="G79" s="48"/>
      <c r="J79" s="112"/>
      <c r="K79" s="115"/>
      <c r="L79" s="112"/>
      <c r="O79" s="112"/>
      <c r="P79" s="112"/>
      <c r="Q79" s="112"/>
      <c r="R79" s="112"/>
    </row>
    <row r="80" spans="1:18" ht="13">
      <c r="E80" s="115" t="s">
        <v>252</v>
      </c>
      <c r="J80" s="112"/>
      <c r="K80" s="115"/>
      <c r="L80" s="112"/>
      <c r="O80" s="112"/>
      <c r="P80" s="112"/>
      <c r="Q80" s="112"/>
      <c r="R80" s="112"/>
    </row>
    <row r="81" spans="1:18" ht="13">
      <c r="B81" s="112"/>
      <c r="D81" s="112"/>
      <c r="E81" s="115" t="s">
        <v>816</v>
      </c>
      <c r="F81" s="2" t="s">
        <v>689</v>
      </c>
      <c r="G81" s="2" t="s">
        <v>690</v>
      </c>
      <c r="J81" s="112"/>
      <c r="K81" s="115"/>
      <c r="L81" s="112"/>
      <c r="O81" s="112"/>
      <c r="P81" s="112"/>
      <c r="Q81" s="112"/>
      <c r="R81" s="112"/>
    </row>
    <row r="82" spans="1:18" ht="13">
      <c r="B82" s="112"/>
      <c r="D82" s="112"/>
      <c r="E82" s="115" t="s">
        <v>817</v>
      </c>
      <c r="F82" s="115" t="s">
        <v>817</v>
      </c>
      <c r="G82" s="115" t="s">
        <v>817</v>
      </c>
      <c r="H82" s="233"/>
      <c r="J82" s="112"/>
      <c r="K82" s="115"/>
      <c r="L82" s="112"/>
      <c r="Q82" s="112"/>
      <c r="R82" s="112"/>
    </row>
    <row r="83" spans="1:18" ht="13">
      <c r="B83" s="112"/>
      <c r="C83" s="3" t="s">
        <v>657</v>
      </c>
      <c r="D83" s="112"/>
      <c r="E83" s="184" t="s">
        <v>818</v>
      </c>
      <c r="F83" s="184" t="s">
        <v>818</v>
      </c>
      <c r="G83" s="184" t="s">
        <v>818</v>
      </c>
      <c r="H83" s="200" t="s">
        <v>684</v>
      </c>
      <c r="J83" s="112"/>
      <c r="K83" s="184"/>
      <c r="L83" s="112"/>
      <c r="O83" s="112"/>
      <c r="P83" s="112"/>
      <c r="Q83" s="112"/>
      <c r="R83" s="112"/>
    </row>
    <row r="84" spans="1:18" ht="13">
      <c r="A84" s="2">
        <f>A75+1</f>
        <v>18</v>
      </c>
      <c r="B84" s="112"/>
      <c r="C84" s="507" t="s">
        <v>3089</v>
      </c>
      <c r="D84" s="311" t="s">
        <v>819</v>
      </c>
      <c r="E84" s="114">
        <f>SUM(F84:G84)</f>
        <v>2343785530.4260836</v>
      </c>
      <c r="F84" s="1108">
        <v>2242014023.3860836</v>
      </c>
      <c r="G84" s="1108">
        <v>101771507.03999996</v>
      </c>
      <c r="H84" s="232" t="s">
        <v>3102</v>
      </c>
      <c r="J84" s="112"/>
      <c r="L84" s="112"/>
      <c r="O84" s="112"/>
      <c r="P84" s="112"/>
      <c r="Q84" s="112"/>
      <c r="R84" s="112"/>
    </row>
    <row r="85" spans="1:18" ht="13">
      <c r="A85" s="2">
        <f>A84+1</f>
        <v>19</v>
      </c>
      <c r="B85" s="112"/>
      <c r="C85" s="507" t="s">
        <v>3101</v>
      </c>
      <c r="D85" s="113" t="s">
        <v>820</v>
      </c>
      <c r="E85" s="183">
        <f>SUM(F85:G85)</f>
        <v>2621685188</v>
      </c>
      <c r="F85" s="1171">
        <v>2512301657</v>
      </c>
      <c r="G85" s="1108">
        <v>109383531</v>
      </c>
      <c r="H85" s="232" t="s">
        <v>821</v>
      </c>
      <c r="J85" s="112"/>
      <c r="K85" s="573"/>
      <c r="L85" s="112"/>
      <c r="O85" s="112"/>
      <c r="P85" s="112"/>
      <c r="Q85" s="112"/>
      <c r="R85" s="112"/>
    </row>
    <row r="86" spans="1:18" ht="13">
      <c r="A86" s="2">
        <f>A85+1</f>
        <v>20</v>
      </c>
      <c r="B86" s="112"/>
      <c r="D86" s="113" t="s">
        <v>813</v>
      </c>
      <c r="E86" s="114">
        <f>AVERAGE(E84:E85)</f>
        <v>2482735359.2130418</v>
      </c>
      <c r="H86" s="123" t="str">
        <f>"Average of Line "&amp;A84&amp;" and Line "&amp;A85&amp;""</f>
        <v>Average of Line 18 and Line 19</v>
      </c>
      <c r="J86" s="112"/>
      <c r="K86" s="573"/>
      <c r="L86" s="112"/>
      <c r="O86" s="112"/>
      <c r="P86" s="112"/>
      <c r="Q86" s="112"/>
      <c r="R86" s="112"/>
    </row>
    <row r="87" spans="1:18">
      <c r="I87" s="112"/>
      <c r="J87" s="112"/>
      <c r="K87" s="112"/>
      <c r="L87" s="112"/>
      <c r="O87" s="112"/>
      <c r="P87" s="112"/>
      <c r="Q87" s="112"/>
      <c r="R87" s="112"/>
    </row>
    <row r="88" spans="1:18" ht="13">
      <c r="B88" s="1" t="s">
        <v>822</v>
      </c>
      <c r="C88" s="334"/>
      <c r="D88" s="303"/>
      <c r="E88" s="112"/>
      <c r="F88" s="112"/>
      <c r="G88" s="112"/>
      <c r="H88" s="112"/>
      <c r="I88" s="112"/>
      <c r="J88" s="112"/>
      <c r="K88" s="112"/>
      <c r="L88" s="112"/>
      <c r="M88" s="112"/>
      <c r="O88" s="112"/>
      <c r="P88" s="112"/>
      <c r="Q88" s="112"/>
      <c r="R88" s="112"/>
    </row>
    <row r="89" spans="1:18" ht="13">
      <c r="B89" s="1"/>
      <c r="C89" s="334"/>
      <c r="D89" s="303"/>
      <c r="E89" s="112"/>
      <c r="F89" s="112"/>
      <c r="G89" s="112"/>
      <c r="H89" s="112"/>
      <c r="I89" s="112"/>
      <c r="J89" s="112"/>
      <c r="K89" s="112"/>
      <c r="L89" s="112"/>
      <c r="M89" s="112"/>
      <c r="N89" s="112"/>
      <c r="O89" s="112"/>
      <c r="P89" s="112"/>
      <c r="Q89" s="112"/>
      <c r="R89" s="112"/>
    </row>
    <row r="90" spans="1:18" ht="13">
      <c r="B90" s="112"/>
      <c r="C90" s="1"/>
      <c r="D90" s="334"/>
      <c r="E90" s="303"/>
      <c r="F90" s="184" t="s">
        <v>81</v>
      </c>
      <c r="G90" s="200" t="s">
        <v>684</v>
      </c>
      <c r="H90" s="112"/>
      <c r="I90" s="112"/>
      <c r="J90" s="112"/>
      <c r="K90" s="112"/>
      <c r="L90" s="112"/>
      <c r="M90" s="112"/>
      <c r="N90" s="112"/>
      <c r="O90" s="112"/>
      <c r="P90" s="112"/>
      <c r="Q90" s="112"/>
      <c r="R90" s="112"/>
    </row>
    <row r="91" spans="1:18" ht="13">
      <c r="A91" s="2">
        <f>A86+1</f>
        <v>21</v>
      </c>
      <c r="B91" s="112"/>
      <c r="C91" s="334"/>
      <c r="D91" s="334"/>
      <c r="E91" s="311" t="s">
        <v>823</v>
      </c>
      <c r="F91" s="560">
        <f>E86</f>
        <v>2482735359.2130418</v>
      </c>
      <c r="G91" s="123" t="str">
        <f>"Line "&amp;A86&amp;""</f>
        <v>Line 20</v>
      </c>
      <c r="H91" s="112"/>
      <c r="I91" s="112"/>
      <c r="J91" s="112"/>
      <c r="K91" s="112"/>
      <c r="L91" s="112"/>
      <c r="M91" s="112"/>
      <c r="N91" s="112"/>
      <c r="O91" s="112"/>
      <c r="P91" s="112"/>
      <c r="Q91" s="112"/>
      <c r="R91" s="112"/>
    </row>
    <row r="92" spans="1:18" ht="13">
      <c r="A92" s="2">
        <f>A91+1</f>
        <v>22</v>
      </c>
      <c r="B92" s="112"/>
      <c r="C92" s="334"/>
      <c r="D92" s="334"/>
      <c r="E92" s="311" t="s">
        <v>700</v>
      </c>
      <c r="F92" s="568">
        <f>'27-Allocators'!G15</f>
        <v>6.4531762547854879E-2</v>
      </c>
      <c r="G92" s="123" t="str">
        <f>"27-Allocators, Line "&amp;'27-Allocators'!A15&amp;""</f>
        <v>27-Allocators, Line 9</v>
      </c>
      <c r="H92" s="112"/>
      <c r="I92" s="112"/>
      <c r="J92" s="112"/>
      <c r="K92" s="112"/>
      <c r="L92" s="112"/>
      <c r="M92" s="112"/>
      <c r="N92" s="112"/>
      <c r="O92" s="112"/>
      <c r="P92" s="112"/>
      <c r="Q92" s="112"/>
      <c r="R92" s="112"/>
    </row>
    <row r="93" spans="1:18" ht="13">
      <c r="A93" s="2">
        <f>A92+1</f>
        <v>23</v>
      </c>
      <c r="B93" s="112"/>
      <c r="C93" s="334"/>
      <c r="D93" s="334"/>
      <c r="E93" s="311" t="s">
        <v>824</v>
      </c>
      <c r="F93" s="560">
        <f>F91*F92</f>
        <v>160215288.6698992</v>
      </c>
      <c r="G93" s="123" t="str">
        <f>"Line "&amp;A91&amp;" * Line "&amp;A92&amp;""</f>
        <v>Line 21 * Line 22</v>
      </c>
      <c r="H93" s="112"/>
      <c r="I93" s="112"/>
      <c r="J93" s="112"/>
      <c r="K93" s="112"/>
      <c r="L93" s="112"/>
      <c r="M93" s="112"/>
      <c r="N93" s="112"/>
      <c r="O93" s="112"/>
      <c r="P93" s="112"/>
      <c r="Q93" s="112"/>
      <c r="R93" s="112"/>
    </row>
    <row r="94" spans="1:18" ht="13">
      <c r="B94" s="334"/>
      <c r="C94" s="334"/>
      <c r="D94" s="311"/>
      <c r="E94" s="560"/>
      <c r="F94" s="112"/>
      <c r="G94" s="112"/>
      <c r="H94" s="112"/>
      <c r="I94" s="112"/>
      <c r="J94" s="112"/>
      <c r="K94" s="112"/>
      <c r="L94" s="112"/>
      <c r="M94" s="112"/>
      <c r="O94" s="112"/>
      <c r="P94" s="112"/>
      <c r="Q94" s="112"/>
      <c r="R94" s="112"/>
    </row>
    <row r="95" spans="1:18" ht="13">
      <c r="B95" s="1" t="s">
        <v>825</v>
      </c>
      <c r="C95" s="334"/>
      <c r="D95" s="303"/>
      <c r="E95" s="112"/>
      <c r="F95" s="112"/>
      <c r="G95" s="112"/>
      <c r="H95" s="112"/>
      <c r="I95" s="112"/>
      <c r="J95" s="112"/>
      <c r="K95" s="112"/>
      <c r="L95" s="112"/>
      <c r="M95" s="112"/>
      <c r="O95" s="112"/>
      <c r="P95" s="112"/>
      <c r="Q95" s="112"/>
      <c r="R95" s="112"/>
    </row>
    <row r="96" spans="1:18" ht="13">
      <c r="B96" s="112"/>
      <c r="C96" s="112"/>
      <c r="D96" s="112"/>
      <c r="E96" s="112"/>
      <c r="F96" s="112"/>
      <c r="G96" s="112"/>
      <c r="H96" s="112"/>
      <c r="I96" s="112"/>
      <c r="J96" s="112"/>
      <c r="K96" s="112"/>
      <c r="L96" s="112"/>
      <c r="M96" s="112"/>
      <c r="O96" s="303"/>
      <c r="P96" s="554"/>
      <c r="Q96" s="112"/>
      <c r="R96" s="112"/>
    </row>
    <row r="97" spans="1:18" ht="13">
      <c r="B97" s="112"/>
      <c r="C97" s="112"/>
      <c r="D97" s="112"/>
      <c r="E97" s="112"/>
      <c r="F97" s="184" t="s">
        <v>81</v>
      </c>
      <c r="G97" s="200" t="s">
        <v>684</v>
      </c>
      <c r="H97" s="112"/>
      <c r="I97" s="112"/>
      <c r="J97" s="112"/>
      <c r="K97" s="112"/>
      <c r="L97" s="112"/>
      <c r="M97" s="112"/>
      <c r="O97" s="310"/>
      <c r="P97" s="310"/>
      <c r="Q97" s="112"/>
      <c r="R97" s="112"/>
    </row>
    <row r="98" spans="1:18" ht="13">
      <c r="A98" s="2">
        <f>A93+1</f>
        <v>24</v>
      </c>
      <c r="B98" s="334"/>
      <c r="C98" s="334"/>
      <c r="E98" s="311" t="s">
        <v>826</v>
      </c>
      <c r="F98" s="560">
        <f>E85</f>
        <v>2621685188</v>
      </c>
      <c r="G98" s="123" t="str">
        <f>"Line "&amp;A85&amp;""</f>
        <v>Line 19</v>
      </c>
      <c r="H98" s="112"/>
      <c r="I98" s="112"/>
      <c r="J98" s="112"/>
      <c r="K98" s="112"/>
      <c r="L98" s="112"/>
      <c r="M98" s="112"/>
      <c r="O98" s="574"/>
      <c r="P98" s="328"/>
      <c r="Q98" s="112"/>
      <c r="R98" s="112"/>
    </row>
    <row r="99" spans="1:18" ht="13">
      <c r="A99" s="2">
        <f>A98+1</f>
        <v>25</v>
      </c>
      <c r="B99" s="334"/>
      <c r="C99" s="334"/>
      <c r="E99" s="311" t="s">
        <v>700</v>
      </c>
      <c r="F99" s="568">
        <f>'27-Allocators'!G15</f>
        <v>6.4531762547854879E-2</v>
      </c>
      <c r="G99" s="123" t="str">
        <f>"27-Allocators, Line "&amp;'27-Allocators'!A15&amp;""</f>
        <v>27-Allocators, Line 9</v>
      </c>
      <c r="H99" s="112"/>
      <c r="I99" s="112"/>
      <c r="J99" s="112"/>
      <c r="K99" s="112"/>
      <c r="L99" s="112"/>
      <c r="M99" s="112"/>
      <c r="O99" s="574"/>
      <c r="P99" s="328"/>
      <c r="Q99" s="112"/>
      <c r="R99" s="112"/>
    </row>
    <row r="100" spans="1:18" ht="13">
      <c r="A100" s="2">
        <f>A99+1</f>
        <v>26</v>
      </c>
      <c r="B100" s="334"/>
      <c r="C100" s="334"/>
      <c r="E100" s="311" t="s">
        <v>827</v>
      </c>
      <c r="F100" s="560">
        <f>F98*F99</f>
        <v>169181966.02724427</v>
      </c>
      <c r="G100" s="123" t="str">
        <f>"Line "&amp;A98&amp;" * Line "&amp;A99&amp;""</f>
        <v>Line 24 * Line 25</v>
      </c>
      <c r="H100" s="112"/>
      <c r="I100" s="112"/>
      <c r="J100" s="112"/>
      <c r="K100" s="112"/>
      <c r="L100" s="112"/>
      <c r="M100" s="112"/>
      <c r="Q100" s="112"/>
      <c r="R100" s="112"/>
    </row>
    <row r="101" spans="1:18">
      <c r="B101" s="112"/>
      <c r="C101" s="112"/>
      <c r="D101" s="112"/>
      <c r="E101" s="112"/>
      <c r="F101" s="112"/>
      <c r="G101" s="112"/>
      <c r="H101" s="112"/>
      <c r="I101" s="112"/>
      <c r="J101" s="112"/>
      <c r="K101" s="112"/>
      <c r="L101" s="112"/>
      <c r="M101" s="112"/>
      <c r="Q101" s="112"/>
      <c r="R101" s="112"/>
    </row>
    <row r="102" spans="1:18">
      <c r="Q102" s="112"/>
      <c r="R102" s="112"/>
    </row>
    <row r="103" spans="1:18" ht="13">
      <c r="B103" s="1" t="s">
        <v>828</v>
      </c>
      <c r="Q103" s="112"/>
      <c r="R103" s="112"/>
    </row>
    <row r="104" spans="1:18">
      <c r="Q104" s="112"/>
      <c r="R104" s="112"/>
    </row>
    <row r="105" spans="1:18" ht="13">
      <c r="C105" s="1" t="s">
        <v>829</v>
      </c>
      <c r="D105" s="233"/>
      <c r="E105" s="233"/>
      <c r="F105" s="233"/>
      <c r="G105" s="233"/>
      <c r="H105" s="233"/>
      <c r="I105" s="233"/>
      <c r="J105" s="233"/>
      <c r="K105" s="233"/>
      <c r="L105" s="233"/>
    </row>
    <row r="106" spans="1:18">
      <c r="A106" s="233"/>
      <c r="C106" s="233"/>
      <c r="D106" s="233"/>
      <c r="E106" s="233"/>
      <c r="F106" s="233"/>
      <c r="G106" s="233"/>
      <c r="H106" s="233"/>
      <c r="I106" s="233"/>
      <c r="J106" s="233"/>
      <c r="K106" s="233"/>
      <c r="L106" s="233"/>
    </row>
    <row r="107" spans="1:18" ht="13">
      <c r="A107" s="197"/>
      <c r="C107" s="48" t="s">
        <v>345</v>
      </c>
      <c r="D107" s="48" t="s">
        <v>346</v>
      </c>
      <c r="E107" s="48" t="s">
        <v>347</v>
      </c>
      <c r="F107" s="48" t="s">
        <v>348</v>
      </c>
      <c r="G107" s="48" t="s">
        <v>349</v>
      </c>
      <c r="H107" s="48" t="s">
        <v>350</v>
      </c>
      <c r="I107" s="48" t="s">
        <v>351</v>
      </c>
      <c r="J107" s="48" t="s">
        <v>352</v>
      </c>
      <c r="K107" s="48" t="s">
        <v>353</v>
      </c>
      <c r="L107" s="48" t="s">
        <v>603</v>
      </c>
      <c r="M107" s="48" t="s">
        <v>604</v>
      </c>
      <c r="N107" s="48" t="s">
        <v>605</v>
      </c>
    </row>
    <row r="108" spans="1:18">
      <c r="A108" s="112"/>
      <c r="C108" s="125"/>
      <c r="D108" s="112"/>
      <c r="E108" s="112"/>
      <c r="F108" s="112"/>
      <c r="G108" s="112"/>
      <c r="H108" s="112"/>
      <c r="I108" s="112"/>
      <c r="J108" s="112"/>
      <c r="K108" s="112"/>
      <c r="L108" s="112"/>
      <c r="N108" s="125" t="s">
        <v>656</v>
      </c>
    </row>
    <row r="109" spans="1:18" ht="13">
      <c r="A109" s="30"/>
      <c r="C109" s="3" t="s">
        <v>657</v>
      </c>
      <c r="D109" s="48">
        <v>350.1</v>
      </c>
      <c r="E109" s="48">
        <v>350.2</v>
      </c>
      <c r="F109" s="48">
        <v>352</v>
      </c>
      <c r="G109" s="48">
        <v>353</v>
      </c>
      <c r="H109" s="48">
        <v>354</v>
      </c>
      <c r="I109" s="48">
        <v>355</v>
      </c>
      <c r="J109" s="48">
        <v>356</v>
      </c>
      <c r="K109" s="48">
        <v>357</v>
      </c>
      <c r="L109" s="48">
        <v>358</v>
      </c>
      <c r="M109" s="48">
        <v>359</v>
      </c>
      <c r="N109" s="3" t="s">
        <v>252</v>
      </c>
    </row>
    <row r="110" spans="1:18" ht="13">
      <c r="A110" s="2">
        <f>A100+1</f>
        <v>27</v>
      </c>
      <c r="C110" s="507" t="s">
        <v>3090</v>
      </c>
      <c r="D110" s="235">
        <f>'17-Depreciation'!C80</f>
        <v>0</v>
      </c>
      <c r="E110" s="235">
        <f>'17-Depreciation'!D80</f>
        <v>257958.98858058013</v>
      </c>
      <c r="F110" s="235">
        <f>'17-Depreciation'!E80</f>
        <v>2095114.2556029782</v>
      </c>
      <c r="G110" s="235">
        <f>'17-Depreciation'!F80</f>
        <v>9701191.6005962435</v>
      </c>
      <c r="H110" s="235">
        <f>'17-Depreciation'!G80</f>
        <v>5140987.0018310323</v>
      </c>
      <c r="I110" s="235">
        <f>'17-Depreciation'!H80</f>
        <v>2003794.7215744723</v>
      </c>
      <c r="J110" s="235">
        <f>'17-Depreciation'!I80</f>
        <v>4186104.9781446145</v>
      </c>
      <c r="K110" s="235">
        <f>'17-Depreciation'!J80</f>
        <v>296047.91082814388</v>
      </c>
      <c r="L110" s="235">
        <f>'17-Depreciation'!K80</f>
        <v>189478.09937175</v>
      </c>
      <c r="M110" s="235">
        <f>'17-Depreciation'!L80</f>
        <v>302009.91160513478</v>
      </c>
      <c r="N110" s="114">
        <f t="shared" ref="N110:N122" si="14">SUM(D110:M110)</f>
        <v>24172687.468134951</v>
      </c>
    </row>
    <row r="111" spans="1:18" ht="13">
      <c r="A111" s="2">
        <f t="shared" ref="A111:A122" si="15">A110+1</f>
        <v>28</v>
      </c>
      <c r="C111" s="387" t="s">
        <v>3091</v>
      </c>
      <c r="D111" s="235">
        <f>'17-Depreciation'!C81</f>
        <v>0</v>
      </c>
      <c r="E111" s="235">
        <f>'17-Depreciation'!D81</f>
        <v>258629.05503291098</v>
      </c>
      <c r="F111" s="235">
        <f>'17-Depreciation'!E81</f>
        <v>2098342.380388706</v>
      </c>
      <c r="G111" s="235">
        <f>'17-Depreciation'!F81</f>
        <v>9717060.9049676713</v>
      </c>
      <c r="H111" s="235">
        <f>'17-Depreciation'!G81</f>
        <v>5141219.3124964749</v>
      </c>
      <c r="I111" s="235">
        <f>'17-Depreciation'!H81</f>
        <v>1644734.1781706985</v>
      </c>
      <c r="J111" s="235">
        <f>'17-Depreciation'!I81</f>
        <v>4182131.0781220924</v>
      </c>
      <c r="K111" s="235">
        <f>'17-Depreciation'!J81</f>
        <v>296048.10020692303</v>
      </c>
      <c r="L111" s="235">
        <f>'17-Depreciation'!K81</f>
        <v>189478.09937175</v>
      </c>
      <c r="M111" s="235">
        <f>'17-Depreciation'!L81</f>
        <v>302023.47844353999</v>
      </c>
      <c r="N111" s="114">
        <f t="shared" si="14"/>
        <v>23829666.587200768</v>
      </c>
    </row>
    <row r="112" spans="1:18" ht="13">
      <c r="A112" s="2">
        <f t="shared" si="15"/>
        <v>29</v>
      </c>
      <c r="C112" s="507" t="s">
        <v>3092</v>
      </c>
      <c r="D112" s="235">
        <f>'17-Depreciation'!C82</f>
        <v>0</v>
      </c>
      <c r="E112" s="235">
        <f>'17-Depreciation'!D82</f>
        <v>258756.76699455912</v>
      </c>
      <c r="F112" s="235">
        <f>'17-Depreciation'!E82</f>
        <v>2099943.9038135759</v>
      </c>
      <c r="G112" s="235">
        <f>'17-Depreciation'!F82</f>
        <v>9723024.4767304305</v>
      </c>
      <c r="H112" s="235">
        <f>'17-Depreciation'!G82</f>
        <v>5141145.3255316196</v>
      </c>
      <c r="I112" s="235">
        <f>'17-Depreciation'!H82</f>
        <v>1229611.4379629169</v>
      </c>
      <c r="J112" s="235">
        <f>'17-Depreciation'!I82</f>
        <v>4186894.713394403</v>
      </c>
      <c r="K112" s="235">
        <f>'17-Depreciation'!J82</f>
        <v>296048.28953136998</v>
      </c>
      <c r="L112" s="235">
        <f>'17-Depreciation'!K82</f>
        <v>189478.09937175</v>
      </c>
      <c r="M112" s="235">
        <f>'17-Depreciation'!L82</f>
        <v>302027.99062665057</v>
      </c>
      <c r="N112" s="114">
        <f t="shared" si="14"/>
        <v>23426931.003957275</v>
      </c>
    </row>
    <row r="113" spans="1:14" ht="13">
      <c r="A113" s="2">
        <f t="shared" si="15"/>
        <v>30</v>
      </c>
      <c r="C113" s="507" t="s">
        <v>3093</v>
      </c>
      <c r="D113" s="235">
        <f>'17-Depreciation'!C83</f>
        <v>0</v>
      </c>
      <c r="E113" s="235">
        <f>'17-Depreciation'!D83</f>
        <v>258781.17589912194</v>
      </c>
      <c r="F113" s="235">
        <f>'17-Depreciation'!E83</f>
        <v>2105544.5720266807</v>
      </c>
      <c r="G113" s="235">
        <f>'17-Depreciation'!F83</f>
        <v>9772145.9532745928</v>
      </c>
      <c r="H113" s="235">
        <f>'17-Depreciation'!G83</f>
        <v>5146310.862708902</v>
      </c>
      <c r="I113" s="235">
        <f>'17-Depreciation'!H83</f>
        <v>1395832.8431142622</v>
      </c>
      <c r="J113" s="235">
        <f>'17-Depreciation'!I83</f>
        <v>4189254.6526024938</v>
      </c>
      <c r="K113" s="235">
        <f>'17-Depreciation'!J83</f>
        <v>296048.47886939137</v>
      </c>
      <c r="L113" s="235">
        <f>'17-Depreciation'!K83</f>
        <v>189478.09937175</v>
      </c>
      <c r="M113" s="235">
        <f>'17-Depreciation'!L83</f>
        <v>302036.10667182732</v>
      </c>
      <c r="N113" s="114">
        <f t="shared" si="14"/>
        <v>23655432.744539022</v>
      </c>
    </row>
    <row r="114" spans="1:14" ht="13">
      <c r="A114" s="2">
        <f t="shared" si="15"/>
        <v>31</v>
      </c>
      <c r="C114" s="507" t="s">
        <v>3094</v>
      </c>
      <c r="D114" s="235">
        <f>'17-Depreciation'!C84</f>
        <v>0</v>
      </c>
      <c r="E114" s="235">
        <f>'17-Depreciation'!D84</f>
        <v>258787.08068383115</v>
      </c>
      <c r="F114" s="235">
        <f>'17-Depreciation'!E84</f>
        <v>2117418.5588494246</v>
      </c>
      <c r="G114" s="235">
        <f>'17-Depreciation'!F84</f>
        <v>9821066.7382665835</v>
      </c>
      <c r="H114" s="235">
        <f>'17-Depreciation'!G84</f>
        <v>5207753.2338882321</v>
      </c>
      <c r="I114" s="235">
        <f>'17-Depreciation'!H84</f>
        <v>2095896.0273742871</v>
      </c>
      <c r="J114" s="235">
        <f>'17-Depreciation'!I84</f>
        <v>4380550.9210174885</v>
      </c>
      <c r="K114" s="235">
        <f>'17-Depreciation'!J84</f>
        <v>296048.66821259132</v>
      </c>
      <c r="L114" s="235">
        <f>'17-Depreciation'!K84</f>
        <v>189478.09937175</v>
      </c>
      <c r="M114" s="235">
        <f>'17-Depreciation'!L84</f>
        <v>302169.04224436742</v>
      </c>
      <c r="N114" s="114">
        <f t="shared" si="14"/>
        <v>24669168.369908553</v>
      </c>
    </row>
    <row r="115" spans="1:14" ht="13">
      <c r="A115" s="2">
        <f t="shared" si="15"/>
        <v>32</v>
      </c>
      <c r="C115" s="507" t="s">
        <v>3095</v>
      </c>
      <c r="D115" s="235">
        <f>'17-Depreciation'!C85</f>
        <v>0</v>
      </c>
      <c r="E115" s="235">
        <f>'17-Depreciation'!D85</f>
        <v>258972.03059368115</v>
      </c>
      <c r="F115" s="235">
        <f>'17-Depreciation'!E85</f>
        <v>2121350.3759784591</v>
      </c>
      <c r="G115" s="235">
        <f>'17-Depreciation'!F85</f>
        <v>9841732.387785947</v>
      </c>
      <c r="H115" s="235">
        <f>'17-Depreciation'!G85</f>
        <v>5205203.0635418221</v>
      </c>
      <c r="I115" s="235">
        <f>'17-Depreciation'!H85</f>
        <v>2887065.9521273188</v>
      </c>
      <c r="J115" s="235">
        <f>'17-Depreciation'!I85</f>
        <v>4392612.935234041</v>
      </c>
      <c r="K115" s="235">
        <f>'17-Depreciation'!J85</f>
        <v>296048.99603710684</v>
      </c>
      <c r="L115" s="235">
        <f>'17-Depreciation'!K85</f>
        <v>189478.09937175</v>
      </c>
      <c r="M115" s="235">
        <f>'17-Depreciation'!L85</f>
        <v>303051.18338661414</v>
      </c>
      <c r="N115" s="114">
        <f t="shared" si="14"/>
        <v>25495515.02405674</v>
      </c>
    </row>
    <row r="116" spans="1:14" ht="13">
      <c r="A116" s="2">
        <f t="shared" si="15"/>
        <v>33</v>
      </c>
      <c r="C116" s="507" t="s">
        <v>3096</v>
      </c>
      <c r="D116" s="235">
        <f>'17-Depreciation'!C86</f>
        <v>0</v>
      </c>
      <c r="E116" s="235">
        <f>'17-Depreciation'!D86</f>
        <v>258982.69291724529</v>
      </c>
      <c r="F116" s="235">
        <f>'17-Depreciation'!E86</f>
        <v>2123159.9596042167</v>
      </c>
      <c r="G116" s="235">
        <f>'17-Depreciation'!F86</f>
        <v>10054606.237787895</v>
      </c>
      <c r="H116" s="235">
        <f>'17-Depreciation'!G86</f>
        <v>5205767.1788409119</v>
      </c>
      <c r="I116" s="235">
        <f>'17-Depreciation'!H86</f>
        <v>2822119.0509889335</v>
      </c>
      <c r="J116" s="235">
        <f>'17-Depreciation'!I86</f>
        <v>4241709.326958009</v>
      </c>
      <c r="K116" s="235">
        <f>'17-Depreciation'!J86</f>
        <v>296049.18698094733</v>
      </c>
      <c r="L116" s="235">
        <f>'17-Depreciation'!K86</f>
        <v>189478.09937175</v>
      </c>
      <c r="M116" s="235">
        <f>'17-Depreciation'!L86</f>
        <v>323932.07126311469</v>
      </c>
      <c r="N116" s="114">
        <f t="shared" si="14"/>
        <v>25515803.804713026</v>
      </c>
    </row>
    <row r="117" spans="1:14" ht="13">
      <c r="A117" s="2">
        <f t="shared" si="15"/>
        <v>34</v>
      </c>
      <c r="C117" s="507" t="s">
        <v>3097</v>
      </c>
      <c r="D117" s="235">
        <f>'17-Depreciation'!C87</f>
        <v>0</v>
      </c>
      <c r="E117" s="235">
        <f>'17-Depreciation'!D87</f>
        <v>259049.69036858578</v>
      </c>
      <c r="F117" s="235">
        <f>'17-Depreciation'!E87</f>
        <v>2125108.5502046491</v>
      </c>
      <c r="G117" s="235">
        <f>'17-Depreciation'!F87</f>
        <v>10056824.640699081</v>
      </c>
      <c r="H117" s="235">
        <f>'17-Depreciation'!G87</f>
        <v>5244197.2602047781</v>
      </c>
      <c r="I117" s="235">
        <f>'17-Depreciation'!H87</f>
        <v>2485473.6441425281</v>
      </c>
      <c r="J117" s="235">
        <f>'17-Depreciation'!I87</f>
        <v>4322666.3904397823</v>
      </c>
      <c r="K117" s="235">
        <f>'17-Depreciation'!J87</f>
        <v>296049.37941646011</v>
      </c>
      <c r="L117" s="235">
        <f>'17-Depreciation'!K87</f>
        <v>189478.09937175</v>
      </c>
      <c r="M117" s="235">
        <f>'17-Depreciation'!L87</f>
        <v>325292.01432165963</v>
      </c>
      <c r="N117" s="114">
        <f t="shared" si="14"/>
        <v>25304139.66916927</v>
      </c>
    </row>
    <row r="118" spans="1:14" ht="13">
      <c r="A118" s="2">
        <f t="shared" si="15"/>
        <v>35</v>
      </c>
      <c r="C118" s="507" t="s">
        <v>3098</v>
      </c>
      <c r="D118" s="235">
        <f>'17-Depreciation'!C88</f>
        <v>0</v>
      </c>
      <c r="E118" s="235">
        <f>'17-Depreciation'!D88</f>
        <v>259060.38163314655</v>
      </c>
      <c r="F118" s="235">
        <f>'17-Depreciation'!E88</f>
        <v>2129304.3860855782</v>
      </c>
      <c r="G118" s="235">
        <f>'17-Depreciation'!F88</f>
        <v>10069024.67561717</v>
      </c>
      <c r="H118" s="235">
        <f>'17-Depreciation'!G88</f>
        <v>5240258.2535644704</v>
      </c>
      <c r="I118" s="235">
        <f>'17-Depreciation'!H88</f>
        <v>2981939.5639471705</v>
      </c>
      <c r="J118" s="235">
        <f>'17-Depreciation'!I88</f>
        <v>4320090.5024749907</v>
      </c>
      <c r="K118" s="235">
        <f>'17-Depreciation'!J88</f>
        <v>296049.57119082211</v>
      </c>
      <c r="L118" s="235">
        <f>'17-Depreciation'!K88</f>
        <v>189478.09937175</v>
      </c>
      <c r="M118" s="235">
        <f>'17-Depreciation'!L88</f>
        <v>325558.9387610057</v>
      </c>
      <c r="N118" s="114">
        <f t="shared" si="14"/>
        <v>25810764.372646105</v>
      </c>
    </row>
    <row r="119" spans="1:14" ht="13">
      <c r="A119" s="2">
        <f t="shared" si="15"/>
        <v>36</v>
      </c>
      <c r="C119" s="507" t="s">
        <v>3099</v>
      </c>
      <c r="D119" s="235">
        <f>'17-Depreciation'!C89</f>
        <v>0</v>
      </c>
      <c r="E119" s="235">
        <f>'17-Depreciation'!D89</f>
        <v>259072.71953910877</v>
      </c>
      <c r="F119" s="235">
        <f>'17-Depreciation'!E89</f>
        <v>2131145.6704325899</v>
      </c>
      <c r="G119" s="235">
        <f>'17-Depreciation'!F89</f>
        <v>10074417.336121341</v>
      </c>
      <c r="H119" s="235">
        <f>'17-Depreciation'!G89</f>
        <v>5242497.8628235096</v>
      </c>
      <c r="I119" s="235">
        <f>'17-Depreciation'!H89</f>
        <v>2549609.5645430302</v>
      </c>
      <c r="J119" s="235">
        <f>'17-Depreciation'!I89</f>
        <v>4346514.1556236027</v>
      </c>
      <c r="K119" s="235">
        <f>'17-Depreciation'!J89</f>
        <v>296049.76638565207</v>
      </c>
      <c r="L119" s="235">
        <f>'17-Depreciation'!K89</f>
        <v>189478.09937175</v>
      </c>
      <c r="M119" s="235">
        <f>'17-Depreciation'!L89</f>
        <v>326262.56952357641</v>
      </c>
      <c r="N119" s="114">
        <f t="shared" si="14"/>
        <v>25415047.744364161</v>
      </c>
    </row>
    <row r="120" spans="1:14" ht="13">
      <c r="A120" s="2">
        <f t="shared" si="15"/>
        <v>37</v>
      </c>
      <c r="C120" s="507" t="s">
        <v>3100</v>
      </c>
      <c r="D120" s="235">
        <f>'17-Depreciation'!C90</f>
        <v>0</v>
      </c>
      <c r="E120" s="235">
        <f>'17-Depreciation'!D90</f>
        <v>259082.51461161333</v>
      </c>
      <c r="F120" s="235">
        <f>'17-Depreciation'!E90</f>
        <v>2133256.4480286338</v>
      </c>
      <c r="G120" s="235">
        <f>'17-Depreciation'!F90</f>
        <v>10079933.684756888</v>
      </c>
      <c r="H120" s="235">
        <f>'17-Depreciation'!G90</f>
        <v>5255623.091850372</v>
      </c>
      <c r="I120" s="235">
        <f>'17-Depreciation'!H90</f>
        <v>2068670.3228602072</v>
      </c>
      <c r="J120" s="235">
        <f>'17-Depreciation'!I90</f>
        <v>4347288.4493102403</v>
      </c>
      <c r="K120" s="235">
        <f>'17-Depreciation'!J90</f>
        <v>296049.9534434994</v>
      </c>
      <c r="L120" s="235">
        <f>'17-Depreciation'!K90</f>
        <v>189478.09937175</v>
      </c>
      <c r="M120" s="235">
        <f>'17-Depreciation'!L90</f>
        <v>326651.21242628503</v>
      </c>
      <c r="N120" s="114">
        <f t="shared" si="14"/>
        <v>24956033.776659492</v>
      </c>
    </row>
    <row r="121" spans="1:14" ht="13">
      <c r="A121" s="2">
        <f t="shared" si="15"/>
        <v>38</v>
      </c>
      <c r="C121" s="1191" t="s">
        <v>3101</v>
      </c>
      <c r="D121" s="53">
        <f>'17-Depreciation'!C91</f>
        <v>0</v>
      </c>
      <c r="E121" s="53">
        <f>'17-Depreciation'!D91</f>
        <v>259093.05698993962</v>
      </c>
      <c r="F121" s="53">
        <f>'17-Depreciation'!E91</f>
        <v>2132101.3489501397</v>
      </c>
      <c r="G121" s="53">
        <f>'17-Depreciation'!F91</f>
        <v>10081834.835372765</v>
      </c>
      <c r="H121" s="53">
        <f>'17-Depreciation'!G91</f>
        <v>5255641.7623243639</v>
      </c>
      <c r="I121" s="53">
        <f>'17-Depreciation'!H91</f>
        <v>2052077.2921945679</v>
      </c>
      <c r="J121" s="53">
        <f>'17-Depreciation'!I91</f>
        <v>4346119.042872116</v>
      </c>
      <c r="K121" s="53">
        <f>'17-Depreciation'!J91</f>
        <v>296050.23105854628</v>
      </c>
      <c r="L121" s="53">
        <f>'17-Depreciation'!K91</f>
        <v>189478.09937175</v>
      </c>
      <c r="M121" s="53">
        <f>'17-Depreciation'!L91</f>
        <v>328343.71258931531</v>
      </c>
      <c r="N121" s="183">
        <f t="shared" si="14"/>
        <v>24940739.381723501</v>
      </c>
    </row>
    <row r="122" spans="1:14" ht="13">
      <c r="A122" s="2">
        <f t="shared" si="15"/>
        <v>39</v>
      </c>
      <c r="C122" s="559" t="s">
        <v>418</v>
      </c>
      <c r="D122" s="114">
        <f t="shared" ref="D122:M122" si="16">SUM(D110:D121)</f>
        <v>0</v>
      </c>
      <c r="E122" s="114">
        <f t="shared" si="16"/>
        <v>3106226.1538443235</v>
      </c>
      <c r="F122" s="114">
        <f t="shared" si="16"/>
        <v>25411790.409965631</v>
      </c>
      <c r="G122" s="114">
        <f t="shared" si="16"/>
        <v>118992863.47197661</v>
      </c>
      <c r="H122" s="114">
        <f t="shared" si="16"/>
        <v>62426604.209606484</v>
      </c>
      <c r="I122" s="114">
        <f t="shared" si="16"/>
        <v>26216824.599000394</v>
      </c>
      <c r="J122" s="114">
        <f t="shared" si="16"/>
        <v>51441937.146193877</v>
      </c>
      <c r="K122" s="114">
        <f t="shared" si="16"/>
        <v>3552588.5321614537</v>
      </c>
      <c r="L122" s="114">
        <f t="shared" si="16"/>
        <v>2273737.1924609994</v>
      </c>
      <c r="M122" s="114">
        <f t="shared" si="16"/>
        <v>3769358.2318630908</v>
      </c>
      <c r="N122" s="114">
        <f t="shared" si="14"/>
        <v>297191929.94707286</v>
      </c>
    </row>
    <row r="124" spans="1:14" ht="13">
      <c r="C124" s="1" t="s">
        <v>830</v>
      </c>
      <c r="D124" s="233"/>
      <c r="E124" s="233"/>
      <c r="F124" s="233"/>
      <c r="G124" s="233"/>
      <c r="H124" s="233"/>
      <c r="I124" s="233"/>
      <c r="J124" s="233"/>
      <c r="K124" s="233"/>
      <c r="L124" s="233"/>
    </row>
    <row r="125" spans="1:14">
      <c r="C125" s="233"/>
      <c r="D125" s="233"/>
      <c r="E125" s="233"/>
      <c r="F125" s="233"/>
      <c r="G125" s="233"/>
      <c r="H125" s="233"/>
      <c r="I125" s="233"/>
      <c r="J125" s="233"/>
      <c r="K125" s="233"/>
      <c r="L125" s="233"/>
    </row>
    <row r="126" spans="1:14" ht="13">
      <c r="C126" s="48" t="s">
        <v>345</v>
      </c>
      <c r="D126" s="48" t="s">
        <v>346</v>
      </c>
      <c r="E126" s="48" t="s">
        <v>347</v>
      </c>
      <c r="F126" s="48" t="s">
        <v>348</v>
      </c>
      <c r="G126" s="48" t="s">
        <v>349</v>
      </c>
      <c r="H126" s="48" t="s">
        <v>350</v>
      </c>
      <c r="I126" s="48" t="s">
        <v>351</v>
      </c>
      <c r="J126" s="48" t="s">
        <v>352</v>
      </c>
      <c r="K126" s="48" t="s">
        <v>353</v>
      </c>
      <c r="L126" s="48" t="s">
        <v>603</v>
      </c>
      <c r="M126" s="48" t="s">
        <v>604</v>
      </c>
      <c r="N126" s="48"/>
    </row>
    <row r="127" spans="1:14">
      <c r="C127" s="125"/>
      <c r="D127" s="112"/>
      <c r="E127" s="112"/>
      <c r="F127" s="112"/>
      <c r="G127" s="112"/>
      <c r="H127" s="112"/>
      <c r="I127" s="112"/>
      <c r="J127" s="112"/>
      <c r="K127" s="112"/>
      <c r="L127" s="112"/>
      <c r="N127" s="125"/>
    </row>
    <row r="128" spans="1:14" ht="13">
      <c r="C128" s="3" t="s">
        <v>657</v>
      </c>
      <c r="D128" s="48">
        <v>350.1</v>
      </c>
      <c r="E128" s="48">
        <v>350.2</v>
      </c>
      <c r="F128" s="48">
        <v>352</v>
      </c>
      <c r="G128" s="48">
        <v>353</v>
      </c>
      <c r="H128" s="48">
        <v>354</v>
      </c>
      <c r="I128" s="48">
        <v>355</v>
      </c>
      <c r="J128" s="48">
        <v>356</v>
      </c>
      <c r="K128" s="48">
        <v>357</v>
      </c>
      <c r="L128" s="48">
        <v>358</v>
      </c>
      <c r="M128" s="48">
        <v>359</v>
      </c>
      <c r="N128" s="3"/>
    </row>
    <row r="129" spans="1:14" ht="13">
      <c r="A129" s="2">
        <f>A122+1</f>
        <v>40</v>
      </c>
      <c r="C129" s="507" t="s">
        <v>3090</v>
      </c>
      <c r="D129" s="575">
        <f>'6-PlantInService'!C209</f>
        <v>-3.3379485650883282E-16</v>
      </c>
      <c r="E129" s="575">
        <f>'6-PlantInService'!D209</f>
        <v>0.56995087872613248</v>
      </c>
      <c r="F129" s="575">
        <f>'6-PlantInService'!E209</f>
        <v>8.3258381160630668E-2</v>
      </c>
      <c r="G129" s="575">
        <f>'6-PlantInService'!F209</f>
        <v>0.10637753692180588</v>
      </c>
      <c r="H129" s="575">
        <f>'6-PlantInService'!G209</f>
        <v>1.8655085907159975E-3</v>
      </c>
      <c r="I129" s="575">
        <f>'6-PlantInService'!H209</f>
        <v>11.748454074085787</v>
      </c>
      <c r="J129" s="575">
        <f>'6-PlantInService'!I209</f>
        <v>-2.624757564181061E-2</v>
      </c>
      <c r="K129" s="575">
        <f>'6-PlantInService'!J209</f>
        <v>7.4896329519351657E-2</v>
      </c>
      <c r="L129" s="575">
        <f>'6-PlantInService'!K209</f>
        <v>3.9256168307866941E-2</v>
      </c>
      <c r="M129" s="575">
        <f>'6-PlantInService'!L209</f>
        <v>4.1937505018440995E-4</v>
      </c>
      <c r="N129" s="114"/>
    </row>
    <row r="130" spans="1:14" ht="13">
      <c r="A130" s="2">
        <f t="shared" ref="A130:A140" si="17">A129+1</f>
        <v>41</v>
      </c>
      <c r="C130" s="387" t="s">
        <v>3091</v>
      </c>
      <c r="D130" s="575">
        <f>'6-PlantInService'!C210</f>
        <v>0.99984080883733839</v>
      </c>
      <c r="E130" s="575">
        <f>'6-PlantInService'!D210</f>
        <v>0.10859451275790634</v>
      </c>
      <c r="F130" s="575">
        <f>'6-PlantInService'!E210</f>
        <v>3.9545128699031651E-2</v>
      </c>
      <c r="G130" s="575">
        <f>'6-PlantInService'!F210</f>
        <v>2.8216208784746396E-2</v>
      </c>
      <c r="H130" s="575">
        <f>'6-PlantInService'!G210</f>
        <v>-7.5856625349051028E-4</v>
      </c>
      <c r="I130" s="575">
        <f>'6-PlantInService'!H210</f>
        <v>13.582809618782177</v>
      </c>
      <c r="J130" s="575">
        <f>'6-PlantInService'!I210</f>
        <v>3.1125704035390857E-2</v>
      </c>
      <c r="K130" s="575">
        <f>'6-PlantInService'!J210</f>
        <v>7.4874841973554651E-2</v>
      </c>
      <c r="L130" s="575">
        <f>'6-PlantInService'!K210</f>
        <v>4.4415500996776699E-2</v>
      </c>
      <c r="M130" s="575">
        <f>'6-PlantInService'!L210</f>
        <v>6.869546963147251E-5</v>
      </c>
      <c r="N130" s="114"/>
    </row>
    <row r="131" spans="1:14" ht="13">
      <c r="A131" s="2">
        <f t="shared" si="17"/>
        <v>42</v>
      </c>
      <c r="C131" s="507" t="s">
        <v>3092</v>
      </c>
      <c r="D131" s="575">
        <f>'6-PlantInService'!C211</f>
        <v>1.0678828915448592E-3</v>
      </c>
      <c r="E131" s="575">
        <f>'6-PlantInService'!D211</f>
        <v>2.0763268387929992E-2</v>
      </c>
      <c r="F131" s="575">
        <f>'6-PlantInService'!E211</f>
        <v>0.11545468151496677</v>
      </c>
      <c r="G131" s="575">
        <f>'6-PlantInService'!F211</f>
        <v>0.10332913618293879</v>
      </c>
      <c r="H131" s="575">
        <f>'6-PlantInService'!G211</f>
        <v>4.3941273012447324E-2</v>
      </c>
      <c r="I131" s="575">
        <f>'6-PlantInService'!H211</f>
        <v>-5.4384434552883043</v>
      </c>
      <c r="J131" s="575">
        <f>'6-PlantInService'!I211</f>
        <v>1.5297812743834053E-2</v>
      </c>
      <c r="K131" s="575">
        <f>'6-PlantInService'!J211</f>
        <v>7.4880210448489318E-2</v>
      </c>
      <c r="L131" s="575">
        <f>'6-PlantInService'!K211</f>
        <v>7.59529873724126E-2</v>
      </c>
      <c r="M131" s="575">
        <f>'6-PlantInService'!L211</f>
        <v>1.8707615316356741E-4</v>
      </c>
      <c r="N131" s="114"/>
    </row>
    <row r="132" spans="1:14" ht="13">
      <c r="A132" s="2">
        <f t="shared" si="17"/>
        <v>43</v>
      </c>
      <c r="C132" s="507" t="s">
        <v>3093</v>
      </c>
      <c r="D132" s="575">
        <f>'6-PlantInService'!C212</f>
        <v>6.6758971301766563E-16</v>
      </c>
      <c r="E132" s="575">
        <f>'6-PlantInService'!D212</f>
        <v>4.97689031770989E-3</v>
      </c>
      <c r="F132" s="575">
        <f>'6-PlantInService'!E212</f>
        <v>0.30832370428697026</v>
      </c>
      <c r="G132" s="575">
        <f>'6-PlantInService'!F212</f>
        <v>0.3118342667663892</v>
      </c>
      <c r="H132" s="575">
        <f>'6-PlantInService'!G212</f>
        <v>0.53018907541653382</v>
      </c>
      <c r="I132" s="575">
        <f>'6-PlantInService'!H212</f>
        <v>-22.91500075587275</v>
      </c>
      <c r="J132" s="575">
        <f>'6-PlantInService'!I212</f>
        <v>1.2584468858284017</v>
      </c>
      <c r="K132" s="575">
        <f>'6-PlantInService'!J212</f>
        <v>7.4882258500849938E-2</v>
      </c>
      <c r="L132" s="575">
        <f>'6-PlantInService'!K212</f>
        <v>3.3115920432389236E-2</v>
      </c>
      <c r="M132" s="575">
        <f>'6-PlantInService'!L212</f>
        <v>9.4462477348473475E-3</v>
      </c>
      <c r="N132" s="114"/>
    </row>
    <row r="133" spans="1:14" ht="13">
      <c r="A133" s="2">
        <f t="shared" si="17"/>
        <v>44</v>
      </c>
      <c r="C133" s="507" t="s">
        <v>3094</v>
      </c>
      <c r="D133" s="575">
        <f>'6-PlantInService'!C213</f>
        <v>0</v>
      </c>
      <c r="E133" s="575">
        <f>'6-PlantInService'!D213</f>
        <v>0.15732638089760956</v>
      </c>
      <c r="F133" s="575">
        <f>'6-PlantInService'!E213</f>
        <v>9.6607497756739533E-2</v>
      </c>
      <c r="G133" s="575">
        <f>'6-PlantInService'!F213</f>
        <v>0.10099194908094009</v>
      </c>
      <c r="H133" s="575">
        <f>'6-PlantInService'!G213</f>
        <v>-2.1842213965388119E-2</v>
      </c>
      <c r="I133" s="575">
        <f>'6-PlantInService'!H213</f>
        <v>-25.886560173624463</v>
      </c>
      <c r="J133" s="575">
        <f>'6-PlantInService'!I213</f>
        <v>7.9012740076426946E-2</v>
      </c>
      <c r="K133" s="575">
        <f>'6-PlantInService'!J213</f>
        <v>0.12964944144726742</v>
      </c>
      <c r="L133" s="575">
        <f>'6-PlantInService'!K213</f>
        <v>0.15239987758426221</v>
      </c>
      <c r="M133" s="575">
        <f>'6-PlantInService'!L213</f>
        <v>3.2740898009425118E-2</v>
      </c>
      <c r="N133" s="114"/>
    </row>
    <row r="134" spans="1:14" ht="13">
      <c r="A134" s="2">
        <f t="shared" si="17"/>
        <v>45</v>
      </c>
      <c r="C134" s="507" t="s">
        <v>3095</v>
      </c>
      <c r="D134" s="575">
        <f>'6-PlantInService'!C214</f>
        <v>-7.6901417134239486E-4</v>
      </c>
      <c r="E134" s="575">
        <f>'6-PlantInService'!D214</f>
        <v>9.0698329058995809E-3</v>
      </c>
      <c r="F134" s="575">
        <f>'6-PlantInService'!E214</f>
        <v>3.8543316789592365E-2</v>
      </c>
      <c r="G134" s="575">
        <f>'6-PlantInService'!F214</f>
        <v>2.6225254429073832E-2</v>
      </c>
      <c r="H134" s="575">
        <f>'6-PlantInService'!G214</f>
        <v>4.7789543920091441E-3</v>
      </c>
      <c r="I134" s="575">
        <f>'6-PlantInService'!H214</f>
        <v>2.1250756229821759</v>
      </c>
      <c r="J134" s="575">
        <f>'6-PlantInService'!I214</f>
        <v>-0.9895055152079365</v>
      </c>
      <c r="K134" s="575">
        <f>'6-PlantInService'!J214</f>
        <v>7.5515286651187924E-2</v>
      </c>
      <c r="L134" s="575">
        <f>'6-PlantInService'!K214</f>
        <v>4.4202232489750574E-2</v>
      </c>
      <c r="M134" s="575">
        <f>'6-PlantInService'!L214</f>
        <v>0.77633232855905987</v>
      </c>
      <c r="N134" s="114"/>
    </row>
    <row r="135" spans="1:14" ht="13">
      <c r="A135" s="2">
        <f t="shared" si="17"/>
        <v>46</v>
      </c>
      <c r="C135" s="507" t="s">
        <v>3096</v>
      </c>
      <c r="D135" s="575">
        <f>'6-PlantInService'!C215</f>
        <v>-3.3379485650883282E-16</v>
      </c>
      <c r="E135" s="575">
        <f>'6-PlantInService'!D215</f>
        <v>5.6503668091091475E-2</v>
      </c>
      <c r="F135" s="575">
        <f>'6-PlantInService'!E215</f>
        <v>5.4054063302891642E-2</v>
      </c>
      <c r="G135" s="575">
        <f>'6-PlantInService'!F215</f>
        <v>1.4697048455277847E-2</v>
      </c>
      <c r="H135" s="575">
        <f>'6-PlantInService'!G215</f>
        <v>0.32719406751222241</v>
      </c>
      <c r="I135" s="575">
        <f>'6-PlantInService'!H215</f>
        <v>11.016225220082811</v>
      </c>
      <c r="J135" s="575">
        <f>'6-PlantInService'!I215</f>
        <v>0.53011088948679308</v>
      </c>
      <c r="K135" s="575">
        <f>'6-PlantInService'!J215</f>
        <v>7.6105219610303171E-2</v>
      </c>
      <c r="L135" s="575">
        <f>'6-PlantInService'!K215</f>
        <v>0.30117410976085224</v>
      </c>
      <c r="M135" s="575">
        <f>'6-PlantInService'!L215</f>
        <v>4.9904256805175483E-2</v>
      </c>
      <c r="N135" s="114"/>
    </row>
    <row r="136" spans="1:14" ht="13">
      <c r="A136" s="2">
        <f t="shared" si="17"/>
        <v>47</v>
      </c>
      <c r="C136" s="507" t="s">
        <v>3097</v>
      </c>
      <c r="D136" s="575">
        <f>'6-PlantInService'!C216</f>
        <v>-1.3351794260353313E-15</v>
      </c>
      <c r="E136" s="575">
        <f>'6-PlantInService'!D216</f>
        <v>9.0842844801635476E-3</v>
      </c>
      <c r="F136" s="575">
        <f>'6-PlantInService'!E216</f>
        <v>0.10949104867891622</v>
      </c>
      <c r="G136" s="575">
        <f>'6-PlantInService'!F216</f>
        <v>8.2313876980293313E-2</v>
      </c>
      <c r="H136" s="575">
        <f>'6-PlantInService'!G216</f>
        <v>-3.3791573168910696E-2</v>
      </c>
      <c r="I136" s="575">
        <f>'6-PlantInService'!H216</f>
        <v>-16.243847963610108</v>
      </c>
      <c r="J136" s="575">
        <f>'6-PlantInService'!I216</f>
        <v>-1.7073752565419577E-2</v>
      </c>
      <c r="K136" s="575">
        <f>'6-PlantInService'!J216</f>
        <v>7.5843744852554879E-2</v>
      </c>
      <c r="L136" s="575">
        <f>'6-PlantInService'!K216</f>
        <v>7.1891631367073286E-2</v>
      </c>
      <c r="M136" s="575">
        <f>'6-PlantInService'!L216</f>
        <v>9.7958726449747756E-3</v>
      </c>
      <c r="N136" s="114"/>
    </row>
    <row r="137" spans="1:14" ht="13">
      <c r="A137" s="2">
        <f t="shared" si="17"/>
        <v>48</v>
      </c>
      <c r="C137" s="507" t="s">
        <v>3098</v>
      </c>
      <c r="D137" s="575">
        <f>'6-PlantInService'!C217</f>
        <v>3.3379485650883282E-16</v>
      </c>
      <c r="E137" s="575">
        <f>'6-PlantInService'!D217</f>
        <v>1.0495155658451338E-2</v>
      </c>
      <c r="F137" s="575">
        <f>'6-PlantInService'!E217</f>
        <v>4.3657919392656015E-2</v>
      </c>
      <c r="G137" s="575">
        <f>'6-PlantInService'!F217</f>
        <v>2.9787700231704826E-2</v>
      </c>
      <c r="H137" s="575">
        <f>'6-PlantInService'!G217</f>
        <v>1.8106500202309989E-2</v>
      </c>
      <c r="I137" s="575">
        <f>'6-PlantInService'!H217</f>
        <v>14.147247077658349</v>
      </c>
      <c r="J137" s="575">
        <f>'6-PlantInService'!I217</f>
        <v>0.17241843143108779</v>
      </c>
      <c r="K137" s="575">
        <f>'6-PlantInService'!J217</f>
        <v>7.719648615182563E-2</v>
      </c>
      <c r="L137" s="575">
        <f>'6-PlantInService'!K217</f>
        <v>4.5109525092649143E-2</v>
      </c>
      <c r="M137" s="575">
        <f>'6-PlantInService'!L217</f>
        <v>2.5371277281916411E-2</v>
      </c>
      <c r="N137" s="114"/>
    </row>
    <row r="138" spans="1:14" ht="13">
      <c r="A138" s="2">
        <f t="shared" si="17"/>
        <v>49</v>
      </c>
      <c r="C138" s="507" t="s">
        <v>3099</v>
      </c>
      <c r="D138" s="575">
        <f>'6-PlantInService'!C218</f>
        <v>-3.3379485650883282E-16</v>
      </c>
      <c r="E138" s="575">
        <f>'6-PlantInService'!D218</f>
        <v>8.3181439970688529E-3</v>
      </c>
      <c r="F138" s="575">
        <f>'6-PlantInService'!E218</f>
        <v>5.4526190459763507E-2</v>
      </c>
      <c r="G138" s="575">
        <f>'6-PlantInService'!F218</f>
        <v>3.519084483639924E-2</v>
      </c>
      <c r="H138" s="575">
        <f>'6-PlantInService'!G218</f>
        <v>0.11116653703372449</v>
      </c>
      <c r="I138" s="575">
        <f>'6-PlantInService'!H218</f>
        <v>15.737485482783647</v>
      </c>
      <c r="J138" s="575">
        <f>'6-PlantInService'!I218</f>
        <v>4.3786231531353966E-3</v>
      </c>
      <c r="K138" s="575">
        <f>'6-PlantInService'!J218</f>
        <v>7.3978437476073522E-2</v>
      </c>
      <c r="L138" s="575">
        <f>'6-PlantInService'!K218</f>
        <v>4.045851820555952E-2</v>
      </c>
      <c r="M138" s="575">
        <f>'6-PlantInService'!L218</f>
        <v>1.3791241307668284E-2</v>
      </c>
      <c r="N138" s="114"/>
    </row>
    <row r="139" spans="1:14" ht="13">
      <c r="A139" s="2">
        <f t="shared" si="17"/>
        <v>50</v>
      </c>
      <c r="C139" s="507" t="s">
        <v>3100</v>
      </c>
      <c r="D139" s="575">
        <f>'6-PlantInService'!C219</f>
        <v>-1.3967755753847662E-4</v>
      </c>
      <c r="E139" s="575">
        <f>'6-PlantInService'!D219</f>
        <v>8.9678023064280014E-3</v>
      </c>
      <c r="F139" s="575">
        <f>'6-PlantInService'!E219</f>
        <v>-3.0859509206907512E-2</v>
      </c>
      <c r="G139" s="575">
        <f>'6-PlantInService'!F219</f>
        <v>1.1582791491373793E-2</v>
      </c>
      <c r="H139" s="575">
        <f>'6-PlantInService'!G219</f>
        <v>-6.0805809249517566E-4</v>
      </c>
      <c r="I139" s="575">
        <f>'6-PlantInService'!H219</f>
        <v>0.5441517237919945</v>
      </c>
      <c r="J139" s="575">
        <f>'6-PlantInService'!I219</f>
        <v>-8.3004133650960588E-3</v>
      </c>
      <c r="K139" s="575">
        <f>'6-PlantInService'!J219</f>
        <v>0.10979238602983109</v>
      </c>
      <c r="L139" s="575">
        <f>'6-PlantInService'!K219</f>
        <v>0.11127356362839055</v>
      </c>
      <c r="M139" s="575">
        <f>'6-PlantInService'!L219</f>
        <v>6.2328051969080159E-2</v>
      </c>
      <c r="N139" s="114"/>
    </row>
    <row r="140" spans="1:14" ht="13">
      <c r="A140" s="2">
        <f t="shared" si="17"/>
        <v>51</v>
      </c>
      <c r="C140" s="507" t="s">
        <v>3101</v>
      </c>
      <c r="D140" s="575">
        <f>'6-PlantInService'!C220</f>
        <v>-1.0013845695264985E-15</v>
      </c>
      <c r="E140" s="575">
        <f>'6-PlantInService'!D220</f>
        <v>3.5949181473608899E-2</v>
      </c>
      <c r="F140" s="575">
        <f>'6-PlantInService'!E220</f>
        <v>8.7397577164748858E-2</v>
      </c>
      <c r="G140" s="575">
        <f>'6-PlantInService'!F220</f>
        <v>0.14945338583905682</v>
      </c>
      <c r="H140" s="575">
        <f>'6-PlantInService'!G220</f>
        <v>1.9758495320321319E-2</v>
      </c>
      <c r="I140" s="575">
        <f>'6-PlantInService'!H220</f>
        <v>2.5824035282286819</v>
      </c>
      <c r="J140" s="575">
        <f>'6-PlantInService'!I220</f>
        <v>-4.9663829974807033E-2</v>
      </c>
      <c r="K140" s="575">
        <f>'6-PlantInService'!J220</f>
        <v>8.2385357338710788E-2</v>
      </c>
      <c r="L140" s="575">
        <f>'6-PlantInService'!K220</f>
        <v>4.0749964762016998E-2</v>
      </c>
      <c r="M140" s="575">
        <f>'6-PlantInService'!L220</f>
        <v>1.9614679014873057E-2</v>
      </c>
      <c r="N140" s="183"/>
    </row>
    <row r="142" spans="1:14" ht="13">
      <c r="C142" s="1" t="s">
        <v>831</v>
      </c>
    </row>
    <row r="144" spans="1:14">
      <c r="C144" s="232" t="s">
        <v>832</v>
      </c>
    </row>
    <row r="145" spans="1:14" ht="13">
      <c r="C145" s="12"/>
      <c r="D145" s="48">
        <v>350.1</v>
      </c>
      <c r="E145" s="48">
        <v>350.2</v>
      </c>
      <c r="F145" s="48">
        <v>352</v>
      </c>
      <c r="G145" s="48">
        <v>353</v>
      </c>
      <c r="H145" s="48">
        <v>354</v>
      </c>
      <c r="I145" s="48">
        <v>355</v>
      </c>
      <c r="J145" s="48">
        <v>356</v>
      </c>
      <c r="K145" s="48">
        <v>357</v>
      </c>
      <c r="L145" s="48">
        <v>358</v>
      </c>
      <c r="M145" s="48">
        <v>359</v>
      </c>
      <c r="N145" s="3" t="s">
        <v>252</v>
      </c>
    </row>
    <row r="146" spans="1:14" ht="13">
      <c r="A146" s="2">
        <f>A140+1</f>
        <v>52</v>
      </c>
      <c r="C146" s="12"/>
      <c r="D146" s="6">
        <f t="shared" ref="D146:M146" si="18">D24-D12</f>
        <v>0</v>
      </c>
      <c r="E146" s="6">
        <f t="shared" si="18"/>
        <v>3285870.5847786739</v>
      </c>
      <c r="F146" s="6">
        <f t="shared" si="18"/>
        <v>19287715.2553114</v>
      </c>
      <c r="G146" s="6">
        <f t="shared" si="18"/>
        <v>55551623.960782766</v>
      </c>
      <c r="H146" s="6">
        <f t="shared" si="18"/>
        <v>62366839.911364675</v>
      </c>
      <c r="I146" s="6">
        <f t="shared" si="18"/>
        <v>14782024.829161242</v>
      </c>
      <c r="J146" s="6">
        <f t="shared" si="18"/>
        <v>10456929.602119803</v>
      </c>
      <c r="K146" s="6">
        <f t="shared" si="18"/>
        <v>3135995.7186789811</v>
      </c>
      <c r="L146" s="6">
        <f t="shared" si="18"/>
        <v>2976600.5931732208</v>
      </c>
      <c r="M146" s="6">
        <f t="shared" si="18"/>
        <v>6002703.5143543333</v>
      </c>
      <c r="N146" s="6">
        <f>SUM(D146:M146)</f>
        <v>177846303.96972513</v>
      </c>
    </row>
    <row r="147" spans="1:14">
      <c r="C147" s="232" t="s">
        <v>833</v>
      </c>
    </row>
    <row r="148" spans="1:14" ht="13">
      <c r="C148" s="12"/>
      <c r="D148" s="48">
        <v>350.1</v>
      </c>
      <c r="E148" s="48">
        <v>350.2</v>
      </c>
      <c r="F148" s="48">
        <v>352</v>
      </c>
      <c r="G148" s="48">
        <v>353</v>
      </c>
      <c r="H148" s="48">
        <v>354</v>
      </c>
      <c r="I148" s="48">
        <v>355</v>
      </c>
      <c r="J148" s="48">
        <v>356</v>
      </c>
      <c r="K148" s="48">
        <v>357</v>
      </c>
      <c r="L148" s="48">
        <v>358</v>
      </c>
      <c r="M148" s="48">
        <v>359</v>
      </c>
      <c r="N148" s="3" t="s">
        <v>252</v>
      </c>
    </row>
    <row r="149" spans="1:14" ht="13">
      <c r="A149" s="2">
        <f>A146+1</f>
        <v>53</v>
      </c>
      <c r="C149" s="12"/>
      <c r="D149" s="6">
        <f t="shared" ref="D149:M149" si="19">D122</f>
        <v>0</v>
      </c>
      <c r="E149" s="6">
        <f t="shared" si="19"/>
        <v>3106226.1538443235</v>
      </c>
      <c r="F149" s="6">
        <f t="shared" si="19"/>
        <v>25411790.409965631</v>
      </c>
      <c r="G149" s="6">
        <f t="shared" si="19"/>
        <v>118992863.47197661</v>
      </c>
      <c r="H149" s="6">
        <f t="shared" si="19"/>
        <v>62426604.209606484</v>
      </c>
      <c r="I149" s="6">
        <f t="shared" si="19"/>
        <v>26216824.599000394</v>
      </c>
      <c r="J149" s="6">
        <f t="shared" si="19"/>
        <v>51441937.146193877</v>
      </c>
      <c r="K149" s="6">
        <f t="shared" si="19"/>
        <v>3552588.5321614537</v>
      </c>
      <c r="L149" s="6">
        <f t="shared" si="19"/>
        <v>2273737.1924609994</v>
      </c>
      <c r="M149" s="6">
        <f t="shared" si="19"/>
        <v>3769358.2318630908</v>
      </c>
      <c r="N149" s="6">
        <f>SUM(D149:M149)</f>
        <v>297191929.94707286</v>
      </c>
    </row>
    <row r="150" spans="1:14">
      <c r="C150" s="232" t="s">
        <v>834</v>
      </c>
    </row>
    <row r="151" spans="1:14" ht="13">
      <c r="D151" s="48">
        <v>350.1</v>
      </c>
      <c r="E151" s="48">
        <v>350.2</v>
      </c>
      <c r="F151" s="48">
        <v>352</v>
      </c>
      <c r="G151" s="48">
        <v>353</v>
      </c>
      <c r="H151" s="48">
        <v>354</v>
      </c>
      <c r="I151" s="48">
        <v>355</v>
      </c>
      <c r="J151" s="48">
        <v>356</v>
      </c>
      <c r="K151" s="48">
        <v>357</v>
      </c>
      <c r="L151" s="48">
        <v>358</v>
      </c>
      <c r="M151" s="48">
        <v>359</v>
      </c>
      <c r="N151" s="3" t="s">
        <v>252</v>
      </c>
    </row>
    <row r="152" spans="1:14" ht="13">
      <c r="A152" s="2">
        <f>A149+1</f>
        <v>54</v>
      </c>
      <c r="D152" s="6">
        <f t="shared" ref="D152:M152" si="20">D146-D149</f>
        <v>0</v>
      </c>
      <c r="E152" s="6">
        <f t="shared" si="20"/>
        <v>179644.43093435047</v>
      </c>
      <c r="F152" s="6">
        <f t="shared" si="20"/>
        <v>-6124075.1546542309</v>
      </c>
      <c r="G152" s="6">
        <f t="shared" si="20"/>
        <v>-63441239.511193842</v>
      </c>
      <c r="H152" s="6">
        <f t="shared" si="20"/>
        <v>-59764.298241809011</v>
      </c>
      <c r="I152" s="6">
        <f t="shared" si="20"/>
        <v>-11434799.769839153</v>
      </c>
      <c r="J152" s="6">
        <f t="shared" si="20"/>
        <v>-40985007.544074073</v>
      </c>
      <c r="K152" s="6">
        <f t="shared" si="20"/>
        <v>-416592.81348247267</v>
      </c>
      <c r="L152" s="6">
        <f t="shared" si="20"/>
        <v>702863.4007122214</v>
      </c>
      <c r="M152" s="6">
        <f t="shared" si="20"/>
        <v>2233345.2824912425</v>
      </c>
      <c r="N152" s="6">
        <f>SUM(D152:M152)</f>
        <v>-119345625.97734778</v>
      </c>
    </row>
    <row r="154" spans="1:14" ht="13">
      <c r="C154" s="1" t="s">
        <v>835</v>
      </c>
      <c r="D154" s="233"/>
      <c r="E154" s="233"/>
      <c r="F154" s="233"/>
      <c r="G154" s="233"/>
      <c r="H154" s="233"/>
      <c r="I154" s="233"/>
      <c r="J154" s="233"/>
      <c r="K154" s="233"/>
      <c r="L154" s="233"/>
    </row>
    <row r="155" spans="1:14">
      <c r="C155" s="233"/>
      <c r="D155" s="233"/>
      <c r="E155" s="233"/>
      <c r="F155" s="233"/>
      <c r="G155" s="233"/>
      <c r="H155" s="233"/>
      <c r="I155" s="233"/>
      <c r="J155" s="233"/>
      <c r="K155" s="233"/>
      <c r="L155" s="233"/>
    </row>
    <row r="156" spans="1:14" ht="13">
      <c r="C156" s="48" t="s">
        <v>345</v>
      </c>
      <c r="D156" s="48" t="s">
        <v>346</v>
      </c>
      <c r="E156" s="48" t="s">
        <v>347</v>
      </c>
      <c r="F156" s="48" t="s">
        <v>348</v>
      </c>
      <c r="G156" s="48" t="s">
        <v>349</v>
      </c>
      <c r="H156" s="48" t="s">
        <v>350</v>
      </c>
      <c r="I156" s="48" t="s">
        <v>351</v>
      </c>
      <c r="J156" s="48" t="s">
        <v>352</v>
      </c>
      <c r="K156" s="48" t="s">
        <v>353</v>
      </c>
      <c r="L156" s="48" t="s">
        <v>603</v>
      </c>
      <c r="M156" s="48" t="s">
        <v>604</v>
      </c>
      <c r="N156" s="48" t="s">
        <v>605</v>
      </c>
    </row>
    <row r="157" spans="1:14">
      <c r="C157" s="125"/>
      <c r="D157" s="112"/>
      <c r="E157" s="112"/>
      <c r="F157" s="112"/>
      <c r="G157" s="112"/>
      <c r="H157" s="112"/>
      <c r="I157" s="112"/>
      <c r="J157" s="112"/>
      <c r="K157" s="112"/>
      <c r="L157" s="112"/>
      <c r="N157" s="125" t="s">
        <v>656</v>
      </c>
    </row>
    <row r="158" spans="1:14" ht="13">
      <c r="C158" s="3" t="s">
        <v>657</v>
      </c>
      <c r="D158" s="48">
        <v>350.1</v>
      </c>
      <c r="E158" s="48">
        <v>350.2</v>
      </c>
      <c r="F158" s="48">
        <v>352</v>
      </c>
      <c r="G158" s="48">
        <v>353</v>
      </c>
      <c r="H158" s="48">
        <v>354</v>
      </c>
      <c r="I158" s="48">
        <v>355</v>
      </c>
      <c r="J158" s="48">
        <v>356</v>
      </c>
      <c r="K158" s="48">
        <v>357</v>
      </c>
      <c r="L158" s="48">
        <v>358</v>
      </c>
      <c r="M158" s="48">
        <v>359</v>
      </c>
      <c r="N158" s="3" t="s">
        <v>252</v>
      </c>
    </row>
    <row r="159" spans="1:14" ht="13">
      <c r="A159" s="2">
        <f>A152+1</f>
        <v>55</v>
      </c>
      <c r="C159" s="507" t="s">
        <v>3090</v>
      </c>
      <c r="D159" s="114">
        <f>D$152*D129</f>
        <v>0</v>
      </c>
      <c r="E159" s="114">
        <f t="shared" ref="E159:M159" si="21">E$152*E129</f>
        <v>102388.50126928907</v>
      </c>
      <c r="F159" s="114">
        <f t="shared" si="21"/>
        <v>-509880.58348255017</v>
      </c>
      <c r="G159" s="114">
        <f t="shared" si="21"/>
        <v>-6748722.7984671528</v>
      </c>
      <c r="H159" s="114">
        <f t="shared" si="21"/>
        <v>-111.49081178820769</v>
      </c>
      <c r="I159" s="114">
        <f t="shared" si="21"/>
        <v>-134341219.94232202</v>
      </c>
      <c r="J159" s="114">
        <f t="shared" si="21"/>
        <v>1075757.0856932628</v>
      </c>
      <c r="K159" s="114">
        <f t="shared" si="21"/>
        <v>-31201.272633977078</v>
      </c>
      <c r="L159" s="114">
        <f t="shared" si="21"/>
        <v>27591.723955798687</v>
      </c>
      <c r="M159" s="114">
        <f t="shared" si="21"/>
        <v>936.60928992388006</v>
      </c>
      <c r="N159" s="114">
        <f>SUM(D159:M159)</f>
        <v>-140424462.1675092</v>
      </c>
    </row>
    <row r="160" spans="1:14" ht="13">
      <c r="A160" s="2">
        <f t="shared" ref="A160:A171" si="22">A159+1</f>
        <v>56</v>
      </c>
      <c r="C160" s="387" t="s">
        <v>3091</v>
      </c>
      <c r="D160" s="114">
        <f t="shared" ref="D160:M170" si="23">D$152*D130</f>
        <v>0</v>
      </c>
      <c r="E160" s="114">
        <f t="shared" si="23"/>
        <v>19508.399446987147</v>
      </c>
      <c r="F160" s="114">
        <f t="shared" si="23"/>
        <v>-242177.34015334371</v>
      </c>
      <c r="G160" s="114">
        <f t="shared" si="23"/>
        <v>-1790071.2596109479</v>
      </c>
      <c r="H160" s="114">
        <f t="shared" si="23"/>
        <v>45.335179809778552</v>
      </c>
      <c r="I160" s="114">
        <f t="shared" si="23"/>
        <v>-155316708.30261946</v>
      </c>
      <c r="J160" s="114">
        <f t="shared" si="23"/>
        <v>-1275687.2147051112</v>
      </c>
      <c r="K160" s="114">
        <f t="shared" si="23"/>
        <v>-31192.321076818669</v>
      </c>
      <c r="L160" s="114">
        <f t="shared" si="23"/>
        <v>31218.030074931528</v>
      </c>
      <c r="M160" s="114">
        <f t="shared" si="23"/>
        <v>153.42070302996953</v>
      </c>
      <c r="N160" s="114">
        <f t="shared" ref="N160:N170" si="24">SUM(D160:M160)</f>
        <v>-158604911.25276092</v>
      </c>
    </row>
    <row r="161" spans="1:14" ht="13">
      <c r="A161" s="2">
        <f t="shared" si="22"/>
        <v>57</v>
      </c>
      <c r="C161" s="507" t="s">
        <v>3092</v>
      </c>
      <c r="D161" s="114">
        <f t="shared" si="23"/>
        <v>0</v>
      </c>
      <c r="E161" s="114">
        <f t="shared" si="23"/>
        <v>3730.0055338868719</v>
      </c>
      <c r="F161" s="114">
        <f t="shared" si="23"/>
        <v>-707053.14655432513</v>
      </c>
      <c r="G161" s="114">
        <f t="shared" si="23"/>
        <v>-6555328.4770665858</v>
      </c>
      <c r="H161" s="114">
        <f t="shared" si="23"/>
        <v>-2626.1193454406553</v>
      </c>
      <c r="I161" s="114">
        <f t="shared" si="23"/>
        <v>62187511.970813945</v>
      </c>
      <c r="J161" s="114">
        <f t="shared" si="23"/>
        <v>-626980.97071387118</v>
      </c>
      <c r="K161" s="114">
        <f t="shared" si="23"/>
        <v>-31194.557544895812</v>
      </c>
      <c r="L161" s="114">
        <f t="shared" si="23"/>
        <v>53384.574998826327</v>
      </c>
      <c r="M161" s="114">
        <f t="shared" si="23"/>
        <v>417.8056441344624</v>
      </c>
      <c r="N161" s="114">
        <f t="shared" si="24"/>
        <v>54321861.085765675</v>
      </c>
    </row>
    <row r="162" spans="1:14" ht="13">
      <c r="A162" s="2">
        <f t="shared" si="22"/>
        <v>58</v>
      </c>
      <c r="C162" s="507" t="s">
        <v>3093</v>
      </c>
      <c r="D162" s="114">
        <f t="shared" si="23"/>
        <v>0</v>
      </c>
      <c r="E162" s="114">
        <f t="shared" si="23"/>
        <v>894.07062894767193</v>
      </c>
      <c r="F162" s="114">
        <f t="shared" si="23"/>
        <v>-1888197.5370147927</v>
      </c>
      <c r="G162" s="114">
        <f t="shared" si="23"/>
        <v>-19783152.405724011</v>
      </c>
      <c r="H162" s="114">
        <f t="shared" si="23"/>
        <v>-31686.378027742696</v>
      </c>
      <c r="I162" s="114">
        <f t="shared" si="23"/>
        <v>262028445.36911774</v>
      </c>
      <c r="J162" s="114">
        <f t="shared" si="23"/>
        <v>-51577455.109493569</v>
      </c>
      <c r="K162" s="114">
        <f t="shared" si="23"/>
        <v>-31195.41074879088</v>
      </c>
      <c r="L162" s="114">
        <f t="shared" si="23"/>
        <v>23275.968452824436</v>
      </c>
      <c r="M162" s="114">
        <f t="shared" si="23"/>
        <v>21096.732815864911</v>
      </c>
      <c r="N162" s="114">
        <f t="shared" si="24"/>
        <v>188762025.30000645</v>
      </c>
    </row>
    <row r="163" spans="1:14" ht="13">
      <c r="A163" s="2">
        <f t="shared" si="22"/>
        <v>59</v>
      </c>
      <c r="C163" s="507" t="s">
        <v>3094</v>
      </c>
      <c r="D163" s="114">
        <f t="shared" si="23"/>
        <v>0</v>
      </c>
      <c r="E163" s="114">
        <f t="shared" si="23"/>
        <v>28262.808167311934</v>
      </c>
      <c r="F163" s="114">
        <f t="shared" si="23"/>
        <v>-591631.57676536287</v>
      </c>
      <c r="G163" s="114">
        <f t="shared" si="23"/>
        <v>-6407054.4303462123</v>
      </c>
      <c r="H163" s="114">
        <f t="shared" si="23"/>
        <v>1305.3845896888613</v>
      </c>
      <c r="I163" s="114">
        <f t="shared" si="23"/>
        <v>296007632.31528836</v>
      </c>
      <c r="J163" s="114">
        <f t="shared" si="23"/>
        <v>-3238337.7481103223</v>
      </c>
      <c r="K163" s="114">
        <f t="shared" si="23"/>
        <v>-54011.02557894824</v>
      </c>
      <c r="L163" s="114">
        <f t="shared" si="23"/>
        <v>107116.29622700078</v>
      </c>
      <c r="M163" s="114">
        <f t="shared" si="23"/>
        <v>73121.730113876503</v>
      </c>
      <c r="N163" s="114">
        <f t="shared" si="24"/>
        <v>285926403.75358534</v>
      </c>
    </row>
    <row r="164" spans="1:14" ht="13">
      <c r="A164" s="2">
        <f t="shared" si="22"/>
        <v>60</v>
      </c>
      <c r="C164" s="507" t="s">
        <v>3095</v>
      </c>
      <c r="D164" s="114">
        <f t="shared" si="23"/>
        <v>0</v>
      </c>
      <c r="E164" s="114">
        <f t="shared" si="23"/>
        <v>1629.3449710499765</v>
      </c>
      <c r="F164" s="114">
        <f t="shared" si="23"/>
        <v>-236042.16872910986</v>
      </c>
      <c r="G164" s="114">
        <f t="shared" si="23"/>
        <v>-1663762.6474768701</v>
      </c>
      <c r="H164" s="114">
        <f t="shared" si="23"/>
        <v>-285.61085556803755</v>
      </c>
      <c r="I164" s="114">
        <f t="shared" si="23"/>
        <v>-24299814.244567379</v>
      </c>
      <c r="J164" s="114">
        <f t="shared" si="23"/>
        <v>40554891.005700178</v>
      </c>
      <c r="K164" s="114">
        <f t="shared" si="23"/>
        <v>-31459.125726953789</v>
      </c>
      <c r="L164" s="114">
        <f t="shared" si="23"/>
        <v>31068.13144681833</v>
      </c>
      <c r="M164" s="114">
        <f t="shared" si="23"/>
        <v>1733818.1436328175</v>
      </c>
      <c r="N164" s="114">
        <f t="shared" si="24"/>
        <v>16090042.828394985</v>
      </c>
    </row>
    <row r="165" spans="1:14" ht="13">
      <c r="A165" s="2">
        <f t="shared" si="22"/>
        <v>61</v>
      </c>
      <c r="C165" s="507" t="s">
        <v>3096</v>
      </c>
      <c r="D165" s="114">
        <f t="shared" si="23"/>
        <v>0</v>
      </c>
      <c r="E165" s="114">
        <f t="shared" si="23"/>
        <v>10150.569299927545</v>
      </c>
      <c r="F165" s="114">
        <f t="shared" si="23"/>
        <v>-331031.14608134574</v>
      </c>
      <c r="G165" s="114">
        <f t="shared" si="23"/>
        <v>-932398.97115890344</v>
      </c>
      <c r="H165" s="114">
        <f t="shared" si="23"/>
        <v>-19554.523833751053</v>
      </c>
      <c r="I165" s="114">
        <f t="shared" si="23"/>
        <v>-125968329.6110992</v>
      </c>
      <c r="J165" s="114">
        <f t="shared" si="23"/>
        <v>-21726598.804812033</v>
      </c>
      <c r="K165" s="114">
        <f t="shared" si="23"/>
        <v>-31704.88755815765</v>
      </c>
      <c r="L165" s="114">
        <f t="shared" si="23"/>
        <v>211684.25899298844</v>
      </c>
      <c r="M165" s="114">
        <f t="shared" si="23"/>
        <v>111453.43651207016</v>
      </c>
      <c r="N165" s="114">
        <f t="shared" si="24"/>
        <v>-148676329.67973837</v>
      </c>
    </row>
    <row r="166" spans="1:14" ht="13">
      <c r="A166" s="2">
        <f t="shared" si="22"/>
        <v>62</v>
      </c>
      <c r="C166" s="507" t="s">
        <v>3097</v>
      </c>
      <c r="D166" s="114">
        <f t="shared" si="23"/>
        <v>0</v>
      </c>
      <c r="E166" s="114">
        <f t="shared" si="23"/>
        <v>1631.9411158847322</v>
      </c>
      <c r="F166" s="114">
        <f t="shared" si="23"/>
        <v>-670531.41087158781</v>
      </c>
      <c r="G166" s="114">
        <f t="shared" si="23"/>
        <v>-5222094.3846017336</v>
      </c>
      <c r="H166" s="114">
        <f t="shared" si="23"/>
        <v>2019.52965692669</v>
      </c>
      <c r="I166" s="114">
        <f t="shared" si="23"/>
        <v>185745148.95559105</v>
      </c>
      <c r="J166" s="114">
        <f t="shared" si="23"/>
        <v>699767.87769937539</v>
      </c>
      <c r="K166" s="114">
        <f t="shared" si="23"/>
        <v>-31595.959053172643</v>
      </c>
      <c r="L166" s="114">
        <f t="shared" si="23"/>
        <v>50529.996505410534</v>
      </c>
      <c r="M166" s="114">
        <f t="shared" si="23"/>
        <v>21877.565959539425</v>
      </c>
      <c r="N166" s="114">
        <f t="shared" si="24"/>
        <v>180596754.11200172</v>
      </c>
    </row>
    <row r="167" spans="1:14" ht="13">
      <c r="A167" s="2">
        <f t="shared" si="22"/>
        <v>63</v>
      </c>
      <c r="C167" s="507" t="s">
        <v>3098</v>
      </c>
      <c r="D167" s="114">
        <f t="shared" si="23"/>
        <v>0</v>
      </c>
      <c r="E167" s="114">
        <f t="shared" si="23"/>
        <v>1885.3962658299188</v>
      </c>
      <c r="F167" s="114">
        <f t="shared" si="23"/>
        <v>-267364.37945646181</v>
      </c>
      <c r="G167" s="114">
        <f t="shared" si="23"/>
        <v>-1889768.6248872301</v>
      </c>
      <c r="H167" s="114">
        <f t="shared" si="23"/>
        <v>-1082.1222782062293</v>
      </c>
      <c r="I167" s="114">
        <f t="shared" si="23"/>
        <v>-161770937.62746531</v>
      </c>
      <c r="J167" s="114">
        <f t="shared" si="23"/>
        <v>-7066570.7129405513</v>
      </c>
      <c r="K167" s="114">
        <f t="shared" si="23"/>
        <v>-32159.501356949779</v>
      </c>
      <c r="L167" s="114">
        <f t="shared" si="23"/>
        <v>31705.83421113266</v>
      </c>
      <c r="M167" s="114">
        <f t="shared" si="23"/>
        <v>56662.822428345251</v>
      </c>
      <c r="N167" s="114">
        <f t="shared" si="24"/>
        <v>-170937628.91547939</v>
      </c>
    </row>
    <row r="168" spans="1:14" ht="13">
      <c r="A168" s="2">
        <f t="shared" si="22"/>
        <v>64</v>
      </c>
      <c r="C168" s="507" t="s">
        <v>3099</v>
      </c>
      <c r="D168" s="114">
        <f t="shared" si="23"/>
        <v>0</v>
      </c>
      <c r="E168" s="114">
        <f t="shared" si="23"/>
        <v>1494.3082447834174</v>
      </c>
      <c r="F168" s="114">
        <f t="shared" si="23"/>
        <v>-333922.48827258224</v>
      </c>
      <c r="G168" s="114">
        <f t="shared" si="23"/>
        <v>-2232550.8158672634</v>
      </c>
      <c r="H168" s="114">
        <f t="shared" si="23"/>
        <v>-6643.7900737926166</v>
      </c>
      <c r="I168" s="114">
        <f t="shared" si="23"/>
        <v>-179954995.37638146</v>
      </c>
      <c r="J168" s="114">
        <f t="shared" si="23"/>
        <v>-179457.90296391165</v>
      </c>
      <c r="K168" s="114">
        <f t="shared" si="23"/>
        <v>-30818.885405194662</v>
      </c>
      <c r="L168" s="114">
        <f t="shared" si="23"/>
        <v>28436.811693736887</v>
      </c>
      <c r="M168" s="114">
        <f t="shared" si="23"/>
        <v>30800.603714179317</v>
      </c>
      <c r="N168" s="114">
        <f t="shared" si="24"/>
        <v>-182677657.53531149</v>
      </c>
    </row>
    <row r="169" spans="1:14" ht="13">
      <c r="A169" s="2">
        <f t="shared" si="22"/>
        <v>65</v>
      </c>
      <c r="C169" s="507" t="s">
        <v>3100</v>
      </c>
      <c r="D169" s="114">
        <f t="shared" si="23"/>
        <v>0</v>
      </c>
      <c r="E169" s="114">
        <f t="shared" si="23"/>
        <v>1611.0157420700141</v>
      </c>
      <c r="F169" s="114">
        <f t="shared" si="23"/>
        <v>188985.95361884579</v>
      </c>
      <c r="G169" s="114">
        <f t="shared" si="23"/>
        <v>-734826.64921246294</v>
      </c>
      <c r="H169" s="114">
        <f t="shared" si="23"/>
        <v>36.340165188227168</v>
      </c>
      <c r="I169" s="114">
        <f t="shared" si="23"/>
        <v>-6222266.0059742769</v>
      </c>
      <c r="J169" s="114">
        <f t="shared" si="23"/>
        <v>340192.50438739522</v>
      </c>
      <c r="K169" s="114">
        <f t="shared" si="23"/>
        <v>-45738.71899512106</v>
      </c>
      <c r="L169" s="114">
        <f t="shared" si="23"/>
        <v>78210.115341218334</v>
      </c>
      <c r="M169" s="114">
        <f t="shared" si="23"/>
        <v>139200.06083201416</v>
      </c>
      <c r="N169" s="114">
        <f t="shared" si="24"/>
        <v>-6254595.3840951296</v>
      </c>
    </row>
    <row r="170" spans="1:14" ht="13">
      <c r="A170" s="2">
        <f t="shared" si="22"/>
        <v>66</v>
      </c>
      <c r="C170" s="1191" t="s">
        <v>3101</v>
      </c>
      <c r="D170" s="183">
        <f t="shared" si="23"/>
        <v>0</v>
      </c>
      <c r="E170" s="183">
        <f t="shared" si="23"/>
        <v>6458.0702483821651</v>
      </c>
      <c r="F170" s="183">
        <f t="shared" si="23"/>
        <v>-535229.33089161443</v>
      </c>
      <c r="G170" s="183">
        <f t="shared" si="23"/>
        <v>-9481508.0467744693</v>
      </c>
      <c r="H170" s="183">
        <f t="shared" si="23"/>
        <v>-1180.8526071330709</v>
      </c>
      <c r="I170" s="183">
        <f t="shared" si="23"/>
        <v>-29529267.270221148</v>
      </c>
      <c r="J170" s="183">
        <f t="shared" si="23"/>
        <v>2035472.4461850785</v>
      </c>
      <c r="K170" s="183">
        <f t="shared" si="23"/>
        <v>-34321.147803492408</v>
      </c>
      <c r="L170" s="183">
        <f t="shared" si="23"/>
        <v>28641.658811534453</v>
      </c>
      <c r="M170" s="183">
        <f t="shared" si="23"/>
        <v>43806.350845446716</v>
      </c>
      <c r="N170" s="183">
        <f t="shared" si="24"/>
        <v>-37467128.122207411</v>
      </c>
    </row>
    <row r="171" spans="1:14" ht="13">
      <c r="A171" s="2">
        <f t="shared" si="22"/>
        <v>67</v>
      </c>
      <c r="C171" s="559" t="s">
        <v>418</v>
      </c>
      <c r="D171" s="114">
        <f>SUM(D159:D170)</f>
        <v>0</v>
      </c>
      <c r="E171" s="114">
        <f t="shared" ref="E171:M171" si="25">SUM(E159:E170)</f>
        <v>179644.43093435047</v>
      </c>
      <c r="F171" s="114">
        <f t="shared" si="25"/>
        <v>-6124075.1546542309</v>
      </c>
      <c r="G171" s="114">
        <f t="shared" si="25"/>
        <v>-63441239.511193842</v>
      </c>
      <c r="H171" s="114">
        <f t="shared" si="25"/>
        <v>-59764.298241809018</v>
      </c>
      <c r="I171" s="114">
        <f t="shared" si="25"/>
        <v>-11434799.769839186</v>
      </c>
      <c r="J171" s="114">
        <f t="shared" si="25"/>
        <v>-40985007.544074088</v>
      </c>
      <c r="K171" s="114">
        <f t="shared" si="25"/>
        <v>-416592.81348247267</v>
      </c>
      <c r="L171" s="114">
        <f t="shared" si="25"/>
        <v>702863.4007122214</v>
      </c>
      <c r="M171" s="114">
        <f t="shared" si="25"/>
        <v>2233345.2824912425</v>
      </c>
      <c r="N171" s="114">
        <f>SUM(N159:N170)</f>
        <v>-119345625.97734773</v>
      </c>
    </row>
    <row r="173" spans="1:14" ht="13">
      <c r="B173" s="200" t="s">
        <v>233</v>
      </c>
    </row>
    <row r="174" spans="1:14">
      <c r="B174" s="1156" t="s">
        <v>3103</v>
      </c>
    </row>
    <row r="175" spans="1:14">
      <c r="B175" s="1159" t="s">
        <v>3104</v>
      </c>
    </row>
    <row r="176" spans="1:14">
      <c r="B176" s="303" t="s">
        <v>3105</v>
      </c>
      <c r="C176" s="303"/>
      <c r="D176" s="303"/>
      <c r="E176" s="303"/>
      <c r="F176" s="303"/>
      <c r="G176" s="303"/>
      <c r="H176" s="303"/>
      <c r="I176" s="303"/>
      <c r="L176" s="303"/>
      <c r="M176" s="303"/>
    </row>
    <row r="177" spans="2:13">
      <c r="B177" s="304" t="s">
        <v>836</v>
      </c>
      <c r="C177" s="303"/>
      <c r="D177" s="303"/>
      <c r="E177" s="303"/>
      <c r="F177" s="303"/>
      <c r="G177" s="303"/>
      <c r="H177" s="303"/>
      <c r="I177" s="303"/>
      <c r="J177" s="303"/>
      <c r="K177" s="303"/>
      <c r="L177" s="303"/>
      <c r="M177" s="303"/>
    </row>
    <row r="178" spans="2:13">
      <c r="B178" s="304" t="s">
        <v>837</v>
      </c>
      <c r="C178" s="303"/>
      <c r="D178" s="303"/>
      <c r="E178" s="303"/>
      <c r="F178" s="303"/>
      <c r="G178" s="303"/>
      <c r="H178" s="303"/>
      <c r="I178" s="303"/>
      <c r="J178" s="303"/>
      <c r="K178" s="303"/>
      <c r="L178" s="303"/>
      <c r="M178" s="303"/>
    </row>
    <row r="179" spans="2:13">
      <c r="B179" s="304" t="s">
        <v>838</v>
      </c>
      <c r="C179" s="303"/>
      <c r="D179" s="303"/>
      <c r="E179" s="303"/>
      <c r="F179" s="303"/>
      <c r="G179" s="303"/>
      <c r="H179" s="303"/>
      <c r="I179" s="303"/>
      <c r="J179" s="303"/>
      <c r="K179" s="303"/>
      <c r="L179" s="303"/>
      <c r="M179" s="303"/>
    </row>
    <row r="180" spans="2:13">
      <c r="B180" s="303" t="s">
        <v>839</v>
      </c>
      <c r="C180" s="303"/>
      <c r="D180" s="303"/>
      <c r="E180" s="303"/>
      <c r="F180" s="303"/>
      <c r="G180" s="303"/>
      <c r="H180" s="303"/>
      <c r="I180" s="303"/>
      <c r="J180" s="303"/>
      <c r="K180" s="303"/>
      <c r="L180" s="303"/>
      <c r="M180" s="303"/>
    </row>
    <row r="181" spans="2:13">
      <c r="B181" s="304" t="s">
        <v>840</v>
      </c>
      <c r="C181" s="303"/>
      <c r="D181" s="303"/>
      <c r="E181" s="303"/>
      <c r="F181" s="303"/>
      <c r="G181" s="303"/>
      <c r="H181" s="303"/>
      <c r="I181" s="303"/>
      <c r="J181" s="303"/>
      <c r="K181" s="303"/>
      <c r="L181" s="303"/>
      <c r="M181" s="303"/>
    </row>
    <row r="182" spans="2:13">
      <c r="B182" s="304" t="s">
        <v>841</v>
      </c>
      <c r="C182" s="303"/>
      <c r="D182" s="303"/>
      <c r="E182" s="303"/>
      <c r="F182" s="303"/>
      <c r="G182" s="303"/>
      <c r="H182" s="303"/>
      <c r="I182" s="303"/>
      <c r="J182" s="303"/>
      <c r="K182" s="303"/>
      <c r="L182" s="303"/>
      <c r="M182" s="303"/>
    </row>
    <row r="183" spans="2:13">
      <c r="B183" s="304" t="s">
        <v>842</v>
      </c>
      <c r="C183" s="303"/>
      <c r="D183" s="303"/>
      <c r="E183" s="303"/>
      <c r="F183" s="303"/>
      <c r="G183" s="303"/>
      <c r="H183" s="303"/>
      <c r="I183" s="303"/>
      <c r="J183" s="303"/>
      <c r="K183" s="303"/>
      <c r="L183" s="303"/>
      <c r="M183" s="303"/>
    </row>
    <row r="184" spans="2:13">
      <c r="B184" s="233" t="s">
        <v>843</v>
      </c>
      <c r="J184" s="303"/>
      <c r="K184" s="303"/>
      <c r="L184" s="303"/>
      <c r="M184" s="303"/>
    </row>
    <row r="185" spans="2:13">
      <c r="B185" s="232" t="s">
        <v>3053</v>
      </c>
      <c r="G185" s="231" t="s">
        <v>200</v>
      </c>
      <c r="H185" s="240" t="s">
        <v>453</v>
      </c>
      <c r="J185" s="303"/>
      <c r="K185" s="303"/>
      <c r="L185" s="303"/>
      <c r="M185" s="303"/>
    </row>
    <row r="186" spans="2:13">
      <c r="B186" s="276" t="s">
        <v>844</v>
      </c>
      <c r="J186" s="303"/>
      <c r="K186" s="303"/>
      <c r="L186" s="303"/>
      <c r="M186" s="303"/>
    </row>
    <row r="187" spans="2:13">
      <c r="B187" s="233" t="str">
        <f>"2a) Amounts on Line "&amp;A73&amp;" derived from Plant Study for previous year Prior Year."</f>
        <v>2a) Amounts on Line 15 derived from Plant Study for previous year Prior Year.</v>
      </c>
    </row>
    <row r="188" spans="2:13">
      <c r="B188" s="232" t="str">
        <f>"Amounts on Line "&amp;A74&amp;" derived from Plant Study for Prior Year."</f>
        <v>Amounts on Line 16 derived from Plant Study for Prior Year.</v>
      </c>
    </row>
    <row r="189" spans="2:13">
      <c r="B189" s="233" t="s">
        <v>845</v>
      </c>
    </row>
    <row r="190" spans="2:13">
      <c r="B190" s="232" t="s">
        <v>3029</v>
      </c>
    </row>
    <row r="191" spans="2:13">
      <c r="B191" s="232" t="s">
        <v>3015</v>
      </c>
      <c r="E191" s="231" t="s">
        <v>200</v>
      </c>
      <c r="F191" s="240" t="s">
        <v>3156</v>
      </c>
      <c r="G191" s="54"/>
      <c r="H191" s="54"/>
    </row>
    <row r="192" spans="2:13">
      <c r="B192" t="str">
        <f>"3) From 17-Depreciation, Lines "&amp;'17-Depreciation'!A80&amp;" to "&amp;'17-Depreciation'!A91&amp;"."</f>
        <v>3) From 17-Depreciation, Lines 24 to 35.</v>
      </c>
    </row>
    <row r="193" spans="2:2">
      <c r="B193" s="233" t="s">
        <v>846</v>
      </c>
    </row>
    <row r="194" spans="2:2">
      <c r="B194" s="233" t="str">
        <f>"5) Line "&amp;A24&amp;" - Line "&amp;A12&amp;"."</f>
        <v>5) Line 13 - Line 1.</v>
      </c>
    </row>
    <row r="195" spans="2:2">
      <c r="B195" t="str">
        <f>"6) Line "&amp;A122&amp;"."</f>
        <v>6) Line 39.</v>
      </c>
    </row>
    <row r="196" spans="2:2">
      <c r="B196" s="233" t="str">
        <f>"7) Line "&amp;A146&amp;" - Line "&amp;A149&amp;"."</f>
        <v>7) Line 52 - Line 53.</v>
      </c>
    </row>
    <row r="197" spans="2:2">
      <c r="B197" s="233" t="s">
        <v>847</v>
      </c>
    </row>
    <row r="198" spans="2:2">
      <c r="B198" s="232" t="s">
        <v>848</v>
      </c>
    </row>
    <row r="199" spans="2:2">
      <c r="B199" s="233"/>
    </row>
    <row r="200" spans="2:2">
      <c r="B200" s="233"/>
    </row>
  </sheetData>
  <phoneticPr fontId="26" type="noConversion"/>
  <pageMargins left="0.75" right="0.75" top="1" bottom="1" header="0.5" footer="0.5"/>
  <pageSetup scale="65" orientation="landscape" cellComments="asDisplayed" r:id="rId1"/>
  <headerFooter alignWithMargins="0">
    <oddHeader>&amp;CSchedule 8
Accumulated Depreciation
&amp;RTO2027 Draft Annual Update 
Attachment 1</oddHeader>
    <oddFooter>&amp;R&amp;A</oddFooter>
  </headerFooter>
  <rowBreaks count="3" manualBreakCount="3">
    <brk id="48" max="16383" man="1"/>
    <brk id="102" max="16383" man="1"/>
    <brk id="153" max="16383" man="1"/>
  </rowBreaks>
  <ignoredErrors>
    <ignoredError sqref="D75:F7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64"/>
  <sheetViews>
    <sheetView zoomScaleNormal="100" workbookViewId="0"/>
  </sheetViews>
  <sheetFormatPr defaultRowHeight="13"/>
  <cols>
    <col min="1" max="1" width="5.81640625" customWidth="1"/>
    <col min="2" max="2" width="9.54296875" style="268" customWidth="1"/>
    <col min="3" max="3" width="50.54296875" style="268" customWidth="1"/>
    <col min="4" max="4" width="23.453125" style="268" bestFit="1" customWidth="1"/>
    <col min="5" max="5" width="22" style="268" customWidth="1"/>
    <col min="6" max="6" width="15.54296875" style="268" customWidth="1"/>
    <col min="7" max="7" width="19.453125" style="268" customWidth="1"/>
    <col min="8" max="9" width="17.453125" style="268" customWidth="1"/>
    <col min="10" max="10" width="29.453125" style="268" customWidth="1"/>
    <col min="11" max="11" width="25.54296875" customWidth="1"/>
  </cols>
  <sheetData>
    <row r="1" spans="1:10">
      <c r="A1" s="1" t="s">
        <v>849</v>
      </c>
      <c r="B1" s="112"/>
      <c r="C1" s="112"/>
      <c r="D1" s="112"/>
      <c r="E1" s="112"/>
      <c r="F1" s="198" t="s">
        <v>99</v>
      </c>
      <c r="G1" s="198"/>
      <c r="H1" s="112"/>
      <c r="I1" s="112"/>
      <c r="J1" s="112"/>
    </row>
    <row r="2" spans="1:10">
      <c r="A2" s="112"/>
      <c r="B2" s="307"/>
      <c r="C2" s="303"/>
      <c r="D2" s="303"/>
      <c r="E2" s="112"/>
      <c r="F2" s="112"/>
      <c r="G2" s="112"/>
      <c r="H2" s="112"/>
      <c r="I2" s="112"/>
      <c r="J2" s="112"/>
    </row>
    <row r="3" spans="1:10">
      <c r="A3" s="112"/>
      <c r="B3" s="307" t="s">
        <v>850</v>
      </c>
      <c r="C3" s="303"/>
      <c r="D3" s="303"/>
      <c r="E3" s="112"/>
      <c r="F3" s="112"/>
      <c r="G3" s="112"/>
      <c r="H3" s="112"/>
      <c r="I3" s="112"/>
      <c r="J3" s="112"/>
    </row>
    <row r="4" spans="1:10">
      <c r="A4" s="112"/>
      <c r="B4" s="307"/>
      <c r="C4" s="303"/>
      <c r="D4" s="303"/>
      <c r="E4" s="112"/>
      <c r="F4" s="112"/>
      <c r="G4" s="112"/>
      <c r="H4" s="112"/>
      <c r="I4" s="112"/>
      <c r="J4" s="112"/>
    </row>
    <row r="5" spans="1:10">
      <c r="A5" s="112"/>
      <c r="B5" s="308" t="s">
        <v>851</v>
      </c>
      <c r="C5" s="303"/>
      <c r="D5" s="303"/>
      <c r="E5" s="112"/>
      <c r="F5" s="112"/>
      <c r="G5" s="112"/>
      <c r="H5" s="112"/>
      <c r="I5" s="112"/>
      <c r="J5" s="112"/>
    </row>
    <row r="6" spans="1:10">
      <c r="A6" s="112"/>
      <c r="B6" s="307"/>
      <c r="C6" s="48" t="s">
        <v>345</v>
      </c>
      <c r="D6" s="48" t="s">
        <v>346</v>
      </c>
      <c r="E6" s="112"/>
      <c r="I6" s="112"/>
      <c r="J6" s="112"/>
    </row>
    <row r="7" spans="1:10">
      <c r="A7" s="112"/>
      <c r="C7" s="303"/>
      <c r="D7" s="112"/>
      <c r="E7" s="112"/>
      <c r="I7" s="112"/>
      <c r="J7" s="112"/>
    </row>
    <row r="8" spans="1:10">
      <c r="A8" s="112"/>
      <c r="B8" s="307"/>
      <c r="C8" s="112"/>
      <c r="D8" s="2" t="s">
        <v>252</v>
      </c>
      <c r="J8" s="112"/>
    </row>
    <row r="9" spans="1:10">
      <c r="A9" s="32" t="s">
        <v>282</v>
      </c>
      <c r="B9" s="307"/>
      <c r="C9" s="200" t="s">
        <v>743</v>
      </c>
      <c r="D9" s="3" t="s">
        <v>852</v>
      </c>
      <c r="E9" s="184" t="s">
        <v>684</v>
      </c>
      <c r="J9" s="112"/>
    </row>
    <row r="10" spans="1:10" ht="14.5">
      <c r="A10" s="191">
        <v>1</v>
      </c>
      <c r="B10" s="307"/>
      <c r="C10" s="233" t="s">
        <v>853</v>
      </c>
      <c r="D10" s="235">
        <f>+D70</f>
        <v>320139408.12164265</v>
      </c>
      <c r="E10" s="232" t="str">
        <f>"Line "&amp;A70&amp;", Col. 2"</f>
        <v>Line 353, Col. 2</v>
      </c>
      <c r="J10" s="112"/>
    </row>
    <row r="11" spans="1:10">
      <c r="A11" s="2">
        <f>A10+1</f>
        <v>2</v>
      </c>
      <c r="B11" s="307"/>
      <c r="C11" s="233" t="s">
        <v>854</v>
      </c>
      <c r="D11" s="235">
        <f>+D88</f>
        <v>-1461795976</v>
      </c>
      <c r="E11" s="232" t="str">
        <f>"Line "&amp;A88&amp;", Col. 2"</f>
        <v>Line 452, Col. 2</v>
      </c>
      <c r="J11"/>
    </row>
    <row r="12" spans="1:10">
      <c r="A12" s="2">
        <f t="shared" ref="A12:A24" si="0">A11+1</f>
        <v>3</v>
      </c>
      <c r="B12" s="307"/>
      <c r="C12" s="233" t="s">
        <v>855</v>
      </c>
      <c r="D12" s="235">
        <f>+D132</f>
        <v>-17847784.874691959</v>
      </c>
      <c r="E12" s="232" t="str">
        <f>"Line "&amp;A132&amp;", Col. 2"</f>
        <v>Line 803, Col. 2</v>
      </c>
      <c r="J12"/>
    </row>
    <row r="13" spans="1:10">
      <c r="A13" s="2">
        <f t="shared" si="0"/>
        <v>4</v>
      </c>
      <c r="B13" s="307"/>
      <c r="C13" s="233" t="s">
        <v>856</v>
      </c>
      <c r="D13" s="923">
        <f>'9-ADIT-2'!M49</f>
        <v>-478577790.94</v>
      </c>
      <c r="E13" s="232" t="s">
        <v>857</v>
      </c>
      <c r="F13" s="922"/>
      <c r="J13"/>
    </row>
    <row r="14" spans="1:10">
      <c r="A14" s="2">
        <f t="shared" si="0"/>
        <v>5</v>
      </c>
      <c r="B14" s="307"/>
      <c r="C14" s="233" t="s">
        <v>858</v>
      </c>
      <c r="D14" s="235">
        <f>SUM(D10:D13)</f>
        <v>-1638082143.6930494</v>
      </c>
      <c r="E14" s="278" t="str">
        <f>"Sum of Lines "&amp;A10&amp;" to "&amp;A13&amp;""</f>
        <v>Sum of Lines 1 to 4</v>
      </c>
      <c r="H14" s="664"/>
      <c r="I14" s="664"/>
      <c r="J14"/>
    </row>
    <row r="15" spans="1:10">
      <c r="A15" s="2">
        <f t="shared" si="0"/>
        <v>6</v>
      </c>
      <c r="B15" s="307"/>
      <c r="C15" s="232" t="s">
        <v>859</v>
      </c>
      <c r="D15" s="112"/>
      <c r="E15" s="112"/>
      <c r="G15" s="124"/>
      <c r="H15" s="123"/>
      <c r="I15" s="112"/>
      <c r="J15" s="112"/>
    </row>
    <row r="16" spans="1:10">
      <c r="A16" s="2">
        <f t="shared" si="0"/>
        <v>7</v>
      </c>
      <c r="B16" s="308" t="s">
        <v>860</v>
      </c>
      <c r="E16" s="112"/>
      <c r="G16" s="269"/>
      <c r="H16" s="270"/>
      <c r="I16" s="269"/>
      <c r="J16" s="112"/>
    </row>
    <row r="17" spans="1:10">
      <c r="A17" s="2">
        <f t="shared" si="0"/>
        <v>8</v>
      </c>
      <c r="B17" s="308"/>
      <c r="D17" s="2" t="s">
        <v>861</v>
      </c>
      <c r="E17" s="112"/>
      <c r="G17" s="269"/>
      <c r="H17" s="270"/>
      <c r="I17" s="269"/>
      <c r="J17" s="112"/>
    </row>
    <row r="18" spans="1:10">
      <c r="A18" s="2">
        <f t="shared" si="0"/>
        <v>9</v>
      </c>
      <c r="B18" s="307"/>
      <c r="D18" s="3" t="s">
        <v>852</v>
      </c>
      <c r="E18" s="184" t="s">
        <v>684</v>
      </c>
      <c r="G18" s="271"/>
      <c r="H18" s="269"/>
      <c r="I18" s="269"/>
      <c r="J18" s="112"/>
    </row>
    <row r="19" spans="1:10">
      <c r="A19" s="2">
        <f t="shared" si="0"/>
        <v>10</v>
      </c>
      <c r="B19" s="307"/>
      <c r="C19" s="233" t="s">
        <v>858</v>
      </c>
      <c r="D19" s="253">
        <v>-1569118607.1745193</v>
      </c>
      <c r="E19" s="232" t="str">
        <f>"Previous Year Informational Filing, Line "&amp;A14&amp;", Col. 2"</f>
        <v>Previous Year Informational Filing, Line 5, Col. 2</v>
      </c>
      <c r="G19" s="604"/>
      <c r="H19" s="269"/>
      <c r="I19" s="269"/>
    </row>
    <row r="20" spans="1:10">
      <c r="A20" s="2">
        <f t="shared" si="0"/>
        <v>11</v>
      </c>
      <c r="B20" s="307"/>
      <c r="D20" s="112"/>
      <c r="E20" s="112"/>
      <c r="F20" s="269"/>
      <c r="G20" s="269"/>
      <c r="H20" s="269"/>
      <c r="I20" s="269"/>
      <c r="J20" s="112"/>
    </row>
    <row r="21" spans="1:10">
      <c r="A21" s="2">
        <f t="shared" si="0"/>
        <v>12</v>
      </c>
      <c r="B21" s="308" t="s">
        <v>862</v>
      </c>
      <c r="D21" s="112"/>
      <c r="E21" s="112"/>
      <c r="F21" s="269"/>
      <c r="G21" s="269"/>
      <c r="H21" s="269"/>
      <c r="I21" s="269"/>
      <c r="J21" s="112"/>
    </row>
    <row r="22" spans="1:10">
      <c r="A22" s="2">
        <f t="shared" si="0"/>
        <v>13</v>
      </c>
      <c r="B22" s="303"/>
      <c r="C22" s="309"/>
      <c r="D22" s="310" t="s">
        <v>863</v>
      </c>
      <c r="E22" s="112"/>
      <c r="F22" s="112"/>
      <c r="G22" s="112"/>
      <c r="H22" s="112"/>
      <c r="I22" s="112"/>
      <c r="J22" s="112"/>
    </row>
    <row r="23" spans="1:10">
      <c r="A23" s="2">
        <f t="shared" si="0"/>
        <v>14</v>
      </c>
      <c r="B23" s="303"/>
      <c r="D23" s="3" t="s">
        <v>24</v>
      </c>
      <c r="E23" s="184" t="s">
        <v>684</v>
      </c>
      <c r="F23" s="112"/>
      <c r="G23" s="271"/>
      <c r="H23" s="112"/>
      <c r="I23" s="112"/>
      <c r="J23" s="112"/>
    </row>
    <row r="24" spans="1:10">
      <c r="A24" s="2">
        <f t="shared" si="0"/>
        <v>15</v>
      </c>
      <c r="B24" s="303"/>
      <c r="C24" s="311" t="s">
        <v>864</v>
      </c>
      <c r="D24" s="344">
        <f>(D14+D19)/2</f>
        <v>-1603600375.4337845</v>
      </c>
      <c r="E24" s="123" t="s">
        <v>865</v>
      </c>
      <c r="F24" s="112"/>
      <c r="G24" s="269"/>
      <c r="H24" s="112"/>
      <c r="I24" s="112"/>
      <c r="J24" s="112"/>
    </row>
    <row r="25" spans="1:10">
      <c r="A25" s="2"/>
      <c r="B25" s="303"/>
      <c r="C25" s="309"/>
      <c r="D25" s="312"/>
      <c r="E25" s="112"/>
      <c r="F25" s="112"/>
      <c r="G25" s="112"/>
      <c r="H25" s="112"/>
      <c r="I25" s="112"/>
      <c r="J25" s="112"/>
    </row>
    <row r="26" spans="1:10">
      <c r="A26" s="2"/>
      <c r="B26" s="307" t="s">
        <v>866</v>
      </c>
      <c r="C26" s="309"/>
      <c r="D26" s="312"/>
      <c r="E26" s="112"/>
      <c r="F26" s="112"/>
      <c r="G26" s="112"/>
      <c r="H26" s="112"/>
      <c r="I26" s="112"/>
      <c r="J26" s="112"/>
    </row>
    <row r="27" spans="1:10">
      <c r="A27" s="2"/>
      <c r="B27" s="307"/>
      <c r="C27" s="48" t="s">
        <v>345</v>
      </c>
      <c r="D27" s="48" t="s">
        <v>346</v>
      </c>
      <c r="E27" s="48" t="s">
        <v>347</v>
      </c>
      <c r="F27" s="48" t="s">
        <v>348</v>
      </c>
      <c r="G27" s="48" t="s">
        <v>349</v>
      </c>
      <c r="H27" s="48" t="s">
        <v>350</v>
      </c>
      <c r="I27" s="48" t="s">
        <v>351</v>
      </c>
      <c r="J27" s="112"/>
    </row>
    <row r="28" spans="1:10">
      <c r="A28" s="233"/>
      <c r="B28" s="310"/>
      <c r="C28" s="310"/>
      <c r="D28" s="310" t="s">
        <v>867</v>
      </c>
      <c r="E28" s="310" t="s">
        <v>868</v>
      </c>
      <c r="F28" s="310"/>
      <c r="G28" s="310"/>
      <c r="H28" s="310" t="s">
        <v>869</v>
      </c>
      <c r="I28" s="487" t="s">
        <v>870</v>
      </c>
      <c r="J28" s="112"/>
    </row>
    <row r="29" spans="1:10">
      <c r="A29" s="233"/>
      <c r="B29" s="313" t="s">
        <v>871</v>
      </c>
      <c r="C29" s="313" t="s">
        <v>872</v>
      </c>
      <c r="D29" s="313" t="s">
        <v>873</v>
      </c>
      <c r="E29" s="313" t="s">
        <v>874</v>
      </c>
      <c r="F29" s="313" t="s">
        <v>875</v>
      </c>
      <c r="G29" s="313" t="s">
        <v>876</v>
      </c>
      <c r="H29" s="313" t="s">
        <v>877</v>
      </c>
      <c r="I29" s="313" t="s">
        <v>878</v>
      </c>
      <c r="J29" s="112"/>
    </row>
    <row r="30" spans="1:10">
      <c r="A30" s="2"/>
      <c r="B30" s="303" t="s">
        <v>879</v>
      </c>
      <c r="C30" s="303"/>
      <c r="D30" s="303"/>
      <c r="E30" s="112"/>
      <c r="F30" s="112"/>
      <c r="G30" s="112"/>
      <c r="H30" s="112"/>
      <c r="I30" s="112"/>
      <c r="J30" s="112"/>
    </row>
    <row r="31" spans="1:10">
      <c r="A31" s="104">
        <v>100</v>
      </c>
      <c r="B31" s="521">
        <v>190</v>
      </c>
      <c r="C31" s="314" t="s">
        <v>3157</v>
      </c>
      <c r="D31" s="315">
        <v>449174</v>
      </c>
      <c r="E31" s="315">
        <f>D31*$G$157</f>
        <v>367.97130243438221</v>
      </c>
      <c r="F31" s="116"/>
      <c r="G31" s="393">
        <f>D31-E31</f>
        <v>448806.02869756561</v>
      </c>
      <c r="H31" s="393"/>
      <c r="I31" s="523" t="s">
        <v>3167</v>
      </c>
      <c r="J31" s="198"/>
    </row>
    <row r="32" spans="1:10">
      <c r="A32" s="104">
        <f>A31+1</f>
        <v>101</v>
      </c>
      <c r="B32" s="521">
        <v>190</v>
      </c>
      <c r="C32" s="314" t="s">
        <v>881</v>
      </c>
      <c r="D32" s="315">
        <v>5512786</v>
      </c>
      <c r="E32" s="315">
        <f>D32*$G$149</f>
        <v>23110.320486726163</v>
      </c>
      <c r="F32" s="116"/>
      <c r="G32" s="393"/>
      <c r="H32" s="393">
        <f>D32-E32</f>
        <v>5489675.6795132738</v>
      </c>
      <c r="I32" s="523" t="s">
        <v>3168</v>
      </c>
      <c r="J32" s="198"/>
    </row>
    <row r="33" spans="1:10">
      <c r="A33" s="104">
        <f t="shared" ref="A33:A43" si="1">A32+1</f>
        <v>102</v>
      </c>
      <c r="B33" s="521">
        <v>190</v>
      </c>
      <c r="C33" s="314" t="s">
        <v>3158</v>
      </c>
      <c r="D33" s="315">
        <v>35094558</v>
      </c>
      <c r="E33" s="315">
        <f>D33*$G$149</f>
        <v>147120.98070195352</v>
      </c>
      <c r="F33" s="116"/>
      <c r="G33" s="393"/>
      <c r="H33" s="393">
        <f>D33-E33</f>
        <v>34947437.019298047</v>
      </c>
      <c r="I33" s="523" t="s">
        <v>3168</v>
      </c>
      <c r="J33" s="198"/>
    </row>
    <row r="34" spans="1:10">
      <c r="A34" s="104">
        <f t="shared" si="1"/>
        <v>103</v>
      </c>
      <c r="B34" s="521">
        <v>190</v>
      </c>
      <c r="C34" s="314" t="s">
        <v>882</v>
      </c>
      <c r="D34" s="315">
        <v>21108255</v>
      </c>
      <c r="E34" s="315">
        <f>D34*$G$149</f>
        <v>88488.567843108729</v>
      </c>
      <c r="F34" s="393"/>
      <c r="G34" s="393"/>
      <c r="H34" s="393">
        <f>D34-E34</f>
        <v>21019766.432156891</v>
      </c>
      <c r="I34" s="523" t="s">
        <v>3168</v>
      </c>
      <c r="J34" s="198"/>
    </row>
    <row r="35" spans="1:10">
      <c r="A35" s="104">
        <f t="shared" si="1"/>
        <v>104</v>
      </c>
      <c r="B35" s="521">
        <v>190</v>
      </c>
      <c r="C35" s="314" t="s">
        <v>883</v>
      </c>
      <c r="D35" s="315">
        <v>411230</v>
      </c>
      <c r="E35" s="315">
        <f>D35*$G$157</f>
        <v>336.88690507485074</v>
      </c>
      <c r="F35" s="116"/>
      <c r="G35" s="393">
        <f>D35-E35</f>
        <v>410893.11309492512</v>
      </c>
      <c r="H35" s="393"/>
      <c r="I35" s="523" t="s">
        <v>3167</v>
      </c>
      <c r="J35" s="198"/>
    </row>
    <row r="36" spans="1:10" ht="12.75" customHeight="1">
      <c r="A36" s="104">
        <f t="shared" si="1"/>
        <v>105</v>
      </c>
      <c r="B36" s="521">
        <v>190</v>
      </c>
      <c r="C36" s="314" t="s">
        <v>3159</v>
      </c>
      <c r="D36" s="315">
        <v>40396422</v>
      </c>
      <c r="E36" s="315">
        <f>D36*$G$149</f>
        <v>169347.08855686316</v>
      </c>
      <c r="F36" s="116"/>
      <c r="G36" s="393"/>
      <c r="H36" s="393">
        <f>D36-E36</f>
        <v>40227074.911443137</v>
      </c>
      <c r="I36" s="523" t="s">
        <v>3168</v>
      </c>
      <c r="J36" s="198"/>
    </row>
    <row r="37" spans="1:10">
      <c r="A37" s="104">
        <f t="shared" si="1"/>
        <v>106</v>
      </c>
      <c r="B37" s="521">
        <v>190</v>
      </c>
      <c r="C37" s="314" t="s">
        <v>3160</v>
      </c>
      <c r="D37" s="315">
        <v>209466430</v>
      </c>
      <c r="E37" s="315">
        <f>D37</f>
        <v>209466430</v>
      </c>
      <c r="F37" s="116"/>
      <c r="G37" s="393"/>
      <c r="H37" s="393"/>
      <c r="I37" s="523" t="s">
        <v>3169</v>
      </c>
      <c r="J37" s="198"/>
    </row>
    <row r="38" spans="1:10">
      <c r="A38" s="104">
        <f t="shared" si="1"/>
        <v>107</v>
      </c>
      <c r="B38" s="521">
        <v>190</v>
      </c>
      <c r="C38" s="314" t="s">
        <v>3161</v>
      </c>
      <c r="D38" s="315">
        <v>473086966</v>
      </c>
      <c r="E38" s="315">
        <f>D38</f>
        <v>473086966</v>
      </c>
      <c r="F38" s="116"/>
      <c r="G38" s="393"/>
      <c r="H38" s="393"/>
      <c r="I38" s="523" t="s">
        <v>3170</v>
      </c>
      <c r="J38" s="198"/>
    </row>
    <row r="39" spans="1:10">
      <c r="A39" s="104">
        <f t="shared" si="1"/>
        <v>108</v>
      </c>
      <c r="B39" s="521">
        <v>190</v>
      </c>
      <c r="C39" s="314" t="s">
        <v>884</v>
      </c>
      <c r="D39" s="315">
        <v>26659628</v>
      </c>
      <c r="E39" s="315">
        <f>D39*$G$149</f>
        <v>111760.65008453048</v>
      </c>
      <c r="F39" s="116"/>
      <c r="G39" s="393"/>
      <c r="H39" s="393">
        <f>D39-E39</f>
        <v>26547867.349915471</v>
      </c>
      <c r="I39" s="523" t="s">
        <v>3168</v>
      </c>
      <c r="J39" s="198"/>
    </row>
    <row r="40" spans="1:10">
      <c r="A40" s="104">
        <f t="shared" si="1"/>
        <v>109</v>
      </c>
      <c r="B40" s="521">
        <v>190</v>
      </c>
      <c r="C40" s="314" t="s">
        <v>3162</v>
      </c>
      <c r="D40" s="315">
        <v>5396027</v>
      </c>
      <c r="E40" s="315">
        <f>D40</f>
        <v>5396027</v>
      </c>
      <c r="F40" s="116"/>
      <c r="G40" s="393"/>
      <c r="H40" s="393"/>
      <c r="I40" s="523" t="s">
        <v>3171</v>
      </c>
      <c r="J40" s="198"/>
    </row>
    <row r="41" spans="1:10">
      <c r="A41" s="104">
        <f t="shared" si="1"/>
        <v>110</v>
      </c>
      <c r="B41" s="521">
        <v>190</v>
      </c>
      <c r="C41" s="314" t="s">
        <v>3163</v>
      </c>
      <c r="D41" s="315">
        <v>581938780</v>
      </c>
      <c r="E41" s="315">
        <f>D41</f>
        <v>581938780</v>
      </c>
      <c r="F41" s="116"/>
      <c r="G41" s="393"/>
      <c r="H41" s="393"/>
      <c r="I41" s="523" t="s">
        <v>3171</v>
      </c>
      <c r="J41" s="198"/>
    </row>
    <row r="42" spans="1:10">
      <c r="A42" s="104">
        <f t="shared" si="1"/>
        <v>111</v>
      </c>
      <c r="B42" s="521">
        <v>190</v>
      </c>
      <c r="C42" s="314" t="s">
        <v>3164</v>
      </c>
      <c r="D42" s="315">
        <v>3886792</v>
      </c>
      <c r="E42" s="315">
        <f>D42</f>
        <v>3886792</v>
      </c>
      <c r="F42" s="116"/>
      <c r="G42" s="393"/>
      <c r="H42" s="393"/>
      <c r="I42" s="523" t="s">
        <v>3172</v>
      </c>
      <c r="J42" s="198"/>
    </row>
    <row r="43" spans="1:10">
      <c r="A43" s="104">
        <f t="shared" si="1"/>
        <v>112</v>
      </c>
      <c r="B43" s="521">
        <v>190</v>
      </c>
      <c r="C43" s="314" t="s">
        <v>3165</v>
      </c>
      <c r="D43" s="315">
        <v>862390265.01999998</v>
      </c>
      <c r="E43" s="393">
        <f>D43</f>
        <v>862390265.01999998</v>
      </c>
      <c r="F43" s="253"/>
      <c r="G43" s="393"/>
      <c r="H43" s="393"/>
      <c r="I43" s="523" t="s">
        <v>3173</v>
      </c>
      <c r="J43" s="392"/>
    </row>
    <row r="44" spans="1:10">
      <c r="A44" s="104">
        <f>A43+1</f>
        <v>113</v>
      </c>
      <c r="B44" s="521">
        <v>190</v>
      </c>
      <c r="C44" s="314" t="s">
        <v>3166</v>
      </c>
      <c r="D44" s="315">
        <v>1842313329</v>
      </c>
      <c r="E44" s="315"/>
      <c r="F44" s="116"/>
      <c r="G44" s="393">
        <f>D44</f>
        <v>1842313329</v>
      </c>
      <c r="H44" s="393"/>
      <c r="I44" s="525" t="s">
        <v>3174</v>
      </c>
      <c r="J44" s="198"/>
    </row>
    <row r="45" spans="1:10">
      <c r="A45" s="104">
        <f>A44+1</f>
        <v>114</v>
      </c>
      <c r="B45" s="521" t="s">
        <v>639</v>
      </c>
      <c r="C45" s="314"/>
      <c r="D45" s="315"/>
      <c r="E45" s="394"/>
      <c r="F45" s="116"/>
      <c r="G45" s="393"/>
      <c r="H45" s="116"/>
      <c r="I45" s="523"/>
      <c r="J45" s="198"/>
    </row>
    <row r="46" spans="1:10">
      <c r="A46" s="2"/>
      <c r="B46" s="316"/>
      <c r="C46" s="303"/>
      <c r="D46" s="112"/>
      <c r="E46" s="112"/>
      <c r="F46" s="112"/>
      <c r="G46" s="112"/>
      <c r="H46" s="112"/>
      <c r="I46" s="112"/>
      <c r="J46" s="112"/>
    </row>
    <row r="47" spans="1:10">
      <c r="A47" s="2"/>
      <c r="B47" s="307" t="s">
        <v>885</v>
      </c>
      <c r="C47" s="309"/>
      <c r="D47" s="312"/>
      <c r="E47" s="112"/>
      <c r="F47" s="112"/>
      <c r="G47" s="112"/>
      <c r="H47" s="112"/>
      <c r="I47" s="112"/>
      <c r="J47" s="112"/>
    </row>
    <row r="48" spans="1:10">
      <c r="A48" s="2"/>
      <c r="B48" s="307"/>
      <c r="C48" s="48" t="s">
        <v>345</v>
      </c>
      <c r="D48" s="48" t="s">
        <v>346</v>
      </c>
      <c r="E48" s="48" t="s">
        <v>347</v>
      </c>
      <c r="F48" s="48" t="s">
        <v>348</v>
      </c>
      <c r="G48" s="48" t="s">
        <v>349</v>
      </c>
      <c r="H48" s="48" t="s">
        <v>350</v>
      </c>
      <c r="I48" s="48" t="s">
        <v>351</v>
      </c>
      <c r="J48" s="112"/>
    </row>
    <row r="49" spans="1:10">
      <c r="A49" s="2"/>
      <c r="B49" s="310"/>
      <c r="C49" s="310"/>
      <c r="D49" s="310" t="s">
        <v>867</v>
      </c>
      <c r="E49" s="310" t="s">
        <v>868</v>
      </c>
      <c r="F49" s="310"/>
      <c r="G49" s="310"/>
      <c r="H49" s="310"/>
      <c r="I49" s="487" t="s">
        <v>870</v>
      </c>
      <c r="J49" s="112"/>
    </row>
    <row r="50" spans="1:10">
      <c r="A50" s="2"/>
      <c r="B50" s="313" t="s">
        <v>871</v>
      </c>
      <c r="C50" s="313" t="s">
        <v>872</v>
      </c>
      <c r="D50" s="313" t="s">
        <v>873</v>
      </c>
      <c r="E50" s="313" t="s">
        <v>874</v>
      </c>
      <c r="F50" s="313" t="s">
        <v>875</v>
      </c>
      <c r="G50" s="313" t="s">
        <v>876</v>
      </c>
      <c r="H50" s="313" t="s">
        <v>886</v>
      </c>
      <c r="I50" s="313" t="s">
        <v>878</v>
      </c>
      <c r="J50" s="114"/>
    </row>
    <row r="51" spans="1:10">
      <c r="A51" s="2"/>
      <c r="B51" s="303" t="s">
        <v>879</v>
      </c>
      <c r="C51" s="303"/>
      <c r="D51" s="303"/>
      <c r="E51" s="112"/>
      <c r="F51" s="112"/>
      <c r="G51" s="112"/>
      <c r="H51" s="112"/>
      <c r="I51" s="112"/>
      <c r="J51" s="112"/>
    </row>
    <row r="52" spans="1:10">
      <c r="A52" s="104">
        <f>A45+1</f>
        <v>115</v>
      </c>
      <c r="B52" s="521" t="s">
        <v>639</v>
      </c>
      <c r="C52" s="314"/>
      <c r="D52" s="315"/>
      <c r="E52" s="116"/>
      <c r="F52" s="116"/>
      <c r="G52" s="116"/>
      <c r="H52" s="116"/>
      <c r="I52" s="198"/>
      <c r="J52" s="198"/>
    </row>
    <row r="53" spans="1:10">
      <c r="A53" s="2"/>
      <c r="B53" s="317"/>
      <c r="C53" s="303"/>
      <c r="D53" s="305"/>
      <c r="E53" s="114"/>
      <c r="F53" s="114"/>
      <c r="G53" s="114"/>
      <c r="H53" s="114"/>
      <c r="I53" s="184" t="s">
        <v>684</v>
      </c>
      <c r="J53" s="112"/>
    </row>
    <row r="54" spans="1:10">
      <c r="A54" s="2">
        <v>250</v>
      </c>
      <c r="B54" s="303"/>
      <c r="C54" s="303" t="s">
        <v>887</v>
      </c>
      <c r="D54" s="325">
        <f>SUM(D31:D45)+SUM(D52:D52)</f>
        <v>4108110642.02</v>
      </c>
      <c r="E54" s="325">
        <f>SUM(E31:E45)+SUM(E52:E52)</f>
        <v>2136705792.4858806</v>
      </c>
      <c r="F54" s="325">
        <f>SUM(F31:F45)+SUM(F52:F52)</f>
        <v>0</v>
      </c>
      <c r="G54" s="325">
        <f>SUM(G31:G45)+SUM(G52:G52)</f>
        <v>1843173028.1417925</v>
      </c>
      <c r="H54" s="325">
        <f>SUM(H31:H45)+SUM(H52:H52)</f>
        <v>128231821.39232683</v>
      </c>
      <c r="I54" s="123" t="str">
        <f>"Sum of Above Lines beginning on Line "&amp;A31&amp;""</f>
        <v>Sum of Above Lines beginning on Line 100</v>
      </c>
      <c r="J54" s="112"/>
    </row>
    <row r="55" spans="1:10">
      <c r="A55" s="2"/>
      <c r="B55" s="303"/>
      <c r="C55" s="303"/>
      <c r="D55" s="319"/>
      <c r="E55" s="114"/>
      <c r="F55" s="114"/>
      <c r="G55" s="114"/>
      <c r="H55" s="114"/>
      <c r="I55" s="112"/>
      <c r="J55" s="112"/>
    </row>
    <row r="56" spans="1:10">
      <c r="A56" s="2"/>
      <c r="B56" s="303" t="s">
        <v>888</v>
      </c>
      <c r="C56" s="303"/>
      <c r="D56" s="319"/>
      <c r="E56" s="114"/>
      <c r="F56" s="114"/>
      <c r="G56" s="114"/>
      <c r="H56" s="114"/>
      <c r="I56" s="487" t="s">
        <v>870</v>
      </c>
      <c r="J56" s="112"/>
    </row>
    <row r="57" spans="1:10">
      <c r="A57" s="2"/>
      <c r="C57" s="48" t="s">
        <v>345</v>
      </c>
      <c r="D57" s="48" t="s">
        <v>346</v>
      </c>
      <c r="E57" s="48" t="s">
        <v>347</v>
      </c>
      <c r="F57" s="48" t="s">
        <v>348</v>
      </c>
      <c r="G57" s="48" t="s">
        <v>349</v>
      </c>
      <c r="H57" s="48" t="s">
        <v>350</v>
      </c>
      <c r="I57" s="48" t="s">
        <v>351</v>
      </c>
      <c r="J57" s="112"/>
    </row>
    <row r="58" spans="1:10">
      <c r="A58" s="104">
        <v>300</v>
      </c>
      <c r="B58" s="521">
        <v>190</v>
      </c>
      <c r="C58" s="314" t="s">
        <v>3175</v>
      </c>
      <c r="D58" s="315">
        <v>104492</v>
      </c>
      <c r="E58" s="393">
        <f>D58</f>
        <v>104492</v>
      </c>
      <c r="F58" s="393"/>
      <c r="G58" s="393"/>
      <c r="H58" s="393"/>
      <c r="I58" s="523" t="s">
        <v>3171</v>
      </c>
      <c r="J58" s="523"/>
    </row>
    <row r="59" spans="1:10">
      <c r="A59" s="104">
        <f t="shared" ref="A59:A63" si="2">A58+1</f>
        <v>301</v>
      </c>
      <c r="B59" s="521">
        <v>190</v>
      </c>
      <c r="C59" s="314" t="s">
        <v>3165</v>
      </c>
      <c r="D59" s="315">
        <v>5762</v>
      </c>
      <c r="E59" s="393">
        <f>D59</f>
        <v>5762</v>
      </c>
      <c r="F59" s="393"/>
      <c r="G59" s="393"/>
      <c r="H59" s="393"/>
      <c r="I59" s="523" t="s">
        <v>3179</v>
      </c>
      <c r="J59" s="523"/>
    </row>
    <row r="60" spans="1:10">
      <c r="A60" s="104">
        <f t="shared" si="2"/>
        <v>302</v>
      </c>
      <c r="B60" s="521">
        <v>190</v>
      </c>
      <c r="C60" s="314" t="s">
        <v>3176</v>
      </c>
      <c r="D60" s="315">
        <v>-92369</v>
      </c>
      <c r="E60" s="393">
        <f>D60</f>
        <v>-92369</v>
      </c>
      <c r="F60" s="393"/>
      <c r="G60" s="393"/>
      <c r="H60" s="393"/>
      <c r="I60" s="523" t="s">
        <v>3171</v>
      </c>
      <c r="J60" s="523"/>
    </row>
    <row r="61" spans="1:10">
      <c r="A61" s="104">
        <f t="shared" si="2"/>
        <v>303</v>
      </c>
      <c r="B61" s="521">
        <v>190</v>
      </c>
      <c r="C61" s="314" t="s">
        <v>3177</v>
      </c>
      <c r="D61" s="315">
        <v>4942133</v>
      </c>
      <c r="E61" s="393">
        <f>D61</f>
        <v>4942133</v>
      </c>
      <c r="F61" s="393"/>
      <c r="G61" s="393"/>
      <c r="H61" s="393"/>
      <c r="I61" s="523" t="s">
        <v>3179</v>
      </c>
      <c r="J61" s="523"/>
    </row>
    <row r="62" spans="1:10">
      <c r="A62" s="104">
        <f t="shared" si="2"/>
        <v>304</v>
      </c>
      <c r="B62" s="521">
        <v>190</v>
      </c>
      <c r="C62" s="314" t="s">
        <v>3178</v>
      </c>
      <c r="D62" s="315">
        <v>1044007</v>
      </c>
      <c r="E62" s="393">
        <f>D62</f>
        <v>1044007</v>
      </c>
      <c r="F62" s="393"/>
      <c r="G62" s="393"/>
      <c r="H62" s="393"/>
      <c r="I62" s="523" t="s">
        <v>3179</v>
      </c>
      <c r="J62" s="523"/>
    </row>
    <row r="63" spans="1:10">
      <c r="A63" s="104">
        <f t="shared" si="2"/>
        <v>305</v>
      </c>
      <c r="B63" s="1026" t="s">
        <v>639</v>
      </c>
      <c r="C63" s="314"/>
      <c r="D63" s="315"/>
      <c r="E63" s="116"/>
      <c r="F63" s="116"/>
      <c r="G63" s="116"/>
      <c r="H63" s="116"/>
      <c r="I63" s="198"/>
      <c r="J63" s="198"/>
    </row>
    <row r="64" spans="1:10">
      <c r="A64" s="2"/>
      <c r="B64" s="317"/>
      <c r="C64" s="303"/>
      <c r="D64" s="305"/>
      <c r="E64" s="114"/>
      <c r="F64" s="114"/>
      <c r="G64" s="114"/>
      <c r="H64" s="114"/>
      <c r="I64" s="112"/>
      <c r="J64" s="112"/>
    </row>
    <row r="65" spans="1:10">
      <c r="A65" s="2"/>
      <c r="B65" s="317"/>
      <c r="C65" s="48" t="s">
        <v>345</v>
      </c>
      <c r="D65" s="48" t="s">
        <v>346</v>
      </c>
      <c r="E65" s="48" t="s">
        <v>347</v>
      </c>
      <c r="F65" s="48" t="s">
        <v>348</v>
      </c>
      <c r="G65" s="48" t="s">
        <v>349</v>
      </c>
      <c r="H65" s="48" t="s">
        <v>350</v>
      </c>
      <c r="I65" s="184" t="s">
        <v>684</v>
      </c>
      <c r="J65" s="112"/>
    </row>
    <row r="66" spans="1:10">
      <c r="A66" s="2">
        <v>350</v>
      </c>
      <c r="B66" s="303"/>
      <c r="C66" s="303" t="s">
        <v>889</v>
      </c>
      <c r="D66" s="325">
        <f>SUM(D58:D63)</f>
        <v>6004025</v>
      </c>
      <c r="E66" s="325">
        <f>SUM(E58:E63)</f>
        <v>6004025</v>
      </c>
      <c r="F66" s="325">
        <f>SUM(F58:F63)</f>
        <v>0</v>
      </c>
      <c r="G66" s="325">
        <f>SUM(G58:G63)</f>
        <v>0</v>
      </c>
      <c r="H66" s="325">
        <f>SUM(H58:H63)</f>
        <v>0</v>
      </c>
      <c r="I66" s="123" t="str">
        <f>"Sum of Above Lines beginning on Line "&amp;A58&amp;""</f>
        <v>Sum of Above Lines beginning on Line 300</v>
      </c>
      <c r="J66" s="112"/>
    </row>
    <row r="67" spans="1:10">
      <c r="A67" s="2"/>
      <c r="B67" s="303"/>
      <c r="C67" s="303"/>
      <c r="D67" s="325"/>
      <c r="E67" s="325"/>
      <c r="F67" s="325"/>
      <c r="G67" s="325"/>
      <c r="H67" s="325"/>
      <c r="I67" s="123"/>
      <c r="J67" s="112"/>
    </row>
    <row r="68" spans="1:10">
      <c r="A68" s="2">
        <f t="shared" ref="A68" si="3">A66+1</f>
        <v>351</v>
      </c>
      <c r="B68" s="303"/>
      <c r="C68" s="303" t="s">
        <v>890</v>
      </c>
      <c r="D68" s="325">
        <f>+D66+D54</f>
        <v>4114114667.02</v>
      </c>
      <c r="E68" s="325">
        <f>+E66+E54</f>
        <v>2142709817.4858806</v>
      </c>
      <c r="F68" s="325">
        <f>+F66+F54</f>
        <v>0</v>
      </c>
      <c r="G68" s="325">
        <f>+G66+G54</f>
        <v>1843173028.1417925</v>
      </c>
      <c r="H68" s="325">
        <f>+H66+H54</f>
        <v>128231821.39232683</v>
      </c>
      <c r="I68" s="272" t="str">
        <f>"Line "&amp;A54&amp;" + Line "&amp;A66&amp;""</f>
        <v>Line 250 + Line 350</v>
      </c>
      <c r="J68" s="112"/>
    </row>
    <row r="69" spans="1:10">
      <c r="A69" s="2">
        <f>+A68+1</f>
        <v>352</v>
      </c>
      <c r="B69" s="303"/>
      <c r="C69" s="303" t="s">
        <v>891</v>
      </c>
      <c r="D69" s="318"/>
      <c r="E69" s="318"/>
      <c r="F69" s="318"/>
      <c r="G69" s="320">
        <f>'27-Allocators'!$G$28</f>
        <v>0.16919973215259246</v>
      </c>
      <c r="H69" s="320">
        <f>'27-Allocators'!$G$15</f>
        <v>6.4531762547854879E-2</v>
      </c>
      <c r="I69" s="395" t="str">
        <f>"27-Allocators Lines "&amp;'27-Allocators'!A28&amp;" and "&amp;'27-Allocators'!A15&amp;" respectively."</f>
        <v>27-Allocators Lines 22 and 9 respectively.</v>
      </c>
      <c r="J69" s="112"/>
    </row>
    <row r="70" spans="1:10">
      <c r="A70" s="2">
        <f>+A69+1</f>
        <v>353</v>
      </c>
      <c r="B70" s="303"/>
      <c r="C70" s="303" t="s">
        <v>892</v>
      </c>
      <c r="D70" s="318">
        <f>SUM(F70:H70)</f>
        <v>320139408.12164265</v>
      </c>
      <c r="E70" s="318"/>
      <c r="F70" s="870">
        <f>+F68</f>
        <v>0</v>
      </c>
      <c r="G70" s="870">
        <f>+G68*G69</f>
        <v>311864382.67247409</v>
      </c>
      <c r="H70" s="870">
        <f>+H68*H69</f>
        <v>8275025.4491685731</v>
      </c>
      <c r="I70" s="272" t="str">
        <f>"Line "&amp;A68&amp;" * Line "&amp;A69&amp;" for Cols 5 and 6.  Col. 4 100% ISO."</f>
        <v>Line 351 * Line 352 for Cols 5 and 6.  Col. 4 100% ISO.</v>
      </c>
      <c r="J70" s="112"/>
    </row>
    <row r="71" spans="1:10">
      <c r="A71" s="2"/>
      <c r="B71" s="303"/>
      <c r="C71" s="321" t="s">
        <v>893</v>
      </c>
      <c r="D71" s="318"/>
      <c r="E71" s="318"/>
      <c r="F71" s="318"/>
      <c r="G71" s="318"/>
      <c r="H71" s="318"/>
      <c r="I71" s="272"/>
      <c r="J71" s="112"/>
    </row>
    <row r="72" spans="1:10">
      <c r="A72" s="2"/>
      <c r="B72" s="303"/>
      <c r="C72" s="303"/>
      <c r="D72" s="318"/>
      <c r="E72" s="318"/>
      <c r="F72" s="318"/>
      <c r="G72" s="318"/>
      <c r="H72" s="318"/>
      <c r="I72" s="272"/>
      <c r="J72" s="112"/>
    </row>
    <row r="73" spans="1:10">
      <c r="A73" s="2">
        <f>+A70+1</f>
        <v>354</v>
      </c>
      <c r="B73" s="303"/>
      <c r="C73" s="303" t="s">
        <v>894</v>
      </c>
      <c r="D73" s="522">
        <v>4114114667</v>
      </c>
      <c r="E73" s="622" t="str">
        <f>"Must match amount on Line "&amp;A68&amp;", Col. 2"</f>
        <v>Must match amount on Line 351, Col. 2</v>
      </c>
      <c r="G73" s="318"/>
      <c r="H73" s="318"/>
      <c r="I73" s="272" t="s">
        <v>895</v>
      </c>
      <c r="J73" s="112"/>
    </row>
    <row r="74" spans="1:10">
      <c r="A74" s="2"/>
      <c r="B74" s="303"/>
      <c r="C74" s="303"/>
      <c r="D74" s="323"/>
      <c r="E74" s="323"/>
      <c r="F74" s="323"/>
      <c r="G74" s="323"/>
      <c r="H74" s="323"/>
      <c r="I74" s="273"/>
      <c r="J74" s="112"/>
    </row>
    <row r="75" spans="1:10">
      <c r="A75" s="233"/>
      <c r="B75" s="307" t="s">
        <v>896</v>
      </c>
      <c r="C75" s="324"/>
      <c r="D75" s="323"/>
      <c r="E75" s="112"/>
      <c r="F75" s="112"/>
      <c r="G75" s="112"/>
      <c r="H75" s="112"/>
      <c r="I75" s="112"/>
      <c r="J75" s="112"/>
    </row>
    <row r="76" spans="1:10">
      <c r="A76" s="233"/>
      <c r="C76" s="48" t="s">
        <v>345</v>
      </c>
      <c r="D76" s="48" t="s">
        <v>346</v>
      </c>
      <c r="E76" s="48" t="s">
        <v>347</v>
      </c>
      <c r="F76" s="48" t="s">
        <v>348</v>
      </c>
      <c r="G76" s="48" t="s">
        <v>349</v>
      </c>
      <c r="H76" s="48" t="s">
        <v>350</v>
      </c>
      <c r="I76" s="48" t="s">
        <v>351</v>
      </c>
      <c r="J76" s="112"/>
    </row>
    <row r="77" spans="1:10">
      <c r="A77" s="233"/>
      <c r="B77" s="310"/>
      <c r="C77" s="310"/>
      <c r="D77" s="310" t="s">
        <v>867</v>
      </c>
      <c r="E77" s="310" t="s">
        <v>868</v>
      </c>
      <c r="F77" s="310"/>
      <c r="G77" s="310"/>
      <c r="H77" s="310" t="s">
        <v>869</v>
      </c>
      <c r="I77" s="487" t="s">
        <v>870</v>
      </c>
      <c r="J77" s="112"/>
    </row>
    <row r="78" spans="1:10">
      <c r="A78" s="233"/>
      <c r="B78" s="313" t="s">
        <v>897</v>
      </c>
      <c r="C78" s="313" t="s">
        <v>872</v>
      </c>
      <c r="D78" s="313" t="s">
        <v>873</v>
      </c>
      <c r="E78" s="313" t="s">
        <v>874</v>
      </c>
      <c r="F78" s="313" t="s">
        <v>875</v>
      </c>
      <c r="G78" s="313" t="s">
        <v>876</v>
      </c>
      <c r="H78" s="313" t="s">
        <v>877</v>
      </c>
      <c r="I78" s="313" t="s">
        <v>878</v>
      </c>
      <c r="J78" s="112"/>
    </row>
    <row r="79" spans="1:10">
      <c r="A79" s="104">
        <v>400</v>
      </c>
      <c r="B79" s="524">
        <v>282</v>
      </c>
      <c r="C79" s="525" t="s">
        <v>3180</v>
      </c>
      <c r="D79" s="526">
        <v>-1461795976</v>
      </c>
      <c r="E79" s="393"/>
      <c r="F79" s="393">
        <f>D79</f>
        <v>-1461795976</v>
      </c>
      <c r="G79" s="393"/>
      <c r="H79" s="393"/>
      <c r="I79" s="523" t="s">
        <v>3184</v>
      </c>
      <c r="J79" s="523"/>
    </row>
    <row r="80" spans="1:10">
      <c r="A80" s="104">
        <f>A79+1</f>
        <v>401</v>
      </c>
      <c r="B80" s="524">
        <v>282</v>
      </c>
      <c r="C80" s="525" t="s">
        <v>3181</v>
      </c>
      <c r="D80" s="522">
        <f>-171225190-10021373244</f>
        <v>-10192598434</v>
      </c>
      <c r="E80" s="393">
        <f>D80</f>
        <v>-10192598434</v>
      </c>
      <c r="F80" s="393"/>
      <c r="G80" s="393"/>
      <c r="H80" s="393"/>
      <c r="I80" s="523" t="s">
        <v>3185</v>
      </c>
      <c r="J80" s="523"/>
    </row>
    <row r="81" spans="1:10">
      <c r="A81" s="104">
        <f t="shared" ref="A81:A83" si="4">A80+1</f>
        <v>402</v>
      </c>
      <c r="B81" s="524">
        <v>282</v>
      </c>
      <c r="C81" s="525" t="s">
        <v>3182</v>
      </c>
      <c r="D81" s="526">
        <v>-707449</v>
      </c>
      <c r="E81" s="393">
        <f t="shared" ref="E81:E82" si="5">D81</f>
        <v>-707449</v>
      </c>
      <c r="F81" s="393"/>
      <c r="G81" s="393"/>
      <c r="H81" s="393"/>
      <c r="I81" s="523" t="s">
        <v>3186</v>
      </c>
      <c r="J81" s="523"/>
    </row>
    <row r="82" spans="1:10">
      <c r="A82" s="104">
        <f t="shared" si="4"/>
        <v>403</v>
      </c>
      <c r="B82" s="524">
        <v>282</v>
      </c>
      <c r="C82" s="525" t="s">
        <v>3183</v>
      </c>
      <c r="D82" s="526">
        <v>-236442</v>
      </c>
      <c r="E82" s="393">
        <f t="shared" si="5"/>
        <v>-236442</v>
      </c>
      <c r="F82" s="393"/>
      <c r="G82" s="393"/>
      <c r="H82" s="393"/>
      <c r="I82" s="523" t="s">
        <v>3179</v>
      </c>
      <c r="J82" s="523"/>
    </row>
    <row r="83" spans="1:10">
      <c r="A83" s="104">
        <f t="shared" si="4"/>
        <v>404</v>
      </c>
      <c r="B83" s="521" t="s">
        <v>639</v>
      </c>
      <c r="C83" s="525"/>
      <c r="D83" s="526"/>
      <c r="E83" s="393"/>
      <c r="F83" s="393"/>
      <c r="G83" s="393"/>
      <c r="H83" s="393"/>
      <c r="I83" s="523"/>
      <c r="J83" s="523"/>
    </row>
    <row r="84" spans="1:10">
      <c r="A84" s="2"/>
      <c r="B84" s="239"/>
      <c r="C84" s="233"/>
      <c r="D84" s="325"/>
      <c r="E84" s="114"/>
      <c r="F84" s="114"/>
      <c r="G84" s="114"/>
      <c r="H84" s="114"/>
      <c r="I84" s="112"/>
      <c r="J84" s="112"/>
    </row>
    <row r="85" spans="1:10">
      <c r="A85" s="2"/>
      <c r="B85" s="239"/>
      <c r="C85" s="48" t="s">
        <v>345</v>
      </c>
      <c r="D85" s="48" t="s">
        <v>346</v>
      </c>
      <c r="E85" s="48" t="s">
        <v>347</v>
      </c>
      <c r="F85" s="48" t="s">
        <v>348</v>
      </c>
      <c r="G85" s="48" t="s">
        <v>349</v>
      </c>
      <c r="H85" s="48" t="s">
        <v>350</v>
      </c>
      <c r="I85" s="184" t="s">
        <v>684</v>
      </c>
      <c r="J85" s="112"/>
    </row>
    <row r="86" spans="1:10">
      <c r="A86" s="2">
        <v>450</v>
      </c>
      <c r="B86" s="234"/>
      <c r="C86" s="233" t="s">
        <v>898</v>
      </c>
      <c r="D86" s="325">
        <f>SUM(D79:D83)</f>
        <v>-11655338301</v>
      </c>
      <c r="E86" s="325">
        <f>SUM(E79:E83)</f>
        <v>-10193542325</v>
      </c>
      <c r="F86" s="325">
        <f>SUM(F79:F83)</f>
        <v>-1461795976</v>
      </c>
      <c r="G86" s="325">
        <f>SUM(G79:G83)</f>
        <v>0</v>
      </c>
      <c r="H86" s="325">
        <f>SUM(H79:H83)</f>
        <v>0</v>
      </c>
      <c r="I86" s="123" t="str">
        <f>"Sum of Above Lines beginning on Line "&amp;A79&amp;""</f>
        <v>Sum of Above Lines beginning on Line 400</v>
      </c>
      <c r="J86" s="112"/>
    </row>
    <row r="87" spans="1:10">
      <c r="A87" s="2">
        <f>+A86+1</f>
        <v>451</v>
      </c>
      <c r="B87" s="303"/>
      <c r="C87" s="303" t="s">
        <v>891</v>
      </c>
      <c r="D87" s="318"/>
      <c r="E87" s="318"/>
      <c r="F87" s="318"/>
      <c r="G87" s="320">
        <f>'27-Allocators'!$G$28</f>
        <v>0.16919973215259246</v>
      </c>
      <c r="H87" s="320">
        <f>'27-Allocators'!$G$15</f>
        <v>6.4531762547854879E-2</v>
      </c>
      <c r="I87" s="395" t="str">
        <f>"27-Allocators Lines "&amp;'27-Allocators'!A28&amp;" and "&amp;'27-Allocators'!A15&amp;" respectively."</f>
        <v>27-Allocators Lines 22 and 9 respectively.</v>
      </c>
      <c r="J87" s="112"/>
    </row>
    <row r="88" spans="1:10">
      <c r="A88" s="2">
        <f>+A87+1</f>
        <v>452</v>
      </c>
      <c r="B88" s="303"/>
      <c r="C88" s="303" t="s">
        <v>899</v>
      </c>
      <c r="D88" s="318">
        <f>SUM(F88:H88)</f>
        <v>-1461795976</v>
      </c>
      <c r="E88" s="318"/>
      <c r="F88" s="870">
        <f>+F86</f>
        <v>-1461795976</v>
      </c>
      <c r="G88" s="870">
        <f>+G86*G87</f>
        <v>0</v>
      </c>
      <c r="H88" s="870">
        <f>+H86*H87</f>
        <v>0</v>
      </c>
      <c r="I88" s="272" t="str">
        <f>"Line "&amp;A86&amp;" * Line "&amp;A87&amp;" for Cols 5 and 6.  Col. 4 100% ISO."</f>
        <v>Line 450 * Line 451 for Cols 5 and 6.  Col. 4 100% ISO.</v>
      </c>
      <c r="J88" s="112"/>
    </row>
    <row r="89" spans="1:10">
      <c r="A89" s="2"/>
      <c r="B89" s="303"/>
      <c r="C89" s="321" t="s">
        <v>893</v>
      </c>
      <c r="D89" s="318"/>
      <c r="E89" s="318"/>
      <c r="F89" s="318"/>
      <c r="G89" s="318"/>
      <c r="H89" s="318"/>
      <c r="I89" s="272"/>
      <c r="J89" s="112"/>
    </row>
    <row r="90" spans="1:10">
      <c r="A90" s="2"/>
      <c r="B90" s="234"/>
      <c r="C90" s="233"/>
      <c r="D90" s="318"/>
      <c r="E90" s="318"/>
      <c r="F90" s="318"/>
      <c r="G90" s="318"/>
      <c r="H90" s="318"/>
      <c r="I90" s="123"/>
      <c r="J90" s="112"/>
    </row>
    <row r="91" spans="1:10">
      <c r="A91" s="2">
        <f>+A88+1</f>
        <v>453</v>
      </c>
      <c r="B91" s="234"/>
      <c r="C91" s="303" t="s">
        <v>900</v>
      </c>
      <c r="D91" s="522">
        <v>-11655338301</v>
      </c>
      <c r="E91" s="622" t="str">
        <f>"Must match amount on Line "&amp;A86&amp;", Col. 2"</f>
        <v>Must match amount on Line 450, Col. 2</v>
      </c>
      <c r="F91" s="318"/>
      <c r="G91" s="318"/>
      <c r="H91" s="318"/>
      <c r="I91" s="123" t="s">
        <v>901</v>
      </c>
      <c r="J91" s="112"/>
    </row>
    <row r="92" spans="1:10">
      <c r="A92" s="2"/>
      <c r="B92" s="234"/>
      <c r="C92" s="233"/>
      <c r="D92" s="318"/>
      <c r="E92" s="318"/>
      <c r="F92" s="318"/>
      <c r="G92" s="318"/>
      <c r="H92" s="318"/>
      <c r="I92" s="123"/>
      <c r="J92" s="112"/>
    </row>
    <row r="93" spans="1:10">
      <c r="A93" s="2"/>
      <c r="B93" s="234"/>
      <c r="C93" s="233"/>
      <c r="D93" s="318"/>
      <c r="E93" s="318"/>
      <c r="F93" s="318"/>
      <c r="G93" s="318"/>
      <c r="H93" s="318"/>
      <c r="I93" s="273"/>
      <c r="J93" s="112"/>
    </row>
    <row r="94" spans="1:10">
      <c r="A94" s="233"/>
      <c r="B94" s="307" t="s">
        <v>902</v>
      </c>
      <c r="C94" s="303"/>
      <c r="D94" s="318"/>
      <c r="E94" s="114"/>
      <c r="F94" s="114"/>
      <c r="G94" s="114"/>
      <c r="H94" s="114"/>
      <c r="I94" s="112"/>
      <c r="J94" s="112"/>
    </row>
    <row r="95" spans="1:10">
      <c r="A95" s="233"/>
      <c r="B95" s="307"/>
      <c r="C95" s="48" t="s">
        <v>345</v>
      </c>
      <c r="D95" s="48" t="s">
        <v>346</v>
      </c>
      <c r="E95" s="48" t="s">
        <v>347</v>
      </c>
      <c r="F95" s="48" t="s">
        <v>348</v>
      </c>
      <c r="G95" s="48" t="s">
        <v>349</v>
      </c>
      <c r="H95" s="48" t="s">
        <v>350</v>
      </c>
      <c r="I95" s="48" t="s">
        <v>351</v>
      </c>
      <c r="J95" s="112"/>
    </row>
    <row r="96" spans="1:10">
      <c r="A96" s="233"/>
      <c r="B96" s="310"/>
      <c r="C96" s="310"/>
      <c r="D96" s="326" t="s">
        <v>867</v>
      </c>
      <c r="E96" s="326" t="s">
        <v>868</v>
      </c>
      <c r="F96" s="326"/>
      <c r="G96" s="326"/>
      <c r="H96" s="326" t="s">
        <v>869</v>
      </c>
      <c r="I96" s="487" t="s">
        <v>870</v>
      </c>
      <c r="J96" s="112"/>
    </row>
    <row r="97" spans="1:10">
      <c r="A97" s="233"/>
      <c r="B97" s="313" t="s">
        <v>903</v>
      </c>
      <c r="C97" s="313" t="s">
        <v>872</v>
      </c>
      <c r="D97" s="327" t="s">
        <v>873</v>
      </c>
      <c r="E97" s="327" t="s">
        <v>874</v>
      </c>
      <c r="F97" s="327" t="s">
        <v>875</v>
      </c>
      <c r="G97" s="327" t="s">
        <v>876</v>
      </c>
      <c r="H97" s="327" t="s">
        <v>877</v>
      </c>
      <c r="I97" s="313" t="s">
        <v>878</v>
      </c>
      <c r="J97" s="112"/>
    </row>
    <row r="98" spans="1:10">
      <c r="A98" s="2"/>
      <c r="B98" s="303" t="s">
        <v>879</v>
      </c>
      <c r="C98" s="112"/>
      <c r="D98" s="114"/>
      <c r="E98" s="114"/>
      <c r="F98" s="114"/>
      <c r="G98" s="114"/>
      <c r="H98" s="114"/>
      <c r="I98" s="112"/>
      <c r="J98" s="112"/>
    </row>
    <row r="99" spans="1:10">
      <c r="A99" s="104">
        <v>500</v>
      </c>
      <c r="B99" s="524">
        <v>283</v>
      </c>
      <c r="C99" s="525" t="s">
        <v>3187</v>
      </c>
      <c r="D99" s="393">
        <v>-87846916</v>
      </c>
      <c r="E99" s="394">
        <f>D99</f>
        <v>-87846916</v>
      </c>
      <c r="F99" s="393"/>
      <c r="G99" s="393"/>
      <c r="H99" s="393"/>
      <c r="I99" s="523" t="s">
        <v>3190</v>
      </c>
      <c r="J99" s="198"/>
    </row>
    <row r="100" spans="1:10">
      <c r="A100" s="104">
        <f>A99+1</f>
        <v>501</v>
      </c>
      <c r="B100" s="524">
        <v>283</v>
      </c>
      <c r="C100" s="525" t="s">
        <v>3188</v>
      </c>
      <c r="D100" s="393">
        <v>-14523159</v>
      </c>
      <c r="E100" s="394"/>
      <c r="F100" s="393">
        <f>D100</f>
        <v>-14523159</v>
      </c>
      <c r="G100" s="393"/>
      <c r="H100" s="393"/>
      <c r="I100" s="523" t="s">
        <v>3191</v>
      </c>
      <c r="J100" s="198"/>
    </row>
    <row r="101" spans="1:10">
      <c r="A101" s="104">
        <f t="shared" ref="A101:A108" si="6">A100+1</f>
        <v>502</v>
      </c>
      <c r="B101" s="524">
        <v>283</v>
      </c>
      <c r="C101" s="525" t="s">
        <v>3189</v>
      </c>
      <c r="D101" s="393">
        <v>-1866031847</v>
      </c>
      <c r="E101" s="393">
        <f>D101</f>
        <v>-1866031847</v>
      </c>
      <c r="F101" s="393"/>
      <c r="G101" s="393"/>
      <c r="H101" s="393"/>
      <c r="I101" s="523" t="s">
        <v>3192</v>
      </c>
      <c r="J101" s="198"/>
    </row>
    <row r="102" spans="1:10">
      <c r="A102" s="104">
        <f t="shared" si="6"/>
        <v>503</v>
      </c>
      <c r="B102" s="524">
        <v>283</v>
      </c>
      <c r="C102" s="525" t="s">
        <v>904</v>
      </c>
      <c r="D102" s="393">
        <v>-1542262</v>
      </c>
      <c r="E102" s="393">
        <f>D102*$G$157</f>
        <v>-1263.4483670805862</v>
      </c>
      <c r="F102" s="393"/>
      <c r="G102" s="393">
        <f>D102-E102</f>
        <v>-1540998.5516329193</v>
      </c>
      <c r="H102" s="393"/>
      <c r="I102" s="523" t="s">
        <v>3167</v>
      </c>
      <c r="J102" s="198"/>
    </row>
    <row r="103" spans="1:10">
      <c r="A103" s="104">
        <f t="shared" si="6"/>
        <v>504</v>
      </c>
      <c r="B103" s="524">
        <v>283</v>
      </c>
      <c r="C103" s="525" t="s">
        <v>3161</v>
      </c>
      <c r="D103" s="393">
        <v>-454731029</v>
      </c>
      <c r="E103" s="393">
        <f>D103</f>
        <v>-454731029</v>
      </c>
      <c r="F103" s="393"/>
      <c r="G103" s="393"/>
      <c r="H103" s="393"/>
      <c r="I103" s="523" t="s">
        <v>3170</v>
      </c>
      <c r="J103" s="198"/>
    </row>
    <row r="104" spans="1:10">
      <c r="A104" s="104">
        <f t="shared" si="6"/>
        <v>505</v>
      </c>
      <c r="B104" s="524">
        <v>283</v>
      </c>
      <c r="C104" s="525" t="s">
        <v>905</v>
      </c>
      <c r="D104" s="393">
        <v>-3435877</v>
      </c>
      <c r="E104" s="393">
        <f>D104*$G$149</f>
        <v>-14403.646109783915</v>
      </c>
      <c r="F104" s="393"/>
      <c r="G104" s="393"/>
      <c r="H104" s="393">
        <f>D104-E104</f>
        <v>-3421473.353890216</v>
      </c>
      <c r="I104" s="523" t="s">
        <v>3168</v>
      </c>
      <c r="J104" s="198"/>
    </row>
    <row r="105" spans="1:10">
      <c r="A105" s="104">
        <f t="shared" si="6"/>
        <v>506</v>
      </c>
      <c r="B105" s="524">
        <v>283</v>
      </c>
      <c r="C105" s="525" t="s">
        <v>906</v>
      </c>
      <c r="D105" s="393">
        <v>-16816969</v>
      </c>
      <c r="E105" s="393">
        <f>D105*$G$157</f>
        <v>-13776.759086520213</v>
      </c>
      <c r="F105" s="393"/>
      <c r="G105" s="393">
        <f>D105-E105</f>
        <v>-16803192.240913481</v>
      </c>
      <c r="H105" s="393"/>
      <c r="I105" s="523" t="s">
        <v>3193</v>
      </c>
      <c r="J105" s="198"/>
    </row>
    <row r="106" spans="1:10">
      <c r="A106" s="104">
        <f t="shared" si="6"/>
        <v>507</v>
      </c>
      <c r="B106" s="524">
        <v>283</v>
      </c>
      <c r="C106" s="525" t="s">
        <v>3164</v>
      </c>
      <c r="D106" s="393">
        <v>-213086228</v>
      </c>
      <c r="E106" s="394">
        <f>D106</f>
        <v>-213086228</v>
      </c>
      <c r="F106" s="393"/>
      <c r="G106" s="393"/>
      <c r="H106" s="393"/>
      <c r="I106" s="523" t="s">
        <v>3172</v>
      </c>
      <c r="J106" s="198"/>
    </row>
    <row r="107" spans="1:10">
      <c r="A107" s="104">
        <f t="shared" si="6"/>
        <v>508</v>
      </c>
      <c r="B107" s="524">
        <v>283</v>
      </c>
      <c r="C107" s="525" t="s">
        <v>3165</v>
      </c>
      <c r="D107" s="394">
        <v>-348163740</v>
      </c>
      <c r="E107" s="394">
        <f>D107</f>
        <v>-348163740</v>
      </c>
      <c r="F107" s="393"/>
      <c r="G107" s="393"/>
      <c r="H107" s="393"/>
      <c r="I107" s="523" t="s">
        <v>3173</v>
      </c>
      <c r="J107" s="198"/>
    </row>
    <row r="108" spans="1:10">
      <c r="A108" s="104">
        <f t="shared" si="6"/>
        <v>509</v>
      </c>
      <c r="B108" s="524" t="s">
        <v>639</v>
      </c>
      <c r="C108" s="240"/>
      <c r="D108" s="253"/>
      <c r="E108" s="393"/>
      <c r="F108" s="116"/>
      <c r="G108" s="393"/>
      <c r="H108" s="116"/>
      <c r="I108" s="198"/>
      <c r="J108" s="198"/>
    </row>
    <row r="109" spans="1:10">
      <c r="A109" s="2"/>
      <c r="B109" s="275"/>
      <c r="C109" s="233"/>
      <c r="D109" s="235"/>
      <c r="E109" s="114"/>
      <c r="F109" s="114"/>
      <c r="G109" s="114"/>
      <c r="H109" s="114"/>
      <c r="I109" s="112"/>
      <c r="J109" s="112"/>
    </row>
    <row r="110" spans="1:10">
      <c r="A110" s="2"/>
      <c r="B110" s="307" t="s">
        <v>907</v>
      </c>
      <c r="C110" s="303"/>
      <c r="D110" s="318"/>
      <c r="E110" s="114"/>
      <c r="F110" s="114"/>
      <c r="G110" s="114"/>
      <c r="H110" s="114"/>
      <c r="I110" s="112"/>
      <c r="J110" s="112"/>
    </row>
    <row r="111" spans="1:10">
      <c r="A111" s="2"/>
      <c r="B111" s="307"/>
      <c r="C111" s="48" t="s">
        <v>345</v>
      </c>
      <c r="D111" s="48" t="s">
        <v>346</v>
      </c>
      <c r="E111" s="48" t="s">
        <v>347</v>
      </c>
      <c r="F111" s="48" t="s">
        <v>348</v>
      </c>
      <c r="G111" s="48" t="s">
        <v>349</v>
      </c>
      <c r="H111" s="48" t="s">
        <v>350</v>
      </c>
      <c r="I111" s="48" t="s">
        <v>351</v>
      </c>
      <c r="J111" s="112"/>
    </row>
    <row r="112" spans="1:10">
      <c r="A112" s="2"/>
      <c r="B112" s="310"/>
      <c r="C112" s="310"/>
      <c r="D112" s="326" t="s">
        <v>867</v>
      </c>
      <c r="E112" s="326" t="s">
        <v>868</v>
      </c>
      <c r="F112" s="326"/>
      <c r="G112" s="326"/>
      <c r="H112" s="326" t="s">
        <v>869</v>
      </c>
      <c r="I112" s="487" t="s">
        <v>870</v>
      </c>
      <c r="J112" s="112"/>
    </row>
    <row r="113" spans="1:10">
      <c r="A113" s="2"/>
      <c r="B113" s="313" t="s">
        <v>903</v>
      </c>
      <c r="C113" s="313" t="s">
        <v>872</v>
      </c>
      <c r="D113" s="327" t="s">
        <v>873</v>
      </c>
      <c r="E113" s="327" t="s">
        <v>874</v>
      </c>
      <c r="F113" s="327" t="s">
        <v>875</v>
      </c>
      <c r="G113" s="327" t="s">
        <v>876</v>
      </c>
      <c r="H113" s="327" t="s">
        <v>877</v>
      </c>
      <c r="I113" s="313" t="s">
        <v>878</v>
      </c>
      <c r="J113" s="112"/>
    </row>
    <row r="114" spans="1:10">
      <c r="A114" s="2"/>
      <c r="B114" s="303" t="s">
        <v>908</v>
      </c>
      <c r="C114" s="310"/>
      <c r="D114" s="326"/>
      <c r="E114" s="326"/>
      <c r="F114" s="326"/>
      <c r="G114" s="326"/>
      <c r="H114" s="326"/>
      <c r="I114" s="310"/>
      <c r="J114" s="112"/>
    </row>
    <row r="115" spans="1:10">
      <c r="A115" s="104">
        <f>A108+1</f>
        <v>510</v>
      </c>
      <c r="B115" s="524" t="s">
        <v>639</v>
      </c>
      <c r="C115" s="240"/>
      <c r="D115" s="253"/>
      <c r="E115" s="393"/>
      <c r="F115" s="116"/>
      <c r="G115" s="393"/>
      <c r="H115" s="116"/>
      <c r="I115" s="198"/>
      <c r="J115" s="198"/>
    </row>
    <row r="116" spans="1:10">
      <c r="A116" s="2"/>
      <c r="B116" s="243"/>
      <c r="C116" s="233"/>
      <c r="D116" s="235"/>
      <c r="E116" s="114"/>
      <c r="F116" s="114"/>
      <c r="G116" s="114"/>
      <c r="H116" s="114"/>
      <c r="I116" s="112"/>
      <c r="J116" s="112"/>
    </row>
    <row r="117" spans="1:10">
      <c r="A117" s="2">
        <v>650</v>
      </c>
      <c r="B117" s="233"/>
      <c r="C117" s="233" t="s">
        <v>909</v>
      </c>
      <c r="D117" s="235">
        <f>SUM(D99:D108)+SUM(D115:D115)</f>
        <v>-3006178027</v>
      </c>
      <c r="E117" s="235">
        <f>SUM(E99:E108)+SUM(E115:E115)</f>
        <v>-2969889203.8535633</v>
      </c>
      <c r="F117" s="235">
        <f>SUM(F99:F108)+SUM(F115:F115)</f>
        <v>-14523159</v>
      </c>
      <c r="G117" s="235">
        <f>SUM(G99:G108)+SUM(G115:G115)</f>
        <v>-18344190.792546399</v>
      </c>
      <c r="H117" s="235">
        <f>SUM(H99:H108)+SUM(H115:H115)</f>
        <v>-3421473.353890216</v>
      </c>
      <c r="I117" s="123" t="str">
        <f>"Sum of Above Lines beginning on Line "&amp;A99&amp;""</f>
        <v>Sum of Above Lines beginning on Line 500</v>
      </c>
      <c r="J117" s="112"/>
    </row>
    <row r="118" spans="1:10">
      <c r="A118" s="2"/>
      <c r="B118" s="233"/>
      <c r="C118" s="233"/>
      <c r="D118" s="235"/>
      <c r="E118" s="235"/>
      <c r="F118" s="235"/>
      <c r="G118" s="235"/>
      <c r="H118" s="235"/>
      <c r="I118" s="273"/>
      <c r="J118" s="112"/>
    </row>
    <row r="119" spans="1:10">
      <c r="A119" s="2"/>
      <c r="B119" s="303" t="s">
        <v>910</v>
      </c>
      <c r="C119" s="233"/>
      <c r="D119" s="235"/>
      <c r="E119" s="114"/>
      <c r="F119" s="114"/>
      <c r="G119" s="114"/>
      <c r="H119" s="114"/>
      <c r="I119" s="487" t="s">
        <v>870</v>
      </c>
      <c r="J119" s="112"/>
    </row>
    <row r="120" spans="1:10">
      <c r="A120" s="2"/>
      <c r="C120" s="48" t="s">
        <v>345</v>
      </c>
      <c r="D120" s="48" t="s">
        <v>346</v>
      </c>
      <c r="E120" s="48" t="s">
        <v>347</v>
      </c>
      <c r="F120" s="48" t="s">
        <v>348</v>
      </c>
      <c r="G120" s="48" t="s">
        <v>349</v>
      </c>
      <c r="H120" s="48" t="s">
        <v>350</v>
      </c>
      <c r="I120" s="48" t="s">
        <v>351</v>
      </c>
      <c r="J120" s="112"/>
    </row>
    <row r="121" spans="1:10">
      <c r="A121" s="104">
        <v>700</v>
      </c>
      <c r="B121" s="524">
        <v>283</v>
      </c>
      <c r="C121" s="525" t="s">
        <v>3194</v>
      </c>
      <c r="D121" s="394">
        <v>-142134</v>
      </c>
      <c r="E121" s="394">
        <v>-142134</v>
      </c>
      <c r="F121" s="393"/>
      <c r="G121" s="393"/>
      <c r="H121" s="393"/>
      <c r="I121" s="523" t="s">
        <v>3186</v>
      </c>
      <c r="J121" s="523"/>
    </row>
    <row r="122" spans="1:10">
      <c r="A122" s="104">
        <f>A121+1</f>
        <v>701</v>
      </c>
      <c r="B122" s="524">
        <v>283</v>
      </c>
      <c r="C122" s="525" t="s">
        <v>3195</v>
      </c>
      <c r="D122" s="394">
        <v>-9347</v>
      </c>
      <c r="E122" s="394">
        <v>-9347</v>
      </c>
      <c r="F122" s="393"/>
      <c r="G122" s="393"/>
      <c r="H122" s="393"/>
      <c r="I122" s="523" t="s">
        <v>3186</v>
      </c>
      <c r="J122" s="523"/>
    </row>
    <row r="123" spans="1:10">
      <c r="A123" s="104">
        <f>A122+1</f>
        <v>702</v>
      </c>
      <c r="B123" s="524">
        <v>283</v>
      </c>
      <c r="C123" s="525" t="s">
        <v>3196</v>
      </c>
      <c r="D123" s="394">
        <v>-1136528</v>
      </c>
      <c r="E123" s="394">
        <v>-1136528</v>
      </c>
      <c r="F123" s="393"/>
      <c r="G123" s="393"/>
      <c r="H123" s="393"/>
      <c r="I123" s="523" t="s">
        <v>3179</v>
      </c>
      <c r="J123" s="523"/>
    </row>
    <row r="124" spans="1:10">
      <c r="A124" s="104">
        <f>A123+1</f>
        <v>703</v>
      </c>
      <c r="B124" s="524">
        <v>283</v>
      </c>
      <c r="C124" s="525" t="s">
        <v>3177</v>
      </c>
      <c r="D124" s="394">
        <f>-7474196-44591</f>
        <v>-7518787</v>
      </c>
      <c r="E124" s="394">
        <f>D124</f>
        <v>-7518787</v>
      </c>
      <c r="F124" s="393"/>
      <c r="G124" s="393"/>
      <c r="H124" s="393"/>
      <c r="I124" s="523" t="s">
        <v>3179</v>
      </c>
      <c r="J124" s="523"/>
    </row>
    <row r="125" spans="1:10">
      <c r="A125" s="104">
        <f>A124+1</f>
        <v>704</v>
      </c>
      <c r="B125" s="524" t="s">
        <v>639</v>
      </c>
      <c r="C125" s="525"/>
      <c r="D125" s="394"/>
      <c r="E125" s="393"/>
      <c r="F125" s="393"/>
      <c r="G125" s="393"/>
      <c r="H125" s="393"/>
      <c r="I125" s="523"/>
      <c r="J125" s="523"/>
    </row>
    <row r="126" spans="1:10">
      <c r="A126" s="2"/>
      <c r="B126" s="275"/>
      <c r="C126" s="233"/>
      <c r="D126" s="235"/>
      <c r="E126" s="114"/>
      <c r="F126" s="114"/>
      <c r="G126" s="114"/>
      <c r="H126" s="114"/>
      <c r="I126" s="112"/>
      <c r="J126" s="112"/>
    </row>
    <row r="127" spans="1:10">
      <c r="A127" s="2"/>
      <c r="B127" s="233"/>
      <c r="C127" s="48" t="s">
        <v>345</v>
      </c>
      <c r="D127" s="48" t="s">
        <v>346</v>
      </c>
      <c r="E127" s="48" t="s">
        <v>347</v>
      </c>
      <c r="F127" s="48" t="s">
        <v>348</v>
      </c>
      <c r="G127" s="48" t="s">
        <v>349</v>
      </c>
      <c r="H127" s="48" t="s">
        <v>350</v>
      </c>
      <c r="I127" s="184" t="s">
        <v>684</v>
      </c>
      <c r="J127" s="112"/>
    </row>
    <row r="128" spans="1:10">
      <c r="A128" s="2">
        <v>800</v>
      </c>
      <c r="B128" s="112"/>
      <c r="C128" s="233" t="s">
        <v>911</v>
      </c>
      <c r="D128" s="235">
        <f>SUM(D121:D124)</f>
        <v>-8806796</v>
      </c>
      <c r="E128" s="235">
        <f>SUM(E121:E124)</f>
        <v>-8806796</v>
      </c>
      <c r="F128" s="235">
        <f>SUM(F121:F124)</f>
        <v>0</v>
      </c>
      <c r="G128" s="235">
        <f>SUM(G121:G124)</f>
        <v>0</v>
      </c>
      <c r="H128" s="235">
        <f>SUM(H121:H124)</f>
        <v>0</v>
      </c>
      <c r="I128" s="123" t="str">
        <f>"Sum of Above Lines beginning on Line "&amp;A121&amp;""</f>
        <v>Sum of Above Lines beginning on Line 700</v>
      </c>
      <c r="J128" s="112"/>
    </row>
    <row r="129" spans="1:10">
      <c r="A129" s="2"/>
      <c r="B129" s="112"/>
      <c r="C129" s="233"/>
      <c r="D129" s="235"/>
      <c r="E129" s="235"/>
      <c r="F129" s="235"/>
      <c r="G129" s="235"/>
      <c r="H129" s="235"/>
      <c r="I129" s="123"/>
      <c r="J129" s="112"/>
    </row>
    <row r="130" spans="1:10">
      <c r="A130" s="2">
        <f>A128+1</f>
        <v>801</v>
      </c>
      <c r="B130" s="112"/>
      <c r="C130" s="233" t="s">
        <v>912</v>
      </c>
      <c r="D130" s="235">
        <f>D117+D128</f>
        <v>-3014984823</v>
      </c>
      <c r="E130" s="235">
        <f>E117+E128</f>
        <v>-2978695999.8535633</v>
      </c>
      <c r="F130" s="235">
        <f>F117+F128</f>
        <v>-14523159</v>
      </c>
      <c r="G130" s="235">
        <f>G117+G128</f>
        <v>-18344190.792546399</v>
      </c>
      <c r="H130" s="235">
        <f>H117+H128</f>
        <v>-3421473.353890216</v>
      </c>
      <c r="I130" s="272" t="str">
        <f>"Line "&amp;A117&amp;" + Line "&amp;A128&amp;""</f>
        <v>Line 650 + Line 800</v>
      </c>
      <c r="J130" s="112"/>
    </row>
    <row r="131" spans="1:10">
      <c r="A131" s="2">
        <f>+A130+1</f>
        <v>802</v>
      </c>
      <c r="B131" s="303"/>
      <c r="C131" s="303" t="s">
        <v>891</v>
      </c>
      <c r="D131" s="506"/>
      <c r="E131" s="506"/>
      <c r="F131" s="318"/>
      <c r="G131" s="320">
        <f>'27-Allocators'!$G$28</f>
        <v>0.16919973215259246</v>
      </c>
      <c r="H131" s="320">
        <f>'27-Allocators'!$G$15</f>
        <v>6.4531762547854879E-2</v>
      </c>
      <c r="I131" s="395" t="str">
        <f>"27-Allocators Lines "&amp;'27-Allocators'!A28&amp;" and "&amp;'27-Allocators'!A15&amp;" respectively."</f>
        <v>27-Allocators Lines 22 and 9 respectively.</v>
      </c>
      <c r="J131" s="112"/>
    </row>
    <row r="132" spans="1:10">
      <c r="A132" s="2">
        <f>+A131+1</f>
        <v>803</v>
      </c>
      <c r="B132" s="303"/>
      <c r="C132" s="303" t="s">
        <v>913</v>
      </c>
      <c r="D132" s="325">
        <f>SUM(F132:H132)</f>
        <v>-17847784.874691959</v>
      </c>
      <c r="E132" s="318"/>
      <c r="F132" s="870">
        <f>+F130</f>
        <v>-14523159</v>
      </c>
      <c r="G132" s="870">
        <f>+G130*G131</f>
        <v>-3103832.1686549033</v>
      </c>
      <c r="H132" s="871">
        <f>+H130*H131</f>
        <v>-220793.70603705605</v>
      </c>
      <c r="I132" s="272" t="str">
        <f>"Line "&amp;A130&amp;" * Line "&amp;A131&amp;" for Cols 5 and 6.  Col. 4 100% ISO."</f>
        <v>Line 801 * Line 802 for Cols 5 and 6.  Col. 4 100% ISO.</v>
      </c>
      <c r="J132" s="112"/>
    </row>
    <row r="133" spans="1:10">
      <c r="A133" s="2"/>
      <c r="B133" s="112"/>
      <c r="C133" s="321" t="s">
        <v>893</v>
      </c>
      <c r="D133" s="235"/>
      <c r="E133" s="235"/>
      <c r="F133" s="235"/>
      <c r="G133" s="235"/>
      <c r="H133" s="235"/>
      <c r="I133" s="272"/>
      <c r="J133" s="114"/>
    </row>
    <row r="134" spans="1:10">
      <c r="A134" s="2"/>
      <c r="B134" s="112"/>
      <c r="C134" s="233"/>
      <c r="D134" s="235"/>
      <c r="E134" s="235"/>
      <c r="F134" s="235"/>
      <c r="G134" s="235"/>
      <c r="H134" s="235"/>
      <c r="I134" s="272"/>
      <c r="J134" s="112"/>
    </row>
    <row r="135" spans="1:10">
      <c r="A135" s="2">
        <f>A132+1</f>
        <v>804</v>
      </c>
      <c r="C135" s="303" t="s">
        <v>914</v>
      </c>
      <c r="D135" s="522">
        <v>-3014984823</v>
      </c>
      <c r="E135" s="622" t="str">
        <f>"Must match amount on Line "&amp;A130&amp;", Col. 2"</f>
        <v>Must match amount on Line 801, Col. 2</v>
      </c>
      <c r="F135" s="318"/>
      <c r="G135" s="318"/>
      <c r="H135" s="318"/>
      <c r="I135" s="123" t="s">
        <v>915</v>
      </c>
    </row>
    <row r="136" spans="1:10">
      <c r="A136" s="2"/>
      <c r="C136" s="303"/>
      <c r="D136" s="322"/>
      <c r="E136" s="322"/>
      <c r="F136" s="318"/>
      <c r="G136" s="318"/>
      <c r="H136" s="318"/>
      <c r="I136" s="123"/>
    </row>
    <row r="137" spans="1:10">
      <c r="B137"/>
      <c r="C137" s="112" t="s">
        <v>916</v>
      </c>
      <c r="D137" s="112"/>
      <c r="E137" s="112"/>
      <c r="F137" s="112"/>
      <c r="G137" s="112"/>
      <c r="J137"/>
    </row>
    <row r="138" spans="1:10">
      <c r="B138"/>
      <c r="C138" s="112" t="s">
        <v>917</v>
      </c>
      <c r="D138" s="112"/>
      <c r="E138" s="112"/>
      <c r="F138" s="112"/>
      <c r="G138" s="112"/>
      <c r="J138"/>
    </row>
    <row r="139" spans="1:10">
      <c r="B139"/>
      <c r="C139" s="112"/>
      <c r="D139" s="112"/>
      <c r="E139" s="112"/>
      <c r="F139" s="112"/>
      <c r="G139" s="112"/>
      <c r="J139"/>
    </row>
    <row r="140" spans="1:10">
      <c r="B140"/>
      <c r="C140" s="112" t="s">
        <v>918</v>
      </c>
      <c r="D140" s="112"/>
      <c r="E140" s="112"/>
      <c r="F140" s="112"/>
      <c r="G140" s="112"/>
      <c r="J140"/>
    </row>
    <row r="141" spans="1:10">
      <c r="B141"/>
      <c r="C141" s="112" t="s">
        <v>919</v>
      </c>
      <c r="D141" s="112"/>
      <c r="E141" s="112"/>
      <c r="F141" s="112"/>
      <c r="G141" s="112"/>
      <c r="J141"/>
    </row>
    <row r="142" spans="1:10">
      <c r="B142"/>
      <c r="C142" s="112" t="s">
        <v>920</v>
      </c>
      <c r="D142" s="112"/>
      <c r="E142" s="112"/>
      <c r="F142" s="112"/>
      <c r="G142" s="112"/>
      <c r="J142"/>
    </row>
    <row r="143" spans="1:10" s="233" customFormat="1">
      <c r="E143" s="2" t="s">
        <v>101</v>
      </c>
      <c r="G143" s="4" t="s">
        <v>921</v>
      </c>
      <c r="H143" s="112"/>
      <c r="I143" s="112"/>
    </row>
    <row r="144" spans="1:10" s="233" customFormat="1">
      <c r="E144" s="3" t="s">
        <v>104</v>
      </c>
      <c r="G144" s="3" t="s">
        <v>105</v>
      </c>
      <c r="H144" s="112"/>
      <c r="I144" s="112"/>
    </row>
    <row r="145" spans="2:10" s="233" customFormat="1" ht="12.5">
      <c r="C145" s="232" t="s">
        <v>922</v>
      </c>
      <c r="E145" s="233" t="s">
        <v>923</v>
      </c>
      <c r="G145" s="529">
        <v>955416937</v>
      </c>
      <c r="H145" s="112"/>
      <c r="I145" s="590"/>
    </row>
    <row r="146" spans="2:10" s="233" customFormat="1" ht="12.5">
      <c r="C146" s="232" t="s">
        <v>924</v>
      </c>
      <c r="E146" s="233" t="s">
        <v>925</v>
      </c>
      <c r="G146" s="253">
        <v>871269</v>
      </c>
      <c r="H146" s="112"/>
      <c r="I146" s="590"/>
    </row>
    <row r="147" spans="2:10" s="233" customFormat="1" ht="12.5">
      <c r="C147" s="232" t="s">
        <v>926</v>
      </c>
      <c r="E147" s="233" t="s">
        <v>927</v>
      </c>
      <c r="G147" s="61">
        <v>3150825</v>
      </c>
      <c r="H147" s="112"/>
      <c r="I147" s="590"/>
    </row>
    <row r="148" spans="2:10" s="233" customFormat="1" ht="12.5">
      <c r="C148" s="232" t="s">
        <v>928</v>
      </c>
      <c r="E148" s="233" t="s">
        <v>929</v>
      </c>
      <c r="G148" s="235">
        <f>SUM(G145:G147)</f>
        <v>959439031</v>
      </c>
      <c r="H148" s="112"/>
      <c r="I148" s="112"/>
    </row>
    <row r="149" spans="2:10" s="233" customFormat="1" ht="12.5">
      <c r="C149" s="232" t="s">
        <v>930</v>
      </c>
      <c r="E149" s="243" t="s">
        <v>931</v>
      </c>
      <c r="G149" s="203">
        <f>(G146+G147)/G148</f>
        <v>4.1921308911186039E-3</v>
      </c>
      <c r="H149" s="112"/>
      <c r="I149" s="112"/>
    </row>
    <row r="150" spans="2:10" s="233" customFormat="1" ht="12.5">
      <c r="C150" s="482" t="s">
        <v>932</v>
      </c>
      <c r="D150" s="112"/>
      <c r="E150" s="112"/>
      <c r="F150" s="112"/>
      <c r="G150" s="112"/>
      <c r="H150" s="112"/>
      <c r="I150" s="112"/>
    </row>
    <row r="151" spans="2:10" s="233" customFormat="1">
      <c r="E151" s="2" t="s">
        <v>101</v>
      </c>
      <c r="G151" s="4" t="s">
        <v>921</v>
      </c>
      <c r="H151" s="112"/>
      <c r="I151" s="112"/>
    </row>
    <row r="152" spans="2:10" s="233" customFormat="1">
      <c r="E152" s="3" t="s">
        <v>104</v>
      </c>
      <c r="G152" s="3" t="s">
        <v>105</v>
      </c>
      <c r="H152" s="112"/>
      <c r="I152" s="112"/>
    </row>
    <row r="153" spans="2:10" s="233" customFormat="1" ht="12.5">
      <c r="C153" s="232" t="s">
        <v>933</v>
      </c>
      <c r="E153" s="233" t="s">
        <v>934</v>
      </c>
      <c r="G153" s="529">
        <v>72457311326</v>
      </c>
      <c r="H153" s="112"/>
      <c r="I153" s="590"/>
    </row>
    <row r="154" spans="2:10" s="233" customFormat="1" ht="12.5">
      <c r="C154" s="232" t="s">
        <v>935</v>
      </c>
      <c r="E154" s="233" t="s">
        <v>936</v>
      </c>
      <c r="G154" s="253">
        <v>7310983</v>
      </c>
      <c r="H154" s="112"/>
      <c r="I154" s="112"/>
    </row>
    <row r="155" spans="2:10" s="233" customFormat="1" ht="12.5">
      <c r="C155" s="232" t="s">
        <v>937</v>
      </c>
      <c r="E155" s="233" t="s">
        <v>938</v>
      </c>
      <c r="G155" s="61">
        <v>52095998</v>
      </c>
      <c r="H155" s="112"/>
      <c r="I155" s="590"/>
    </row>
    <row r="156" spans="2:10" s="233" customFormat="1" ht="12.5">
      <c r="C156" s="232" t="s">
        <v>939</v>
      </c>
      <c r="E156" s="233" t="s">
        <v>940</v>
      </c>
      <c r="G156" s="235">
        <f>SUM(G153:G155)</f>
        <v>72516718307</v>
      </c>
      <c r="H156" s="112"/>
      <c r="I156" s="112"/>
    </row>
    <row r="157" spans="2:10" s="233" customFormat="1" ht="12.5">
      <c r="C157" s="232" t="s">
        <v>941</v>
      </c>
      <c r="E157" s="243" t="s">
        <v>942</v>
      </c>
      <c r="G157" s="203">
        <f>(G154+G155)/G156</f>
        <v>8.1921772505617473E-4</v>
      </c>
      <c r="H157" s="112"/>
      <c r="I157" s="112"/>
    </row>
    <row r="158" spans="2:10" s="233" customFormat="1" ht="12.5">
      <c r="C158" s="112" t="s">
        <v>943</v>
      </c>
      <c r="D158" s="112"/>
      <c r="E158" s="112"/>
      <c r="F158" s="112"/>
      <c r="G158" s="112"/>
      <c r="H158" s="112"/>
      <c r="I158" s="112"/>
    </row>
    <row r="159" spans="2:10" s="233" customFormat="1" ht="12.5">
      <c r="B159" s="112"/>
      <c r="C159" s="112"/>
      <c r="D159" s="112"/>
      <c r="E159" s="112"/>
      <c r="F159" s="112"/>
      <c r="G159" s="112"/>
      <c r="H159" s="112"/>
      <c r="I159" s="112"/>
      <c r="J159" s="112"/>
    </row>
    <row r="160" spans="2:10" s="233" customFormat="1">
      <c r="B160" s="112"/>
      <c r="C160" s="30"/>
      <c r="D160" s="112"/>
      <c r="E160" s="112"/>
      <c r="F160" s="112"/>
      <c r="G160" s="112"/>
      <c r="H160" s="112"/>
      <c r="I160" s="112"/>
      <c r="J160" s="112"/>
    </row>
    <row r="161" spans="3:10">
      <c r="C161" s="233"/>
      <c r="G161" s="662"/>
      <c r="H161" s="727"/>
      <c r="I161" s="112"/>
      <c r="J161" s="112"/>
    </row>
    <row r="162" spans="3:10">
      <c r="C162" s="233"/>
    </row>
    <row r="163" spans="3:10">
      <c r="C163" s="232"/>
    </row>
    <row r="164" spans="3:10">
      <c r="C164" s="232"/>
    </row>
  </sheetData>
  <protectedRanges>
    <protectedRange password="F1C4" sqref="D20:E23 E15:E19 D14:D15 D17:D18 I52 B7:C12 F20 D25:F30 D24 B14:C14 B13 B17:C30 C16 B15" name="AAReport1_23_1_1_2"/>
    <protectedRange password="F1C4" sqref="E24" name="AAReport1_23_1_1_2_3"/>
    <protectedRange password="F1C4" sqref="I115" name="AAReport1_23_1_1_2_2"/>
    <protectedRange password="F1C4" sqref="D19" name="AAReport1_23_1_1_1_1_1_1"/>
    <protectedRange password="F1C4" sqref="F46" name="AAReport1_23_1_1_2_1_2"/>
    <protectedRange password="F1C4" sqref="I108" name="AAReport1_23_1_1_2_2_1"/>
    <protectedRange password="F1C4" sqref="F45" name="AAReport1_23_1_1_2_1_1"/>
    <protectedRange password="F1C4" sqref="J32:J35" name="AAReport1_23_1_1_2_1_2_2_2"/>
    <protectedRange password="F1C4" sqref="F32:F33" name="AAReport1_23_1_1_2_1_1_1_2_2"/>
  </protectedRanges>
  <phoneticPr fontId="26" type="noConversion"/>
  <conditionalFormatting sqref="B109 B126">
    <cfRule type="expression" dxfId="24" priority="65" stopIfTrue="1">
      <formula>Formulas</formula>
    </cfRule>
  </conditionalFormatting>
  <conditionalFormatting sqref="C99:C109">
    <cfRule type="expression" dxfId="23" priority="7" stopIfTrue="1">
      <formula>#REF!&lt;&gt;""</formula>
    </cfRule>
  </conditionalFormatting>
  <conditionalFormatting sqref="C115">
    <cfRule type="expression" dxfId="22" priority="44" stopIfTrue="1">
      <formula>#REF!&lt;&gt;""</formula>
    </cfRule>
  </conditionalFormatting>
  <conditionalFormatting sqref="C121:C126">
    <cfRule type="expression" dxfId="21" priority="3" stopIfTrue="1">
      <formula>#REF!&lt;&gt;""</formula>
    </cfRule>
  </conditionalFormatting>
  <conditionalFormatting sqref="D99:D109">
    <cfRule type="expression" dxfId="20" priority="6" stopIfTrue="1">
      <formula>Formulas</formula>
    </cfRule>
  </conditionalFormatting>
  <conditionalFormatting sqref="D115">
    <cfRule type="expression" dxfId="19" priority="45" stopIfTrue="1">
      <formula>Formulas</formula>
    </cfRule>
  </conditionalFormatting>
  <conditionalFormatting sqref="D121:D126">
    <cfRule type="expression" dxfId="18" priority="2" stopIfTrue="1">
      <formula>Formulas</formula>
    </cfRule>
  </conditionalFormatting>
  <conditionalFormatting sqref="E99:E100">
    <cfRule type="expression" dxfId="17" priority="5" stopIfTrue="1">
      <formula>Formulas</formula>
    </cfRule>
  </conditionalFormatting>
  <conditionalFormatting sqref="E106:E107">
    <cfRule type="expression" dxfId="16" priority="4" stopIfTrue="1">
      <formula>Formulas</formula>
    </cfRule>
  </conditionalFormatting>
  <conditionalFormatting sqref="E121:E124">
    <cfRule type="expression" dxfId="15" priority="1" stopIfTrue="1">
      <formula>Formulas</formula>
    </cfRule>
  </conditionalFormatting>
  <pageMargins left="0.75" right="0.75" top="1" bottom="1" header="0.5" footer="0.5"/>
  <pageSetup scale="56" orientation="landscape" cellComments="asDisplayed" r:id="rId1"/>
  <headerFooter alignWithMargins="0">
    <oddHeader>&amp;C&amp;"Arial,Bold"Schedule 9-ADIT-1
ADIT
&amp;RTO2027 Draft Annual Update 
Attachment 1</oddHeader>
    <oddFooter>&amp;R&amp;A</oddFooter>
  </headerFooter>
  <rowBreaks count="4" manualBreakCount="4">
    <brk id="24" max="16383" man="1"/>
    <brk id="55" max="16383" man="1"/>
    <brk id="91" max="9" man="1"/>
    <brk id="136"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74"/>
  <sheetViews>
    <sheetView zoomScaleNormal="100" workbookViewId="0"/>
  </sheetViews>
  <sheetFormatPr defaultColWidth="14.54296875" defaultRowHeight="12.5"/>
  <cols>
    <col min="1" max="1" width="5.54296875" customWidth="1"/>
    <col min="2" max="2" width="36.81640625" customWidth="1"/>
    <col min="3" max="3" width="3.54296875" customWidth="1"/>
    <col min="4" max="5" width="14.1796875" customWidth="1"/>
    <col min="6" max="7" width="13.54296875" customWidth="1"/>
    <col min="10" max="10" width="15.1796875" customWidth="1"/>
    <col min="12" max="12" width="16" customWidth="1"/>
    <col min="13" max="13" width="15.453125" bestFit="1" customWidth="1"/>
  </cols>
  <sheetData>
    <row r="1" spans="1:14" ht="14.5">
      <c r="A1" s="726" t="s">
        <v>944</v>
      </c>
      <c r="B1" s="669"/>
      <c r="C1" s="669"/>
      <c r="D1" s="669"/>
      <c r="E1" s="669"/>
      <c r="F1" s="669"/>
      <c r="G1" s="669"/>
      <c r="H1" s="669"/>
      <c r="I1" s="669"/>
      <c r="J1" s="669"/>
      <c r="K1" s="669"/>
      <c r="L1" s="669"/>
      <c r="M1" s="669"/>
      <c r="N1" s="670"/>
    </row>
    <row r="2" spans="1:14" ht="13">
      <c r="A2" s="671"/>
      <c r="B2" s="668"/>
      <c r="C2" s="668"/>
      <c r="D2" s="671"/>
      <c r="E2" s="671"/>
      <c r="F2" s="671"/>
      <c r="G2" s="671"/>
      <c r="H2" s="671"/>
      <c r="I2" s="671"/>
      <c r="J2" s="671"/>
      <c r="L2" s="672" t="s">
        <v>655</v>
      </c>
      <c r="M2" s="673">
        <v>2025</v>
      </c>
      <c r="N2" s="343"/>
    </row>
    <row r="3" spans="1:14">
      <c r="A3" s="671"/>
      <c r="B3" s="671"/>
      <c r="C3" s="671"/>
      <c r="D3" s="671"/>
      <c r="E3" s="671"/>
      <c r="F3" s="671"/>
      <c r="G3" s="671"/>
      <c r="H3" s="671"/>
      <c r="I3" s="671"/>
      <c r="J3" s="671"/>
      <c r="K3" s="671"/>
      <c r="L3" s="671"/>
      <c r="M3" s="671"/>
      <c r="N3" s="343"/>
    </row>
    <row r="4" spans="1:14" ht="13">
      <c r="A4" s="674"/>
      <c r="B4" s="675" t="s">
        <v>945</v>
      </c>
      <c r="C4" s="675"/>
      <c r="D4" s="675" t="s">
        <v>946</v>
      </c>
      <c r="E4" s="675" t="s">
        <v>947</v>
      </c>
      <c r="F4" s="675" t="s">
        <v>948</v>
      </c>
      <c r="G4" s="675" t="s">
        <v>949</v>
      </c>
      <c r="H4" s="675" t="s">
        <v>950</v>
      </c>
      <c r="I4" s="675" t="s">
        <v>951</v>
      </c>
      <c r="J4" s="675" t="s">
        <v>952</v>
      </c>
      <c r="K4" s="675" t="s">
        <v>953</v>
      </c>
      <c r="L4" s="675" t="s">
        <v>954</v>
      </c>
      <c r="M4" s="675" t="s">
        <v>955</v>
      </c>
      <c r="N4" s="676"/>
    </row>
    <row r="5" spans="1:14" ht="13.5" thickBot="1">
      <c r="A5" s="343"/>
      <c r="B5" s="677"/>
      <c r="C5" s="677"/>
      <c r="D5" s="677"/>
      <c r="E5" s="677"/>
      <c r="F5" s="676"/>
      <c r="G5" s="676"/>
      <c r="H5" s="676"/>
      <c r="I5" s="676"/>
      <c r="J5" s="677"/>
      <c r="K5" s="676"/>
      <c r="L5" s="935" t="s">
        <v>129</v>
      </c>
      <c r="M5" s="935" t="s">
        <v>956</v>
      </c>
      <c r="N5" s="677"/>
    </row>
    <row r="6" spans="1:14" ht="13.5" thickBot="1">
      <c r="A6" s="343"/>
      <c r="B6" s="677"/>
      <c r="C6" s="962"/>
      <c r="D6" s="678" t="s">
        <v>957</v>
      </c>
      <c r="E6" s="678" t="s">
        <v>957</v>
      </c>
      <c r="F6" s="678" t="s">
        <v>957</v>
      </c>
      <c r="G6" s="678" t="s">
        <v>957</v>
      </c>
      <c r="H6" s="678" t="s">
        <v>957</v>
      </c>
      <c r="I6" s="678" t="s">
        <v>957</v>
      </c>
      <c r="J6" s="679" t="s">
        <v>958</v>
      </c>
      <c r="K6" s="679" t="s">
        <v>959</v>
      </c>
      <c r="L6" s="679" t="s">
        <v>960</v>
      </c>
      <c r="M6" s="679" t="s">
        <v>960</v>
      </c>
      <c r="N6" s="677"/>
    </row>
    <row r="7" spans="1:14" ht="87" customHeight="1" thickBot="1">
      <c r="A7" s="680" t="s">
        <v>282</v>
      </c>
      <c r="B7" s="343"/>
      <c r="C7" s="681"/>
      <c r="D7" s="924" t="s">
        <v>961</v>
      </c>
      <c r="E7" s="924" t="s">
        <v>962</v>
      </c>
      <c r="F7" s="924" t="s">
        <v>963</v>
      </c>
      <c r="G7" s="924" t="s">
        <v>964</v>
      </c>
      <c r="H7" s="925" t="s">
        <v>965</v>
      </c>
      <c r="I7" s="924" t="s">
        <v>966</v>
      </c>
      <c r="J7" s="924" t="s">
        <v>967</v>
      </c>
      <c r="K7" s="925" t="s">
        <v>968</v>
      </c>
      <c r="L7" s="924" t="s">
        <v>969</v>
      </c>
      <c r="M7" s="924" t="s">
        <v>970</v>
      </c>
      <c r="N7" s="682"/>
    </row>
    <row r="8" spans="1:14" ht="13">
      <c r="A8" s="683">
        <v>1</v>
      </c>
      <c r="B8" s="684" t="s">
        <v>971</v>
      </c>
      <c r="C8" s="685"/>
      <c r="D8" s="671"/>
      <c r="E8" s="671"/>
      <c r="F8" s="671"/>
      <c r="G8" s="671"/>
      <c r="H8" s="671"/>
      <c r="I8" s="671"/>
      <c r="J8" s="671"/>
      <c r="K8" s="671"/>
      <c r="L8" s="671"/>
      <c r="M8" s="671"/>
      <c r="N8" s="343"/>
    </row>
    <row r="9" spans="1:14" ht="13">
      <c r="A9" s="683">
        <f t="shared" ref="A9:A45" si="0">+A8+1</f>
        <v>2</v>
      </c>
      <c r="B9" s="686" t="s">
        <v>972</v>
      </c>
      <c r="C9" s="687"/>
      <c r="D9" s="688">
        <v>0</v>
      </c>
      <c r="E9" s="688">
        <v>-564189726</v>
      </c>
      <c r="F9" s="688"/>
      <c r="G9" s="966"/>
      <c r="H9" s="688">
        <v>0</v>
      </c>
      <c r="I9" s="966">
        <v>7302095</v>
      </c>
      <c r="J9" s="728">
        <f>SUM(D9:I9)</f>
        <v>-556887631</v>
      </c>
      <c r="K9" s="728">
        <f>'9-ADIT-3'!I12</f>
        <v>0</v>
      </c>
      <c r="L9" s="728">
        <f>IF(+J9+K9&gt;0,+J9+K9,0)</f>
        <v>0</v>
      </c>
      <c r="M9" s="728">
        <f>IF(+J9+K9&gt;0,0,+J9+K9)</f>
        <v>-556887631</v>
      </c>
      <c r="N9" s="343"/>
    </row>
    <row r="10" spans="1:14" ht="13">
      <c r="A10" s="683">
        <f t="shared" si="0"/>
        <v>3</v>
      </c>
      <c r="B10" s="686" t="s">
        <v>973</v>
      </c>
      <c r="C10" s="687"/>
      <c r="D10" s="688">
        <v>2502498</v>
      </c>
      <c r="E10" s="688"/>
      <c r="F10" s="966"/>
      <c r="G10" s="688"/>
      <c r="H10" s="688">
        <v>-877271</v>
      </c>
      <c r="I10" s="688"/>
      <c r="J10" s="728">
        <f t="shared" ref="J10:J13" si="1">SUM(D10:I10)</f>
        <v>1625227</v>
      </c>
      <c r="K10" s="728">
        <f>'9-ADIT-3'!I13</f>
        <v>0</v>
      </c>
      <c r="L10" s="728">
        <f t="shared" ref="L10:L12" si="2">IF(+J10+K10&gt;0,+J10+K10,0)</f>
        <v>1625227</v>
      </c>
      <c r="M10" s="728">
        <f t="shared" ref="M10:M12" si="3">IF(+J10+K10&gt;0,0,+J10+K10)</f>
        <v>0</v>
      </c>
      <c r="N10" s="343"/>
    </row>
    <row r="11" spans="1:14" ht="13">
      <c r="A11" s="683">
        <f t="shared" si="0"/>
        <v>4</v>
      </c>
      <c r="B11" s="686" t="s">
        <v>974</v>
      </c>
      <c r="C11" s="687"/>
      <c r="D11" s="688">
        <v>0</v>
      </c>
      <c r="E11" s="688"/>
      <c r="F11" s="688"/>
      <c r="G11" s="688"/>
      <c r="H11" s="688">
        <v>0</v>
      </c>
      <c r="I11" s="688"/>
      <c r="J11" s="728">
        <f t="shared" si="1"/>
        <v>0</v>
      </c>
      <c r="K11" s="728">
        <f>'9-ADIT-3'!I14</f>
        <v>0</v>
      </c>
      <c r="L11" s="728">
        <f t="shared" si="2"/>
        <v>0</v>
      </c>
      <c r="M11" s="728">
        <f t="shared" si="3"/>
        <v>0</v>
      </c>
      <c r="N11" s="343"/>
    </row>
    <row r="12" spans="1:14" ht="13">
      <c r="A12" s="683">
        <f t="shared" si="0"/>
        <v>5</v>
      </c>
      <c r="B12" s="686" t="s">
        <v>975</v>
      </c>
      <c r="C12" s="687"/>
      <c r="D12" s="688">
        <v>20505944</v>
      </c>
      <c r="E12" s="688"/>
      <c r="F12" s="688"/>
      <c r="G12" s="688"/>
      <c r="H12" s="688">
        <v>-106219</v>
      </c>
      <c r="I12" s="688"/>
      <c r="J12" s="728">
        <f t="shared" si="1"/>
        <v>20399725</v>
      </c>
      <c r="K12" s="728">
        <f>'9-ADIT-3'!I15</f>
        <v>0</v>
      </c>
      <c r="L12" s="728">
        <f t="shared" si="2"/>
        <v>20399725</v>
      </c>
      <c r="M12" s="728">
        <f t="shared" si="3"/>
        <v>0</v>
      </c>
      <c r="N12" s="343"/>
    </row>
    <row r="13" spans="1:14" ht="13">
      <c r="A13" s="683">
        <f t="shared" si="0"/>
        <v>6</v>
      </c>
      <c r="B13" s="689" t="s">
        <v>639</v>
      </c>
      <c r="C13" s="690"/>
      <c r="D13" s="688"/>
      <c r="E13" s="688"/>
      <c r="F13" s="688"/>
      <c r="G13" s="688"/>
      <c r="H13" s="688"/>
      <c r="I13" s="688"/>
      <c r="J13" s="728">
        <f t="shared" si="1"/>
        <v>0</v>
      </c>
      <c r="K13" s="728"/>
      <c r="L13" s="728"/>
      <c r="M13" s="728"/>
      <c r="N13" s="343"/>
    </row>
    <row r="14" spans="1:14" ht="13">
      <c r="A14" s="691" t="s">
        <v>976</v>
      </c>
      <c r="B14" s="692" t="s">
        <v>977</v>
      </c>
      <c r="C14" s="693"/>
      <c r="D14" s="729">
        <f t="shared" ref="D14:M14" si="4">SUM(D9:D13)</f>
        <v>23008442</v>
      </c>
      <c r="E14" s="729">
        <f t="shared" si="4"/>
        <v>-564189726</v>
      </c>
      <c r="F14" s="729">
        <f t="shared" si="4"/>
        <v>0</v>
      </c>
      <c r="G14" s="729">
        <f t="shared" si="4"/>
        <v>0</v>
      </c>
      <c r="H14" s="729">
        <f t="shared" si="4"/>
        <v>-983490</v>
      </c>
      <c r="I14" s="729">
        <f t="shared" si="4"/>
        <v>7302095</v>
      </c>
      <c r="J14" s="729">
        <f t="shared" si="4"/>
        <v>-534862679</v>
      </c>
      <c r="K14" s="729">
        <f t="shared" si="4"/>
        <v>0</v>
      </c>
      <c r="L14" s="729">
        <f t="shared" si="4"/>
        <v>22024952</v>
      </c>
      <c r="M14" s="729">
        <f t="shared" si="4"/>
        <v>-556887631</v>
      </c>
      <c r="N14" s="343"/>
    </row>
    <row r="15" spans="1:14" ht="13">
      <c r="A15" s="683"/>
      <c r="B15" s="686"/>
      <c r="C15" s="693"/>
      <c r="D15" s="686"/>
      <c r="E15" s="686"/>
      <c r="F15" s="686"/>
      <c r="G15" s="686"/>
      <c r="H15" s="686"/>
      <c r="I15" s="686"/>
      <c r="J15" s="686"/>
      <c r="K15" s="686"/>
      <c r="L15" s="686"/>
      <c r="M15" s="686"/>
      <c r="N15" s="343"/>
    </row>
    <row r="16" spans="1:14" ht="13">
      <c r="A16" s="683">
        <v>100</v>
      </c>
      <c r="B16" s="694" t="s">
        <v>978</v>
      </c>
      <c r="C16" s="695"/>
      <c r="D16" s="686"/>
      <c r="E16" s="686"/>
      <c r="F16" s="686"/>
      <c r="G16" s="686"/>
      <c r="H16" s="686"/>
      <c r="I16" s="686"/>
      <c r="J16" s="686"/>
      <c r="K16" s="686"/>
      <c r="L16" s="686"/>
      <c r="M16" s="686"/>
      <c r="N16" s="343"/>
    </row>
    <row r="17" spans="1:14" ht="13">
      <c r="A17" s="683">
        <f t="shared" si="0"/>
        <v>101</v>
      </c>
      <c r="B17" s="686" t="s">
        <v>979</v>
      </c>
      <c r="C17" s="687"/>
      <c r="D17" s="688"/>
      <c r="E17" s="688"/>
      <c r="F17" s="688"/>
      <c r="G17" s="688"/>
      <c r="H17" s="688"/>
      <c r="I17" s="688"/>
      <c r="J17" s="728">
        <f t="shared" ref="J17:J23" si="5">SUM(D17:I17)</f>
        <v>0</v>
      </c>
      <c r="K17" s="728">
        <f>'9-ADIT-3'!I20</f>
        <v>0</v>
      </c>
      <c r="L17" s="728">
        <f t="shared" ref="L17:L22" si="6">IF(+J17+K17&gt;0,+J17+K17,0)</f>
        <v>0</v>
      </c>
      <c r="M17" s="728">
        <f t="shared" ref="M17:M22" si="7">IF(+J17+K17&gt;0,0,+J17+K17)</f>
        <v>0</v>
      </c>
      <c r="N17" s="343"/>
    </row>
    <row r="18" spans="1:14" ht="13">
      <c r="A18" s="683">
        <f t="shared" si="0"/>
        <v>102</v>
      </c>
      <c r="B18" s="686" t="s">
        <v>980</v>
      </c>
      <c r="C18" s="687"/>
      <c r="D18" s="688"/>
      <c r="E18" s="688"/>
      <c r="F18" s="688"/>
      <c r="G18" s="688"/>
      <c r="H18" s="688"/>
      <c r="I18" s="688"/>
      <c r="J18" s="728">
        <f t="shared" si="5"/>
        <v>0</v>
      </c>
      <c r="K18" s="728">
        <f>'9-ADIT-3'!I21</f>
        <v>0</v>
      </c>
      <c r="L18" s="728">
        <f t="shared" si="6"/>
        <v>0</v>
      </c>
      <c r="M18" s="728">
        <f t="shared" si="7"/>
        <v>0</v>
      </c>
      <c r="N18" s="343"/>
    </row>
    <row r="19" spans="1:14" ht="13">
      <c r="A19" s="683">
        <f t="shared" si="0"/>
        <v>103</v>
      </c>
      <c r="B19" s="686" t="s">
        <v>981</v>
      </c>
      <c r="C19" s="687"/>
      <c r="D19" s="688"/>
      <c r="E19" s="688"/>
      <c r="F19" s="688"/>
      <c r="G19" s="688"/>
      <c r="H19" s="688"/>
      <c r="I19" s="688"/>
      <c r="J19" s="728">
        <f t="shared" si="5"/>
        <v>0</v>
      </c>
      <c r="K19" s="728">
        <f>'9-ADIT-3'!I22</f>
        <v>0</v>
      </c>
      <c r="L19" s="728">
        <f t="shared" si="6"/>
        <v>0</v>
      </c>
      <c r="M19" s="728">
        <f t="shared" si="7"/>
        <v>0</v>
      </c>
      <c r="N19" s="343"/>
    </row>
    <row r="20" spans="1:14" ht="13">
      <c r="A20" s="683">
        <f t="shared" si="0"/>
        <v>104</v>
      </c>
      <c r="B20" s="686" t="s">
        <v>982</v>
      </c>
      <c r="C20" s="687"/>
      <c r="D20" s="688"/>
      <c r="E20" s="688"/>
      <c r="F20" s="688"/>
      <c r="G20" s="688"/>
      <c r="H20" s="688"/>
      <c r="I20" s="688"/>
      <c r="J20" s="728">
        <f t="shared" si="5"/>
        <v>0</v>
      </c>
      <c r="K20" s="728">
        <f>'9-ADIT-3'!I23</f>
        <v>0</v>
      </c>
      <c r="L20" s="728">
        <f t="shared" si="6"/>
        <v>0</v>
      </c>
      <c r="M20" s="728">
        <f t="shared" si="7"/>
        <v>0</v>
      </c>
      <c r="N20" s="343"/>
    </row>
    <row r="21" spans="1:14" ht="13">
      <c r="A21" s="683">
        <f t="shared" si="0"/>
        <v>105</v>
      </c>
      <c r="B21" s="686" t="s">
        <v>983</v>
      </c>
      <c r="C21" s="687"/>
      <c r="D21" s="688"/>
      <c r="E21" s="688"/>
      <c r="F21" s="688"/>
      <c r="G21" s="688"/>
      <c r="H21" s="688"/>
      <c r="I21" s="688"/>
      <c r="J21" s="728">
        <f t="shared" si="5"/>
        <v>0</v>
      </c>
      <c r="K21" s="728">
        <f>'9-ADIT-3'!I24</f>
        <v>0</v>
      </c>
      <c r="L21" s="728">
        <f t="shared" si="6"/>
        <v>0</v>
      </c>
      <c r="M21" s="728">
        <f t="shared" si="7"/>
        <v>0</v>
      </c>
      <c r="N21" s="343"/>
    </row>
    <row r="22" spans="1:14" ht="13">
      <c r="A22" s="683">
        <f t="shared" si="0"/>
        <v>106</v>
      </c>
      <c r="B22" s="686" t="s">
        <v>984</v>
      </c>
      <c r="C22" s="687"/>
      <c r="D22" s="688"/>
      <c r="E22" s="688"/>
      <c r="F22" s="688"/>
      <c r="G22" s="688"/>
      <c r="H22" s="688"/>
      <c r="I22" s="688"/>
      <c r="J22" s="728">
        <f t="shared" si="5"/>
        <v>0</v>
      </c>
      <c r="K22" s="728">
        <f>'9-ADIT-3'!I25</f>
        <v>0</v>
      </c>
      <c r="L22" s="728">
        <f t="shared" si="6"/>
        <v>0</v>
      </c>
      <c r="M22" s="728">
        <f t="shared" si="7"/>
        <v>0</v>
      </c>
      <c r="N22" s="343"/>
    </row>
    <row r="23" spans="1:14" ht="13">
      <c r="A23" s="683">
        <f t="shared" si="0"/>
        <v>107</v>
      </c>
      <c r="B23" s="689" t="s">
        <v>639</v>
      </c>
      <c r="C23" s="690"/>
      <c r="D23" s="688"/>
      <c r="E23" s="688"/>
      <c r="F23" s="688"/>
      <c r="G23" s="688"/>
      <c r="H23" s="688"/>
      <c r="I23" s="688"/>
      <c r="J23" s="728">
        <f t="shared" si="5"/>
        <v>0</v>
      </c>
      <c r="K23" s="728"/>
      <c r="L23" s="728"/>
      <c r="M23" s="728"/>
      <c r="N23" s="343"/>
    </row>
    <row r="24" spans="1:14" ht="13">
      <c r="A24" s="691" t="s">
        <v>985</v>
      </c>
      <c r="B24" s="692" t="s">
        <v>986</v>
      </c>
      <c r="C24" s="693"/>
      <c r="D24" s="730">
        <f t="shared" ref="D24:M24" si="8">SUM(D17:D23)</f>
        <v>0</v>
      </c>
      <c r="E24" s="730">
        <f t="shared" si="8"/>
        <v>0</v>
      </c>
      <c r="F24" s="730">
        <f t="shared" si="8"/>
        <v>0</v>
      </c>
      <c r="G24" s="730">
        <f t="shared" si="8"/>
        <v>0</v>
      </c>
      <c r="H24" s="730">
        <f t="shared" si="8"/>
        <v>0</v>
      </c>
      <c r="I24" s="730">
        <f t="shared" si="8"/>
        <v>0</v>
      </c>
      <c r="J24" s="730">
        <f t="shared" si="8"/>
        <v>0</v>
      </c>
      <c r="K24" s="730">
        <f t="shared" si="8"/>
        <v>0</v>
      </c>
      <c r="L24" s="730">
        <f t="shared" si="8"/>
        <v>0</v>
      </c>
      <c r="M24" s="730">
        <f t="shared" si="8"/>
        <v>0</v>
      </c>
      <c r="N24" s="343"/>
    </row>
    <row r="25" spans="1:14" ht="13">
      <c r="A25" s="683"/>
      <c r="B25" s="686"/>
      <c r="C25" s="693"/>
      <c r="D25" s="112"/>
      <c r="E25" s="112"/>
      <c r="F25" s="112"/>
      <c r="G25" s="112"/>
      <c r="H25" s="112"/>
      <c r="I25" s="112"/>
      <c r="J25" s="112"/>
      <c r="K25" s="112"/>
      <c r="L25" s="112"/>
      <c r="M25" s="696"/>
      <c r="N25" s="343"/>
    </row>
    <row r="26" spans="1:14" ht="13">
      <c r="A26" s="691" t="s">
        <v>987</v>
      </c>
      <c r="B26" s="697" t="s">
        <v>988</v>
      </c>
      <c r="C26" s="687"/>
      <c r="D26" s="1192">
        <v>56284888.06000001</v>
      </c>
      <c r="E26" s="698"/>
      <c r="F26" s="698"/>
      <c r="G26" s="698"/>
      <c r="H26" s="698"/>
      <c r="I26" s="698"/>
      <c r="J26" s="731">
        <f>SUM(D26:I26)</f>
        <v>56284888.06000001</v>
      </c>
      <c r="K26" s="731">
        <f>'9-ADIT-3'!I29</f>
        <v>0</v>
      </c>
      <c r="L26" s="731">
        <f>IF(+J26+K26&gt;0,+J26+K26,0)</f>
        <v>56284888.06000001</v>
      </c>
      <c r="M26" s="731">
        <f>IF(+J26+K26&gt;0,0,+J26+K26)</f>
        <v>0</v>
      </c>
      <c r="N26" s="343"/>
    </row>
    <row r="27" spans="1:14" ht="13">
      <c r="A27" s="683"/>
      <c r="B27" s="686"/>
      <c r="C27" s="693"/>
      <c r="D27" s="112"/>
      <c r="E27" s="112"/>
      <c r="F27" s="112"/>
      <c r="G27" s="112"/>
      <c r="H27" s="112"/>
      <c r="I27" s="112"/>
      <c r="J27" s="112"/>
      <c r="K27" s="112"/>
      <c r="L27" s="112"/>
      <c r="M27" s="112"/>
      <c r="N27" s="343"/>
    </row>
    <row r="28" spans="1:14" ht="13.5" thickBot="1">
      <c r="A28" s="691" t="s">
        <v>989</v>
      </c>
      <c r="B28" s="699" t="s">
        <v>990</v>
      </c>
      <c r="C28" s="700"/>
      <c r="D28" s="732">
        <f t="shared" ref="D28:M28" si="9">+D26+D24+D14</f>
        <v>79293330.060000002</v>
      </c>
      <c r="E28" s="732">
        <f t="shared" si="9"/>
        <v>-564189726</v>
      </c>
      <c r="F28" s="732">
        <f t="shared" si="9"/>
        <v>0</v>
      </c>
      <c r="G28" s="732">
        <f t="shared" si="9"/>
        <v>0</v>
      </c>
      <c r="H28" s="732">
        <f t="shared" si="9"/>
        <v>-983490</v>
      </c>
      <c r="I28" s="732">
        <f t="shared" si="9"/>
        <v>7302095</v>
      </c>
      <c r="J28" s="732">
        <f t="shared" si="9"/>
        <v>-478577790.94</v>
      </c>
      <c r="K28" s="732">
        <f t="shared" si="9"/>
        <v>0</v>
      </c>
      <c r="L28" s="732">
        <f t="shared" si="9"/>
        <v>78309840.060000002</v>
      </c>
      <c r="M28" s="732">
        <f t="shared" si="9"/>
        <v>-556887631</v>
      </c>
      <c r="N28" s="343"/>
    </row>
    <row r="29" spans="1:14" ht="13.5" thickTop="1">
      <c r="A29" s="683"/>
      <c r="B29" s="701"/>
      <c r="C29" s="702"/>
      <c r="D29" s="686"/>
      <c r="E29" s="686"/>
      <c r="F29" s="686"/>
      <c r="G29" s="686"/>
      <c r="H29" s="686"/>
      <c r="I29" s="686"/>
      <c r="J29" s="686"/>
      <c r="K29" s="686"/>
      <c r="L29" s="686"/>
      <c r="M29" s="686"/>
      <c r="N29" s="343"/>
    </row>
    <row r="30" spans="1:14" ht="13">
      <c r="A30" s="691" t="s">
        <v>991</v>
      </c>
      <c r="B30" s="694" t="s">
        <v>992</v>
      </c>
      <c r="C30" s="695"/>
      <c r="D30" s="686"/>
      <c r="E30" s="686"/>
      <c r="F30" s="686"/>
      <c r="G30" s="686"/>
      <c r="H30" s="686"/>
      <c r="I30" s="686"/>
      <c r="J30" s="686"/>
      <c r="K30" s="686"/>
      <c r="L30" s="686"/>
      <c r="M30" s="686"/>
      <c r="N30" s="343"/>
    </row>
    <row r="31" spans="1:14" ht="13">
      <c r="A31" s="683">
        <f t="shared" si="0"/>
        <v>301</v>
      </c>
      <c r="B31" s="686" t="s">
        <v>880</v>
      </c>
      <c r="C31" s="687"/>
      <c r="D31" s="688"/>
      <c r="E31" s="688"/>
      <c r="F31" s="688"/>
      <c r="G31" s="688"/>
      <c r="H31" s="688"/>
      <c r="I31" s="688"/>
      <c r="J31" s="728">
        <f t="shared" ref="J31:J45" si="10">SUM(D31:I31)</f>
        <v>0</v>
      </c>
      <c r="K31" s="728">
        <f>'9-ADIT-3'!I34</f>
        <v>0</v>
      </c>
      <c r="L31" s="728">
        <f t="shared" ref="L31:L44" si="11">IF(+J31+K31&gt;0,+J31+K31,0)</f>
        <v>0</v>
      </c>
      <c r="M31" s="728">
        <f t="shared" ref="M31:M44" si="12">IF(+J31+K31&gt;0,0,+J31+K31)</f>
        <v>0</v>
      </c>
      <c r="N31" s="343"/>
    </row>
    <row r="32" spans="1:14" ht="13">
      <c r="A32" s="683">
        <f t="shared" si="0"/>
        <v>302</v>
      </c>
      <c r="B32" s="686" t="s">
        <v>881</v>
      </c>
      <c r="C32" s="687"/>
      <c r="D32" s="688"/>
      <c r="E32" s="688"/>
      <c r="F32" s="688"/>
      <c r="G32" s="688"/>
      <c r="H32" s="688"/>
      <c r="I32" s="688"/>
      <c r="J32" s="728">
        <f t="shared" si="10"/>
        <v>0</v>
      </c>
      <c r="K32" s="728">
        <f>'9-ADIT-3'!I35</f>
        <v>0</v>
      </c>
      <c r="L32" s="728">
        <f t="shared" si="11"/>
        <v>0</v>
      </c>
      <c r="M32" s="728">
        <f t="shared" si="12"/>
        <v>0</v>
      </c>
      <c r="N32" s="343"/>
    </row>
    <row r="33" spans="1:14" ht="13">
      <c r="A33" s="683">
        <f t="shared" si="0"/>
        <v>303</v>
      </c>
      <c r="B33" s="686" t="s">
        <v>904</v>
      </c>
      <c r="C33" s="687"/>
      <c r="D33" s="688"/>
      <c r="E33" s="688"/>
      <c r="F33" s="688"/>
      <c r="G33" s="688"/>
      <c r="H33" s="688"/>
      <c r="I33" s="688"/>
      <c r="J33" s="728">
        <f t="shared" si="10"/>
        <v>0</v>
      </c>
      <c r="K33" s="728">
        <f>'9-ADIT-3'!I36</f>
        <v>0</v>
      </c>
      <c r="L33" s="728">
        <f t="shared" si="11"/>
        <v>0</v>
      </c>
      <c r="M33" s="728">
        <f t="shared" si="12"/>
        <v>0</v>
      </c>
      <c r="N33" s="343"/>
    </row>
    <row r="34" spans="1:14" ht="13">
      <c r="A34" s="683">
        <f t="shared" si="0"/>
        <v>304</v>
      </c>
      <c r="B34" s="686" t="s">
        <v>993</v>
      </c>
      <c r="C34" s="687"/>
      <c r="D34" s="688"/>
      <c r="E34" s="688"/>
      <c r="F34" s="688"/>
      <c r="G34" s="688"/>
      <c r="H34" s="688"/>
      <c r="I34" s="688"/>
      <c r="J34" s="728">
        <f t="shared" si="10"/>
        <v>0</v>
      </c>
      <c r="K34" s="728">
        <f>'9-ADIT-3'!I37</f>
        <v>0</v>
      </c>
      <c r="L34" s="728">
        <f t="shared" si="11"/>
        <v>0</v>
      </c>
      <c r="M34" s="728">
        <f t="shared" si="12"/>
        <v>0</v>
      </c>
      <c r="N34" s="343"/>
    </row>
    <row r="35" spans="1:14" ht="13">
      <c r="A35" s="683">
        <f t="shared" si="0"/>
        <v>305</v>
      </c>
      <c r="B35" s="686" t="s">
        <v>994</v>
      </c>
      <c r="C35" s="687"/>
      <c r="D35" s="688"/>
      <c r="E35" s="688"/>
      <c r="F35" s="688"/>
      <c r="G35" s="688"/>
      <c r="H35" s="688"/>
      <c r="I35" s="688"/>
      <c r="J35" s="728">
        <f t="shared" si="10"/>
        <v>0</v>
      </c>
      <c r="K35" s="728">
        <f>'9-ADIT-3'!I38</f>
        <v>0</v>
      </c>
      <c r="L35" s="728">
        <f t="shared" si="11"/>
        <v>0</v>
      </c>
      <c r="M35" s="728">
        <f t="shared" si="12"/>
        <v>0</v>
      </c>
      <c r="N35" s="343"/>
    </row>
    <row r="36" spans="1:14" ht="13">
      <c r="A36" s="683">
        <f t="shared" si="0"/>
        <v>306</v>
      </c>
      <c r="B36" s="686" t="s">
        <v>995</v>
      </c>
      <c r="C36" s="687"/>
      <c r="D36" s="688"/>
      <c r="E36" s="688"/>
      <c r="F36" s="688"/>
      <c r="G36" s="688"/>
      <c r="H36" s="688"/>
      <c r="I36" s="688"/>
      <c r="J36" s="728">
        <f t="shared" si="10"/>
        <v>0</v>
      </c>
      <c r="K36" s="728">
        <f>'9-ADIT-3'!I39</f>
        <v>0</v>
      </c>
      <c r="L36" s="728">
        <f t="shared" si="11"/>
        <v>0</v>
      </c>
      <c r="M36" s="728">
        <f t="shared" si="12"/>
        <v>0</v>
      </c>
      <c r="N36" s="343"/>
    </row>
    <row r="37" spans="1:14" ht="13">
      <c r="A37" s="683">
        <f t="shared" si="0"/>
        <v>307</v>
      </c>
      <c r="B37" s="686" t="s">
        <v>882</v>
      </c>
      <c r="C37" s="687"/>
      <c r="D37" s="688"/>
      <c r="E37" s="688"/>
      <c r="F37" s="688"/>
      <c r="G37" s="688"/>
      <c r="H37" s="688"/>
      <c r="I37" s="688"/>
      <c r="J37" s="728">
        <f t="shared" si="10"/>
        <v>0</v>
      </c>
      <c r="K37" s="728">
        <f>'9-ADIT-3'!I40</f>
        <v>0</v>
      </c>
      <c r="L37" s="728">
        <f t="shared" si="11"/>
        <v>0</v>
      </c>
      <c r="M37" s="728">
        <f t="shared" si="12"/>
        <v>0</v>
      </c>
      <c r="N37" s="343"/>
    </row>
    <row r="38" spans="1:14" ht="13">
      <c r="A38" s="683">
        <f t="shared" si="0"/>
        <v>308</v>
      </c>
      <c r="B38" s="686" t="s">
        <v>996</v>
      </c>
      <c r="C38" s="687"/>
      <c r="D38" s="688"/>
      <c r="E38" s="688"/>
      <c r="F38" s="688"/>
      <c r="G38" s="688"/>
      <c r="H38" s="688"/>
      <c r="I38" s="688"/>
      <c r="J38" s="728">
        <f t="shared" si="10"/>
        <v>0</v>
      </c>
      <c r="K38" s="728">
        <f>'9-ADIT-3'!I41</f>
        <v>0</v>
      </c>
      <c r="L38" s="728">
        <f t="shared" si="11"/>
        <v>0</v>
      </c>
      <c r="M38" s="728">
        <f t="shared" si="12"/>
        <v>0</v>
      </c>
      <c r="N38" s="343"/>
    </row>
    <row r="39" spans="1:14" ht="13">
      <c r="A39" s="683">
        <f t="shared" si="0"/>
        <v>309</v>
      </c>
      <c r="B39" s="686" t="s">
        <v>997</v>
      </c>
      <c r="C39" s="687"/>
      <c r="D39" s="688"/>
      <c r="E39" s="688"/>
      <c r="F39" s="688"/>
      <c r="G39" s="688"/>
      <c r="H39" s="688"/>
      <c r="I39" s="688"/>
      <c r="J39" s="728">
        <f t="shared" si="10"/>
        <v>0</v>
      </c>
      <c r="K39" s="728">
        <f>'9-ADIT-3'!I42</f>
        <v>0</v>
      </c>
      <c r="L39" s="728">
        <f t="shared" si="11"/>
        <v>0</v>
      </c>
      <c r="M39" s="728">
        <f t="shared" si="12"/>
        <v>0</v>
      </c>
      <c r="N39" s="343"/>
    </row>
    <row r="40" spans="1:14" ht="13">
      <c r="A40" s="683">
        <f t="shared" si="0"/>
        <v>310</v>
      </c>
      <c r="B40" s="686" t="s">
        <v>883</v>
      </c>
      <c r="C40" s="687"/>
      <c r="D40" s="688"/>
      <c r="E40" s="688"/>
      <c r="F40" s="688"/>
      <c r="G40" s="688"/>
      <c r="H40" s="688"/>
      <c r="I40" s="688"/>
      <c r="J40" s="728">
        <f t="shared" si="10"/>
        <v>0</v>
      </c>
      <c r="K40" s="728">
        <f>'9-ADIT-3'!I43</f>
        <v>0</v>
      </c>
      <c r="L40" s="728">
        <f t="shared" si="11"/>
        <v>0</v>
      </c>
      <c r="M40" s="728">
        <f t="shared" si="12"/>
        <v>0</v>
      </c>
      <c r="N40" s="343"/>
    </row>
    <row r="41" spans="1:14" ht="13">
      <c r="A41" s="683">
        <f t="shared" si="0"/>
        <v>311</v>
      </c>
      <c r="B41" s="686" t="s">
        <v>884</v>
      </c>
      <c r="C41" s="687"/>
      <c r="D41" s="688"/>
      <c r="E41" s="688"/>
      <c r="F41" s="688"/>
      <c r="G41" s="688"/>
      <c r="H41" s="688"/>
      <c r="I41" s="688"/>
      <c r="J41" s="728">
        <f t="shared" si="10"/>
        <v>0</v>
      </c>
      <c r="K41" s="728">
        <f>'9-ADIT-3'!I44</f>
        <v>0</v>
      </c>
      <c r="L41" s="728">
        <f t="shared" si="11"/>
        <v>0</v>
      </c>
      <c r="M41" s="728">
        <f t="shared" si="12"/>
        <v>0</v>
      </c>
      <c r="N41" s="343"/>
    </row>
    <row r="42" spans="1:14" ht="13">
      <c r="A42" s="683">
        <f t="shared" si="0"/>
        <v>312</v>
      </c>
      <c r="B42" s="686" t="s">
        <v>998</v>
      </c>
      <c r="C42" s="687"/>
      <c r="D42" s="688"/>
      <c r="E42" s="688"/>
      <c r="F42" s="688"/>
      <c r="G42" s="688"/>
      <c r="H42" s="688"/>
      <c r="I42" s="688"/>
      <c r="J42" s="728">
        <f t="shared" si="10"/>
        <v>0</v>
      </c>
      <c r="K42" s="728">
        <f>'9-ADIT-3'!I45</f>
        <v>0</v>
      </c>
      <c r="L42" s="728">
        <f t="shared" si="11"/>
        <v>0</v>
      </c>
      <c r="M42" s="728">
        <f t="shared" si="12"/>
        <v>0</v>
      </c>
      <c r="N42" s="343"/>
    </row>
    <row r="43" spans="1:14" ht="13">
      <c r="A43" s="683">
        <f t="shared" si="0"/>
        <v>313</v>
      </c>
      <c r="B43" s="686" t="s">
        <v>906</v>
      </c>
      <c r="C43" s="687"/>
      <c r="D43" s="688"/>
      <c r="E43" s="688"/>
      <c r="F43" s="688"/>
      <c r="G43" s="688"/>
      <c r="H43" s="688"/>
      <c r="I43" s="688"/>
      <c r="J43" s="728">
        <f t="shared" si="10"/>
        <v>0</v>
      </c>
      <c r="K43" s="728">
        <f>'9-ADIT-3'!I46</f>
        <v>0</v>
      </c>
      <c r="L43" s="728">
        <f t="shared" si="11"/>
        <v>0</v>
      </c>
      <c r="M43" s="728">
        <f t="shared" si="12"/>
        <v>0</v>
      </c>
      <c r="N43" s="343"/>
    </row>
    <row r="44" spans="1:14" ht="13">
      <c r="A44" s="683">
        <f t="shared" si="0"/>
        <v>314</v>
      </c>
      <c r="B44" s="686" t="s">
        <v>905</v>
      </c>
      <c r="C44" s="687"/>
      <c r="D44" s="688"/>
      <c r="E44" s="688"/>
      <c r="F44" s="688"/>
      <c r="G44" s="688"/>
      <c r="H44" s="688"/>
      <c r="I44" s="688"/>
      <c r="J44" s="728">
        <f t="shared" si="10"/>
        <v>0</v>
      </c>
      <c r="K44" s="728">
        <f>'9-ADIT-3'!I47</f>
        <v>0</v>
      </c>
      <c r="L44" s="728">
        <f t="shared" si="11"/>
        <v>0</v>
      </c>
      <c r="M44" s="728">
        <f t="shared" si="12"/>
        <v>0</v>
      </c>
      <c r="N44" s="343"/>
    </row>
    <row r="45" spans="1:14" ht="13">
      <c r="A45" s="683">
        <f t="shared" si="0"/>
        <v>315</v>
      </c>
      <c r="B45" s="689" t="s">
        <v>639</v>
      </c>
      <c r="C45" s="688"/>
      <c r="D45" s="688"/>
      <c r="E45" s="688"/>
      <c r="F45" s="688"/>
      <c r="G45" s="688"/>
      <c r="H45" s="688"/>
      <c r="I45" s="688"/>
      <c r="J45" s="728">
        <f t="shared" si="10"/>
        <v>0</v>
      </c>
      <c r="K45" s="733"/>
      <c r="L45" s="733"/>
      <c r="M45" s="733"/>
      <c r="N45" s="343"/>
    </row>
    <row r="46" spans="1:14" ht="13.5" thickBot="1">
      <c r="A46" s="691" t="s">
        <v>999</v>
      </c>
      <c r="B46" s="703" t="s">
        <v>1000</v>
      </c>
      <c r="C46" s="703"/>
      <c r="D46" s="734">
        <f t="shared" ref="D46" si="13">SUM(D31:D45)</f>
        <v>0</v>
      </c>
      <c r="E46" s="734">
        <f t="shared" ref="E46:M46" si="14">SUM(E31:E45)</f>
        <v>0</v>
      </c>
      <c r="F46" s="734">
        <f t="shared" si="14"/>
        <v>0</v>
      </c>
      <c r="G46" s="734">
        <f t="shared" si="14"/>
        <v>0</v>
      </c>
      <c r="H46" s="734">
        <f t="shared" si="14"/>
        <v>0</v>
      </c>
      <c r="I46" s="734">
        <f t="shared" si="14"/>
        <v>0</v>
      </c>
      <c r="J46" s="734">
        <f t="shared" si="14"/>
        <v>0</v>
      </c>
      <c r="K46" s="734">
        <f t="shared" si="14"/>
        <v>0</v>
      </c>
      <c r="L46" s="734">
        <f t="shared" si="14"/>
        <v>0</v>
      </c>
      <c r="M46" s="734">
        <f t="shared" si="14"/>
        <v>0</v>
      </c>
      <c r="N46" s="343"/>
    </row>
    <row r="47" spans="1:14" ht="13.5" thickTop="1">
      <c r="A47" s="683"/>
      <c r="B47" s="671"/>
      <c r="C47" s="671"/>
      <c r="D47" s="704"/>
      <c r="E47" s="704"/>
      <c r="F47" s="704"/>
      <c r="G47" s="704"/>
      <c r="H47" s="704"/>
      <c r="I47" s="704"/>
      <c r="J47" s="704"/>
      <c r="K47" s="704"/>
      <c r="L47" s="704"/>
      <c r="M47" s="704"/>
      <c r="N47" s="343"/>
    </row>
    <row r="48" spans="1:14" ht="13.5" thickBot="1">
      <c r="A48" s="683">
        <v>400</v>
      </c>
      <c r="B48" s="703" t="s">
        <v>1001</v>
      </c>
      <c r="C48" s="703"/>
      <c r="D48" s="735">
        <f t="shared" ref="D48:M48" si="15">D28+D46</f>
        <v>79293330.060000002</v>
      </c>
      <c r="E48" s="735">
        <f t="shared" si="15"/>
        <v>-564189726</v>
      </c>
      <c r="F48" s="735">
        <f t="shared" si="15"/>
        <v>0</v>
      </c>
      <c r="G48" s="735">
        <f t="shared" si="15"/>
        <v>0</v>
      </c>
      <c r="H48" s="735">
        <f t="shared" si="15"/>
        <v>-983490</v>
      </c>
      <c r="I48" s="735">
        <f>I28+I46</f>
        <v>7302095</v>
      </c>
      <c r="J48" s="735">
        <f t="shared" si="15"/>
        <v>-478577790.94</v>
      </c>
      <c r="K48" s="735">
        <f t="shared" si="15"/>
        <v>0</v>
      </c>
      <c r="L48" s="735">
        <f t="shared" si="15"/>
        <v>78309840.060000002</v>
      </c>
      <c r="M48" s="735">
        <f t="shared" si="15"/>
        <v>-556887631</v>
      </c>
      <c r="N48" s="343"/>
    </row>
    <row r="49" spans="1:14" ht="14" thickTop="1" thickBot="1">
      <c r="A49" s="683">
        <v>500</v>
      </c>
      <c r="B49" s="703" t="s">
        <v>1002</v>
      </c>
      <c r="C49" s="705"/>
      <c r="D49" s="671"/>
      <c r="E49" s="736">
        <f>+E48+D48</f>
        <v>-484896395.94</v>
      </c>
      <c r="F49" s="671"/>
      <c r="G49" s="671"/>
      <c r="H49" s="706"/>
      <c r="I49" s="736">
        <f>+I48+H48</f>
        <v>6318605</v>
      </c>
      <c r="J49" s="671"/>
      <c r="K49" s="671"/>
      <c r="L49" s="671"/>
      <c r="M49" s="736">
        <f>+M48+L48</f>
        <v>-478577790.94</v>
      </c>
      <c r="N49" s="343"/>
    </row>
    <row r="50" spans="1:14" ht="13.5" thickTop="1">
      <c r="A50" s="683"/>
      <c r="B50" s="703"/>
      <c r="C50" s="705"/>
      <c r="D50" s="671"/>
      <c r="E50" s="934"/>
      <c r="F50" s="671"/>
      <c r="G50" s="671"/>
      <c r="H50" s="706"/>
      <c r="I50" s="934"/>
      <c r="J50" s="671"/>
      <c r="K50" s="671"/>
      <c r="L50" s="671"/>
      <c r="M50" s="934"/>
      <c r="N50" s="343"/>
    </row>
    <row r="51" spans="1:14" ht="13">
      <c r="A51" s="935">
        <v>600</v>
      </c>
      <c r="B51" s="958" t="s">
        <v>1003</v>
      </c>
      <c r="C51" s="929"/>
      <c r="D51" s="929"/>
      <c r="E51" s="934"/>
      <c r="F51" s="671"/>
      <c r="G51" s="671"/>
      <c r="H51" s="706"/>
      <c r="I51" s="934"/>
      <c r="J51" s="671"/>
      <c r="K51" s="671"/>
      <c r="L51" s="937">
        <f>'1-BaseTRR'!K104/(1-'1-BaseTRR'!K104)</f>
        <v>0.38857260290711554</v>
      </c>
      <c r="M51" s="937">
        <f>'1-BaseTRR'!K104/(1-'1-BaseTRR'!K104)</f>
        <v>0.38857260290711554</v>
      </c>
      <c r="N51" s="343"/>
    </row>
    <row r="52" spans="1:14" ht="13">
      <c r="A52" s="935">
        <v>601</v>
      </c>
      <c r="B52" s="958" t="s">
        <v>1004</v>
      </c>
      <c r="C52" s="929"/>
      <c r="D52" s="936" t="s">
        <v>1005</v>
      </c>
      <c r="E52" s="934"/>
      <c r="F52" s="671"/>
      <c r="G52" s="671"/>
      <c r="H52" s="706"/>
      <c r="I52" s="934"/>
      <c r="J52" s="671"/>
      <c r="K52" s="671"/>
      <c r="L52" s="1054">
        <f>L48*L51</f>
        <v>30429058.385354109</v>
      </c>
      <c r="M52" s="1054">
        <f>M48*M51</f>
        <v>-216391276.30444729</v>
      </c>
      <c r="N52" s="343"/>
    </row>
    <row r="53" spans="1:14" ht="13">
      <c r="A53" s="683"/>
      <c r="B53" s="703"/>
      <c r="C53" s="705"/>
      <c r="D53" s="671"/>
      <c r="E53" s="934"/>
      <c r="F53" s="671"/>
      <c r="G53" s="671"/>
      <c r="H53" s="706"/>
      <c r="I53" s="934"/>
      <c r="J53" s="671"/>
      <c r="K53" s="671"/>
      <c r="L53" s="671"/>
      <c r="M53" s="934"/>
      <c r="N53" s="343"/>
    </row>
    <row r="54" spans="1:14" ht="13">
      <c r="A54" s="683"/>
      <c r="B54" s="707" t="s">
        <v>233</v>
      </c>
      <c r="C54" s="708"/>
      <c r="D54" s="671"/>
      <c r="E54" s="671"/>
      <c r="F54" s="671"/>
      <c r="G54" s="671"/>
      <c r="H54" s="671"/>
      <c r="I54" s="671"/>
      <c r="J54" s="671"/>
      <c r="K54" s="671"/>
      <c r="L54" s="671"/>
      <c r="M54" s="671"/>
      <c r="N54" s="343"/>
    </row>
    <row r="55" spans="1:14" ht="13">
      <c r="A55" s="683"/>
      <c r="B55" s="709" t="s">
        <v>1006</v>
      </c>
      <c r="C55" s="671"/>
      <c r="D55" s="671"/>
      <c r="E55" s="671"/>
      <c r="F55" s="671"/>
      <c r="G55" s="671"/>
      <c r="H55" s="671"/>
      <c r="I55" s="671"/>
      <c r="J55" s="671"/>
      <c r="K55" s="671"/>
      <c r="L55" s="671"/>
      <c r="M55" s="671"/>
      <c r="N55" s="343"/>
    </row>
    <row r="56" spans="1:14" ht="13">
      <c r="A56" s="683"/>
      <c r="B56" s="710" t="s">
        <v>1007</v>
      </c>
      <c r="C56" s="671"/>
      <c r="D56" s="671"/>
      <c r="E56" s="671"/>
      <c r="F56" s="671"/>
      <c r="G56" s="671"/>
      <c r="H56" s="671"/>
      <c r="I56" s="671"/>
      <c r="J56" s="671"/>
      <c r="K56" s="671"/>
      <c r="L56" s="671"/>
      <c r="M56" s="671"/>
      <c r="N56" s="343"/>
    </row>
    <row r="57" spans="1:14" ht="13">
      <c r="A57" s="683"/>
      <c r="B57" s="343"/>
      <c r="C57" s="711" t="s">
        <v>1008</v>
      </c>
      <c r="D57" s="712">
        <v>4</v>
      </c>
      <c r="E57" s="712"/>
      <c r="F57" s="671"/>
      <c r="G57" s="671"/>
      <c r="H57" s="671"/>
      <c r="I57" s="671"/>
      <c r="J57" s="671"/>
      <c r="K57" s="671"/>
      <c r="L57" s="671"/>
      <c r="M57" s="671"/>
      <c r="N57" s="343"/>
    </row>
    <row r="58" spans="1:14" ht="13">
      <c r="A58" s="683"/>
      <c r="B58" s="343"/>
      <c r="C58" s="711" t="s">
        <v>1009</v>
      </c>
      <c r="D58" s="713">
        <v>2018</v>
      </c>
      <c r="E58" s="713"/>
      <c r="F58" s="671"/>
      <c r="G58" s="671"/>
      <c r="H58" s="671"/>
      <c r="I58" s="671"/>
      <c r="J58" s="671"/>
      <c r="K58" s="671"/>
      <c r="L58" s="671"/>
      <c r="M58" s="671"/>
      <c r="N58" s="343"/>
    </row>
    <row r="59" spans="1:14" ht="13">
      <c r="A59" s="683"/>
      <c r="B59" s="941" t="s">
        <v>1010</v>
      </c>
      <c r="C59" s="671"/>
      <c r="D59" s="671"/>
      <c r="E59" s="671"/>
      <c r="F59" s="671"/>
      <c r="G59" s="671"/>
      <c r="H59" s="671"/>
      <c r="I59" s="983"/>
      <c r="J59" s="983"/>
      <c r="K59" s="983"/>
      <c r="L59" s="983"/>
      <c r="M59" s="983"/>
      <c r="N59" s="343"/>
    </row>
    <row r="60" spans="1:14" ht="13">
      <c r="A60" s="683"/>
      <c r="B60" s="343"/>
      <c r="C60" s="711" t="s">
        <v>1008</v>
      </c>
      <c r="D60" s="712"/>
      <c r="E60" s="712"/>
      <c r="F60" s="671"/>
      <c r="G60" s="671"/>
      <c r="H60" s="671"/>
      <c r="I60" s="671"/>
      <c r="J60" s="671"/>
      <c r="K60" s="671"/>
      <c r="L60" s="671"/>
      <c r="M60" s="671"/>
      <c r="N60" s="343"/>
    </row>
    <row r="61" spans="1:14" ht="13">
      <c r="A61" s="683"/>
      <c r="B61" s="343"/>
      <c r="C61" s="711" t="s">
        <v>1009</v>
      </c>
      <c r="D61" s="713"/>
      <c r="E61" s="713"/>
      <c r="F61" s="671"/>
      <c r="G61" s="671"/>
      <c r="H61" s="671"/>
      <c r="I61" s="671"/>
      <c r="J61" s="671"/>
      <c r="K61" s="671"/>
      <c r="L61" s="671"/>
      <c r="M61" s="671"/>
      <c r="N61" s="343"/>
    </row>
    <row r="62" spans="1:14">
      <c r="A62" s="671"/>
      <c r="B62" s="710" t="s">
        <v>1011</v>
      </c>
      <c r="C62" s="343"/>
      <c r="D62" s="343"/>
      <c r="E62" s="343"/>
      <c r="F62" s="343"/>
      <c r="G62" s="343"/>
      <c r="H62" s="343"/>
      <c r="I62" s="343"/>
      <c r="J62" s="343"/>
      <c r="K62" s="343"/>
      <c r="L62" s="343"/>
      <c r="M62" s="343"/>
      <c r="N62" s="343"/>
    </row>
    <row r="63" spans="1:14">
      <c r="A63" s="671"/>
      <c r="B63" s="343"/>
      <c r="C63" s="711" t="s">
        <v>1008</v>
      </c>
      <c r="D63" s="712">
        <v>1</v>
      </c>
      <c r="E63" s="712"/>
      <c r="F63" s="343"/>
      <c r="G63" s="343"/>
      <c r="H63" s="343"/>
      <c r="I63" s="343"/>
      <c r="J63" s="343"/>
      <c r="K63" s="343"/>
      <c r="L63" s="343"/>
      <c r="M63" s="343"/>
      <c r="N63" s="343"/>
    </row>
    <row r="64" spans="1:14">
      <c r="A64" s="671"/>
      <c r="B64" s="343"/>
      <c r="C64" s="711" t="s">
        <v>1009</v>
      </c>
      <c r="D64" s="713">
        <v>2018</v>
      </c>
      <c r="E64" s="713"/>
      <c r="F64" s="343"/>
      <c r="G64" s="343"/>
      <c r="H64" s="343"/>
      <c r="I64" s="343"/>
      <c r="J64" s="343"/>
      <c r="K64" s="343"/>
      <c r="L64" s="343"/>
      <c r="M64" s="343"/>
      <c r="N64" s="343"/>
    </row>
    <row r="65" spans="1:14">
      <c r="A65" s="343"/>
      <c r="B65" s="710" t="s">
        <v>1012</v>
      </c>
      <c r="C65" s="343"/>
      <c r="D65" s="343"/>
      <c r="E65" s="343"/>
      <c r="F65" s="343"/>
      <c r="G65" s="343"/>
      <c r="H65" s="343"/>
      <c r="I65" s="343"/>
      <c r="J65" s="343"/>
      <c r="K65" s="343"/>
      <c r="L65" s="343"/>
      <c r="M65" s="343"/>
      <c r="N65" s="343"/>
    </row>
    <row r="66" spans="1:14">
      <c r="A66" s="343"/>
      <c r="B66" s="343"/>
      <c r="C66" s="343"/>
      <c r="D66" s="343"/>
      <c r="E66" s="343"/>
      <c r="F66" s="343"/>
      <c r="G66" s="343"/>
      <c r="H66" s="343"/>
      <c r="I66" s="343"/>
      <c r="J66" s="343"/>
      <c r="K66" s="343"/>
      <c r="L66" s="343"/>
      <c r="M66" s="343"/>
      <c r="N66" s="343"/>
    </row>
    <row r="67" spans="1:14">
      <c r="A67" s="343"/>
      <c r="B67" s="926"/>
      <c r="C67" s="926"/>
      <c r="D67" s="926"/>
      <c r="E67" s="926"/>
      <c r="F67" s="927" t="s">
        <v>1013</v>
      </c>
      <c r="G67" s="926"/>
      <c r="H67" s="343"/>
      <c r="I67" s="343"/>
      <c r="J67" s="343"/>
      <c r="K67" s="343"/>
      <c r="L67" s="343"/>
      <c r="M67" s="343"/>
      <c r="N67" s="343"/>
    </row>
    <row r="68" spans="1:14">
      <c r="A68" s="343"/>
      <c r="B68" s="928" t="s">
        <v>1014</v>
      </c>
      <c r="C68" s="929"/>
      <c r="D68" s="929" t="s">
        <v>1015</v>
      </c>
      <c r="E68" s="929"/>
      <c r="F68" s="966" t="s">
        <v>3116</v>
      </c>
      <c r="G68" s="930"/>
      <c r="H68" s="343"/>
      <c r="I68" s="343"/>
      <c r="J68" s="343"/>
      <c r="K68" s="343"/>
      <c r="L68" s="343" t="s">
        <v>132</v>
      </c>
      <c r="M68" s="343"/>
      <c r="N68" s="343"/>
    </row>
    <row r="69" spans="1:14">
      <c r="B69" s="928" t="s">
        <v>1016</v>
      </c>
      <c r="C69" s="929"/>
      <c r="D69" s="929" t="s">
        <v>1015</v>
      </c>
      <c r="E69" s="929"/>
      <c r="F69" s="966" t="s">
        <v>3117</v>
      </c>
      <c r="G69" s="930"/>
    </row>
    <row r="70" spans="1:14">
      <c r="B70" s="931"/>
      <c r="C70" s="929"/>
      <c r="D70" s="929"/>
      <c r="E70" s="929"/>
      <c r="F70" s="929"/>
      <c r="G70" s="929"/>
    </row>
    <row r="71" spans="1:14">
      <c r="B71" s="928" t="s">
        <v>1017</v>
      </c>
      <c r="C71" s="929"/>
      <c r="D71" s="929" t="s">
        <v>1018</v>
      </c>
      <c r="E71" s="929"/>
      <c r="F71" s="966" t="s">
        <v>3118</v>
      </c>
      <c r="G71" s="930"/>
    </row>
    <row r="72" spans="1:14">
      <c r="B72" s="928" t="s">
        <v>1019</v>
      </c>
      <c r="C72" s="929"/>
      <c r="D72" s="929" t="s">
        <v>1018</v>
      </c>
      <c r="E72" s="929"/>
      <c r="F72" s="966" t="s">
        <v>3119</v>
      </c>
      <c r="G72" s="930"/>
    </row>
    <row r="73" spans="1:14" ht="14">
      <c r="B73" s="233"/>
      <c r="C73" s="233"/>
      <c r="D73" s="233"/>
      <c r="E73" s="932"/>
      <c r="F73" s="933"/>
      <c r="G73" s="933"/>
    </row>
    <row r="74" spans="1:14" ht="14">
      <c r="B74" s="928" t="s">
        <v>1020</v>
      </c>
      <c r="C74" s="233"/>
      <c r="D74" s="233"/>
      <c r="E74" s="932"/>
      <c r="F74" s="933"/>
      <c r="G74" s="933"/>
    </row>
  </sheetData>
  <pageMargins left="0.7" right="0.7" top="0.75" bottom="0.75" header="0.3" footer="0.3"/>
  <pageSetup scale="47" orientation="landscape" r:id="rId1"/>
  <headerFooter>
    <oddHeader>&amp;CSchedule 9-ADIT-2
EDIT&amp;RTO2027 Draft Annual Update 
Attachment 1</oddHead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zoomScaleNormal="100" workbookViewId="0"/>
  </sheetViews>
  <sheetFormatPr defaultColWidth="14.54296875" defaultRowHeight="12.5"/>
  <cols>
    <col min="1" max="1" width="5.54296875" customWidth="1"/>
    <col min="2" max="2" width="37.54296875" customWidth="1"/>
    <col min="3" max="3" width="6.54296875" customWidth="1"/>
    <col min="4" max="9" width="15.54296875" customWidth="1"/>
  </cols>
  <sheetData>
    <row r="1" spans="1:10" ht="14.5">
      <c r="A1" s="703" t="s">
        <v>1021</v>
      </c>
      <c r="B1" s="714"/>
      <c r="C1" s="669"/>
      <c r="D1" s="669"/>
      <c r="E1" s="669"/>
      <c r="F1" s="669"/>
      <c r="G1" s="669"/>
      <c r="H1" s="669"/>
      <c r="I1" s="669"/>
      <c r="J1" s="670"/>
    </row>
    <row r="2" spans="1:10" ht="14.5">
      <c r="A2" s="703"/>
      <c r="B2" s="714"/>
      <c r="C2" s="669"/>
      <c r="D2" s="669"/>
      <c r="E2" s="669"/>
      <c r="F2" s="669"/>
      <c r="G2" s="669"/>
      <c r="H2" s="672" t="s">
        <v>655</v>
      </c>
      <c r="I2" s="673">
        <v>2025</v>
      </c>
      <c r="J2" s="670"/>
    </row>
    <row r="3" spans="1:10" ht="14.5">
      <c r="A3" s="703"/>
      <c r="B3" s="714"/>
      <c r="C3" s="669"/>
      <c r="D3" s="669"/>
      <c r="E3" s="669"/>
      <c r="F3" s="669"/>
      <c r="G3" s="669"/>
      <c r="H3" s="672" t="s">
        <v>1022</v>
      </c>
      <c r="I3" s="715" t="s">
        <v>1023</v>
      </c>
      <c r="J3" s="670"/>
    </row>
    <row r="4" spans="1:10" ht="13">
      <c r="A4" s="671"/>
      <c r="B4" s="671"/>
      <c r="C4" s="671"/>
      <c r="D4" s="671"/>
      <c r="E4" s="671"/>
      <c r="F4" s="671"/>
      <c r="G4" s="671"/>
      <c r="H4" s="716" t="s">
        <v>1024</v>
      </c>
      <c r="I4" s="717"/>
      <c r="J4" s="343"/>
    </row>
    <row r="5" spans="1:10" ht="13">
      <c r="A5" s="671"/>
      <c r="B5" s="671"/>
      <c r="C5" s="671"/>
      <c r="D5" s="671"/>
      <c r="E5" s="671"/>
      <c r="F5" s="671"/>
      <c r="G5" s="671"/>
      <c r="H5" s="716"/>
      <c r="I5" s="716"/>
      <c r="J5" s="343"/>
    </row>
    <row r="6" spans="1:10" ht="13">
      <c r="A6" s="674"/>
      <c r="B6" s="675" t="s">
        <v>945</v>
      </c>
      <c r="C6" s="675" t="s">
        <v>946</v>
      </c>
      <c r="D6" s="675" t="s">
        <v>947</v>
      </c>
      <c r="E6" s="675" t="s">
        <v>948</v>
      </c>
      <c r="F6" s="675" t="s">
        <v>949</v>
      </c>
      <c r="G6" s="675" t="s">
        <v>950</v>
      </c>
      <c r="H6" s="675" t="s">
        <v>951</v>
      </c>
      <c r="I6" s="675" t="s">
        <v>952</v>
      </c>
      <c r="J6" s="343"/>
    </row>
    <row r="7" spans="1:10" ht="13.5" thickBot="1">
      <c r="A7" s="671"/>
      <c r="B7" s="674"/>
      <c r="C7" s="674"/>
      <c r="D7" s="959" t="s">
        <v>147</v>
      </c>
      <c r="E7" s="959" t="s">
        <v>147</v>
      </c>
      <c r="F7" s="671"/>
      <c r="G7" s="671"/>
      <c r="H7" s="671"/>
      <c r="I7" s="671"/>
      <c r="J7" s="343"/>
    </row>
    <row r="8" spans="1:10" ht="13.5" thickBot="1">
      <c r="A8" s="671"/>
      <c r="B8" s="674"/>
      <c r="C8" s="674"/>
      <c r="D8" s="1204" t="s">
        <v>1025</v>
      </c>
      <c r="E8" s="1205"/>
      <c r="F8" s="1205"/>
      <c r="G8" s="1205"/>
      <c r="H8" s="1205"/>
      <c r="I8" s="1206"/>
      <c r="J8" s="343"/>
    </row>
    <row r="9" spans="1:10" ht="13.5" thickBot="1">
      <c r="A9" s="671"/>
      <c r="B9" s="674"/>
      <c r="C9" s="674"/>
      <c r="D9" s="718" t="s">
        <v>957</v>
      </c>
      <c r="E9" s="719" t="s">
        <v>957</v>
      </c>
      <c r="F9" s="720" t="s">
        <v>1026</v>
      </c>
      <c r="G9" s="721" t="s">
        <v>1027</v>
      </c>
      <c r="H9" s="720" t="s">
        <v>1028</v>
      </c>
      <c r="I9" s="720" t="s">
        <v>1029</v>
      </c>
      <c r="J9" s="343"/>
    </row>
    <row r="10" spans="1:10" ht="72" customHeight="1" thickBot="1">
      <c r="A10" s="680" t="s">
        <v>282</v>
      </c>
      <c r="B10" s="671"/>
      <c r="C10" s="722" t="s">
        <v>1030</v>
      </c>
      <c r="D10" s="938" t="s">
        <v>1031</v>
      </c>
      <c r="E10" s="938" t="s">
        <v>1032</v>
      </c>
      <c r="F10" s="938" t="s">
        <v>1033</v>
      </c>
      <c r="G10" s="938" t="s">
        <v>1034</v>
      </c>
      <c r="H10" s="938" t="s">
        <v>1035</v>
      </c>
      <c r="I10" s="938" t="s">
        <v>1036</v>
      </c>
      <c r="J10" s="343"/>
    </row>
    <row r="11" spans="1:10" ht="13">
      <c r="A11" s="683">
        <v>1</v>
      </c>
      <c r="B11" s="684" t="s">
        <v>1037</v>
      </c>
      <c r="C11" s="685"/>
      <c r="D11" s="671"/>
      <c r="E11" s="671"/>
      <c r="F11" s="671"/>
      <c r="G11" s="671"/>
      <c r="H11" s="671"/>
      <c r="I11" s="671"/>
      <c r="J11" s="343"/>
    </row>
    <row r="12" spans="1:10" ht="13">
      <c r="A12" s="683">
        <f t="shared" ref="A12:A16" si="0">+A11+1</f>
        <v>2</v>
      </c>
      <c r="B12" s="686" t="s">
        <v>972</v>
      </c>
      <c r="C12" s="687">
        <v>282</v>
      </c>
      <c r="D12" s="723"/>
      <c r="E12" s="688"/>
      <c r="F12" s="728">
        <f>+D12*$I$4</f>
        <v>0</v>
      </c>
      <c r="G12" s="728">
        <f>+E12-F12</f>
        <v>0</v>
      </c>
      <c r="H12" s="728">
        <f>IF($I$3="No", 0,'9-ADIT-2'!J9)</f>
        <v>0</v>
      </c>
      <c r="I12" s="728">
        <f>+G12-H12</f>
        <v>0</v>
      </c>
      <c r="J12" s="343"/>
    </row>
    <row r="13" spans="1:10" ht="13">
      <c r="A13" s="683">
        <f t="shared" si="0"/>
        <v>3</v>
      </c>
      <c r="B13" s="686" t="s">
        <v>973</v>
      </c>
      <c r="C13" s="687">
        <v>282</v>
      </c>
      <c r="D13" s="723"/>
      <c r="E13" s="688"/>
      <c r="F13" s="728">
        <f t="shared" ref="F13:F15" si="1">+D13*$I$4</f>
        <v>0</v>
      </c>
      <c r="G13" s="728">
        <f>+E13-F13</f>
        <v>0</v>
      </c>
      <c r="H13" s="728">
        <f>IF($I$3="No", 0,'9-ADIT-2'!J10)</f>
        <v>0</v>
      </c>
      <c r="I13" s="728">
        <f t="shared" ref="I13:I15" si="2">+G13-H13</f>
        <v>0</v>
      </c>
      <c r="J13" s="343"/>
    </row>
    <row r="14" spans="1:10" ht="13">
      <c r="A14" s="683">
        <f t="shared" si="0"/>
        <v>4</v>
      </c>
      <c r="B14" s="686" t="s">
        <v>974</v>
      </c>
      <c r="C14" s="687">
        <v>282</v>
      </c>
      <c r="D14" s="723"/>
      <c r="E14" s="688"/>
      <c r="F14" s="728">
        <f t="shared" si="1"/>
        <v>0</v>
      </c>
      <c r="G14" s="728">
        <f>+E14-F14</f>
        <v>0</v>
      </c>
      <c r="H14" s="728">
        <f>IF($I$3="No", 0,'9-ADIT-2'!J11)</f>
        <v>0</v>
      </c>
      <c r="I14" s="728">
        <f t="shared" si="2"/>
        <v>0</v>
      </c>
      <c r="J14" s="343"/>
    </row>
    <row r="15" spans="1:10" ht="13">
      <c r="A15" s="683">
        <f t="shared" si="0"/>
        <v>5</v>
      </c>
      <c r="B15" s="686" t="s">
        <v>975</v>
      </c>
      <c r="C15" s="687">
        <v>190</v>
      </c>
      <c r="D15" s="723"/>
      <c r="E15" s="688"/>
      <c r="F15" s="728">
        <f t="shared" si="1"/>
        <v>0</v>
      </c>
      <c r="G15" s="728">
        <f>+E15-F15</f>
        <v>0</v>
      </c>
      <c r="H15" s="728">
        <f>IF($I$3="No", 0,'9-ADIT-2'!J12)</f>
        <v>0</v>
      </c>
      <c r="I15" s="728">
        <f t="shared" si="2"/>
        <v>0</v>
      </c>
      <c r="J15" s="343"/>
    </row>
    <row r="16" spans="1:10" ht="13">
      <c r="A16" s="683">
        <f t="shared" si="0"/>
        <v>6</v>
      </c>
      <c r="B16" s="689" t="s">
        <v>639</v>
      </c>
      <c r="C16" s="690"/>
      <c r="D16" s="688"/>
      <c r="E16" s="688"/>
      <c r="F16" s="686"/>
      <c r="G16" s="671"/>
      <c r="H16" s="686"/>
      <c r="I16" s="686"/>
      <c r="J16" s="343"/>
    </row>
    <row r="17" spans="1:10" ht="13">
      <c r="A17" s="691" t="s">
        <v>976</v>
      </c>
      <c r="B17" s="686"/>
      <c r="C17" s="693"/>
      <c r="D17" s="729">
        <f t="shared" ref="D17:H17" si="3">SUM(D12:D16)</f>
        <v>0</v>
      </c>
      <c r="E17" s="729">
        <f t="shared" si="3"/>
        <v>0</v>
      </c>
      <c r="F17" s="729">
        <f t="shared" si="3"/>
        <v>0</v>
      </c>
      <c r="G17" s="737">
        <f t="shared" si="3"/>
        <v>0</v>
      </c>
      <c r="H17" s="729">
        <f t="shared" si="3"/>
        <v>0</v>
      </c>
      <c r="I17" s="729">
        <f>SUM(I12:I16)</f>
        <v>0</v>
      </c>
      <c r="J17" s="343"/>
    </row>
    <row r="18" spans="1:10" ht="13">
      <c r="A18" s="683"/>
      <c r="B18" s="686"/>
      <c r="C18" s="693"/>
      <c r="D18" s="686"/>
      <c r="E18" s="686"/>
      <c r="F18" s="686"/>
      <c r="G18" s="671"/>
      <c r="H18" s="686"/>
      <c r="I18" s="686"/>
      <c r="J18" s="343"/>
    </row>
    <row r="19" spans="1:10" ht="13">
      <c r="A19" s="683">
        <v>100</v>
      </c>
      <c r="B19" s="724" t="s">
        <v>1038</v>
      </c>
      <c r="C19" s="695"/>
      <c r="D19" s="686"/>
      <c r="E19" s="686"/>
      <c r="F19" s="686"/>
      <c r="G19" s="671"/>
      <c r="H19" s="686"/>
      <c r="I19" s="686"/>
      <c r="J19" s="343"/>
    </row>
    <row r="20" spans="1:10" ht="13">
      <c r="A20" s="683">
        <f t="shared" ref="A20:A48" si="4">+A19+1</f>
        <v>101</v>
      </c>
      <c r="B20" s="686" t="s">
        <v>979</v>
      </c>
      <c r="C20" s="687">
        <v>282</v>
      </c>
      <c r="D20" s="688"/>
      <c r="E20" s="688"/>
      <c r="F20" s="728">
        <f t="shared" ref="F20:F25" si="5">+D20*$I$4</f>
        <v>0</v>
      </c>
      <c r="G20" s="728">
        <f t="shared" ref="G20:G25" si="6">+E20-F20</f>
        <v>0</v>
      </c>
      <c r="H20" s="728">
        <f>IF($I$3="No", 0,'9-ADIT-2'!J17)</f>
        <v>0</v>
      </c>
      <c r="I20" s="728">
        <f t="shared" ref="I20:I25" si="7">+G20-H20</f>
        <v>0</v>
      </c>
      <c r="J20" s="343"/>
    </row>
    <row r="21" spans="1:10" ht="13">
      <c r="A21" s="683">
        <f t="shared" si="4"/>
        <v>102</v>
      </c>
      <c r="B21" s="686" t="s">
        <v>980</v>
      </c>
      <c r="C21" s="687">
        <v>282</v>
      </c>
      <c r="D21" s="688"/>
      <c r="E21" s="688"/>
      <c r="F21" s="728">
        <f t="shared" si="5"/>
        <v>0</v>
      </c>
      <c r="G21" s="728">
        <f t="shared" si="6"/>
        <v>0</v>
      </c>
      <c r="H21" s="728">
        <f>IF($I$3="No", 0,'9-ADIT-2'!J18)</f>
        <v>0</v>
      </c>
      <c r="I21" s="728">
        <f t="shared" si="7"/>
        <v>0</v>
      </c>
      <c r="J21" s="343"/>
    </row>
    <row r="22" spans="1:10" ht="13">
      <c r="A22" s="683">
        <f t="shared" si="4"/>
        <v>103</v>
      </c>
      <c r="B22" s="686" t="s">
        <v>981</v>
      </c>
      <c r="C22" s="687">
        <v>282</v>
      </c>
      <c r="D22" s="688"/>
      <c r="E22" s="688"/>
      <c r="F22" s="728">
        <f t="shared" si="5"/>
        <v>0</v>
      </c>
      <c r="G22" s="728">
        <f t="shared" si="6"/>
        <v>0</v>
      </c>
      <c r="H22" s="728">
        <f>IF($I$3="No", 0,'9-ADIT-2'!J19)</f>
        <v>0</v>
      </c>
      <c r="I22" s="728">
        <f t="shared" si="7"/>
        <v>0</v>
      </c>
      <c r="J22" s="343"/>
    </row>
    <row r="23" spans="1:10" ht="13">
      <c r="A23" s="683">
        <f t="shared" si="4"/>
        <v>104</v>
      </c>
      <c r="B23" s="686" t="s">
        <v>982</v>
      </c>
      <c r="C23" s="687">
        <v>282</v>
      </c>
      <c r="D23" s="688"/>
      <c r="E23" s="688"/>
      <c r="F23" s="728">
        <f t="shared" si="5"/>
        <v>0</v>
      </c>
      <c r="G23" s="728">
        <f t="shared" si="6"/>
        <v>0</v>
      </c>
      <c r="H23" s="728">
        <f>IF($I$3="No", 0,'9-ADIT-2'!J20)</f>
        <v>0</v>
      </c>
      <c r="I23" s="728">
        <f t="shared" si="7"/>
        <v>0</v>
      </c>
      <c r="J23" s="343"/>
    </row>
    <row r="24" spans="1:10" ht="13">
      <c r="A24" s="683">
        <f t="shared" si="4"/>
        <v>105</v>
      </c>
      <c r="B24" s="686" t="s">
        <v>983</v>
      </c>
      <c r="C24" s="687">
        <v>282</v>
      </c>
      <c r="D24" s="688"/>
      <c r="E24" s="688"/>
      <c r="F24" s="728">
        <f t="shared" si="5"/>
        <v>0</v>
      </c>
      <c r="G24" s="728">
        <f t="shared" si="6"/>
        <v>0</v>
      </c>
      <c r="H24" s="728">
        <f>IF($I$3="No", 0,'9-ADIT-2'!J21)</f>
        <v>0</v>
      </c>
      <c r="I24" s="728">
        <f t="shared" si="7"/>
        <v>0</v>
      </c>
      <c r="J24" s="343"/>
    </row>
    <row r="25" spans="1:10" ht="13">
      <c r="A25" s="683">
        <f t="shared" si="4"/>
        <v>106</v>
      </c>
      <c r="B25" s="686" t="s">
        <v>984</v>
      </c>
      <c r="C25" s="687">
        <v>190</v>
      </c>
      <c r="D25" s="688"/>
      <c r="E25" s="688"/>
      <c r="F25" s="728">
        <f t="shared" si="5"/>
        <v>0</v>
      </c>
      <c r="G25" s="728">
        <f t="shared" si="6"/>
        <v>0</v>
      </c>
      <c r="H25" s="728">
        <f>IF($I$3="No", 0,'9-ADIT-2'!J22)</f>
        <v>0</v>
      </c>
      <c r="I25" s="728">
        <f t="shared" si="7"/>
        <v>0</v>
      </c>
      <c r="J25" s="343"/>
    </row>
    <row r="26" spans="1:10" ht="13">
      <c r="A26" s="683">
        <f t="shared" si="4"/>
        <v>107</v>
      </c>
      <c r="B26" s="689" t="s">
        <v>639</v>
      </c>
      <c r="C26" s="690"/>
      <c r="D26" s="688"/>
      <c r="E26" s="688"/>
      <c r="F26" s="686"/>
      <c r="G26" s="686"/>
      <c r="H26" s="686"/>
      <c r="I26" s="686"/>
      <c r="J26" s="343"/>
    </row>
    <row r="27" spans="1:10" ht="13">
      <c r="A27" s="683">
        <v>150</v>
      </c>
      <c r="B27" s="686"/>
      <c r="C27" s="693"/>
      <c r="D27" s="730">
        <f t="shared" ref="D27:I27" si="8">SUM(D20:D26)</f>
        <v>0</v>
      </c>
      <c r="E27" s="730">
        <f t="shared" si="8"/>
        <v>0</v>
      </c>
      <c r="F27" s="730">
        <f t="shared" si="8"/>
        <v>0</v>
      </c>
      <c r="G27" s="730">
        <f t="shared" si="8"/>
        <v>0</v>
      </c>
      <c r="H27" s="730">
        <f t="shared" si="8"/>
        <v>0</v>
      </c>
      <c r="I27" s="730">
        <f t="shared" si="8"/>
        <v>0</v>
      </c>
      <c r="J27" s="343"/>
    </row>
    <row r="28" spans="1:10" ht="13">
      <c r="A28" s="683"/>
      <c r="B28" s="686"/>
      <c r="C28" s="693"/>
      <c r="D28" s="112"/>
      <c r="E28" s="696"/>
      <c r="F28" s="112"/>
      <c r="G28" s="112"/>
      <c r="H28" s="112"/>
      <c r="I28" s="112"/>
      <c r="J28" s="343"/>
    </row>
    <row r="29" spans="1:10" ht="13">
      <c r="A29" s="683">
        <v>200</v>
      </c>
      <c r="B29" s="699" t="s">
        <v>1039</v>
      </c>
      <c r="C29" s="687">
        <v>282</v>
      </c>
      <c r="D29" s="698"/>
      <c r="E29" s="698"/>
      <c r="F29" s="738">
        <f t="shared" ref="F29" si="9">+D29*$I$4</f>
        <v>0</v>
      </c>
      <c r="G29" s="739">
        <f>+E29-F29</f>
        <v>0</v>
      </c>
      <c r="H29" s="738">
        <f>IF($I$3="No", 0,'9-ADIT-2'!J26)</f>
        <v>0</v>
      </c>
      <c r="I29" s="738">
        <f>+G29-H29</f>
        <v>0</v>
      </c>
      <c r="J29" s="343"/>
    </row>
    <row r="30" spans="1:10" ht="13">
      <c r="A30" s="683"/>
      <c r="B30" s="686"/>
      <c r="C30" s="693"/>
      <c r="D30" s="112"/>
      <c r="E30" s="112"/>
      <c r="F30" s="112"/>
      <c r="G30" s="112"/>
      <c r="H30" s="112"/>
      <c r="I30" s="112"/>
      <c r="J30" s="343"/>
    </row>
    <row r="31" spans="1:10" ht="13.5" thickBot="1">
      <c r="A31" s="683">
        <v>250</v>
      </c>
      <c r="B31" s="699" t="s">
        <v>1040</v>
      </c>
      <c r="C31" s="700"/>
      <c r="D31" s="732">
        <f t="shared" ref="D31:I31" si="10">+D29+D27+D17</f>
        <v>0</v>
      </c>
      <c r="E31" s="732">
        <f t="shared" si="10"/>
        <v>0</v>
      </c>
      <c r="F31" s="732">
        <f t="shared" si="10"/>
        <v>0</v>
      </c>
      <c r="G31" s="732">
        <f t="shared" si="10"/>
        <v>0</v>
      </c>
      <c r="H31" s="732">
        <f t="shared" si="10"/>
        <v>0</v>
      </c>
      <c r="I31" s="732">
        <f t="shared" si="10"/>
        <v>0</v>
      </c>
      <c r="J31" s="343"/>
    </row>
    <row r="32" spans="1:10" ht="13.5" thickTop="1">
      <c r="A32" s="683"/>
      <c r="B32" s="701"/>
      <c r="C32" s="702"/>
      <c r="D32" s="686"/>
      <c r="E32" s="686"/>
      <c r="F32" s="686"/>
      <c r="G32" s="686"/>
      <c r="H32" s="686"/>
      <c r="I32" s="686"/>
      <c r="J32" s="343"/>
    </row>
    <row r="33" spans="1:10" ht="13">
      <c r="A33" s="683">
        <v>300</v>
      </c>
      <c r="B33" s="724" t="s">
        <v>1041</v>
      </c>
      <c r="C33" s="695"/>
      <c r="D33" s="686"/>
      <c r="E33" s="686"/>
      <c r="F33" s="686"/>
      <c r="G33" s="686"/>
      <c r="H33" s="686"/>
      <c r="I33" s="686"/>
      <c r="J33" s="343"/>
    </row>
    <row r="34" spans="1:10" ht="13">
      <c r="A34" s="683">
        <f t="shared" si="4"/>
        <v>301</v>
      </c>
      <c r="B34" s="686" t="s">
        <v>880</v>
      </c>
      <c r="C34" s="687">
        <v>190</v>
      </c>
      <c r="D34" s="723"/>
      <c r="E34" s="688"/>
      <c r="F34" s="728">
        <f t="shared" ref="F34:F47" si="11">+D34*$I$4</f>
        <v>0</v>
      </c>
      <c r="G34" s="728">
        <f t="shared" ref="G34:G47" si="12">+E34-F34</f>
        <v>0</v>
      </c>
      <c r="H34" s="728">
        <f>IF($I$3="No", 0,'9-ADIT-2'!J31)</f>
        <v>0</v>
      </c>
      <c r="I34" s="728">
        <f t="shared" ref="I34:I47" si="13">+G34-H34</f>
        <v>0</v>
      </c>
      <c r="J34" s="343"/>
    </row>
    <row r="35" spans="1:10" ht="13">
      <c r="A35" s="683">
        <f t="shared" si="4"/>
        <v>302</v>
      </c>
      <c r="B35" s="686" t="s">
        <v>881</v>
      </c>
      <c r="C35" s="687">
        <v>190</v>
      </c>
      <c r="D35" s="723"/>
      <c r="E35" s="688"/>
      <c r="F35" s="728">
        <f t="shared" si="11"/>
        <v>0</v>
      </c>
      <c r="G35" s="728">
        <f t="shared" si="12"/>
        <v>0</v>
      </c>
      <c r="H35" s="728">
        <f>IF($I$3="No", 0,'9-ADIT-2'!J32)</f>
        <v>0</v>
      </c>
      <c r="I35" s="728">
        <f t="shared" si="13"/>
        <v>0</v>
      </c>
      <c r="J35" s="343"/>
    </row>
    <row r="36" spans="1:10" ht="13">
      <c r="A36" s="683">
        <f t="shared" si="4"/>
        <v>303</v>
      </c>
      <c r="B36" s="686" t="s">
        <v>904</v>
      </c>
      <c r="C36" s="687">
        <v>190</v>
      </c>
      <c r="D36" s="723"/>
      <c r="E36" s="688"/>
      <c r="F36" s="728">
        <f t="shared" si="11"/>
        <v>0</v>
      </c>
      <c r="G36" s="728">
        <f t="shared" si="12"/>
        <v>0</v>
      </c>
      <c r="H36" s="728">
        <f>IF($I$3="No", 0,'9-ADIT-2'!J33)</f>
        <v>0</v>
      </c>
      <c r="I36" s="728">
        <f t="shared" si="13"/>
        <v>0</v>
      </c>
      <c r="J36" s="343"/>
    </row>
    <row r="37" spans="1:10" ht="13">
      <c r="A37" s="683">
        <f t="shared" si="4"/>
        <v>304</v>
      </c>
      <c r="B37" s="686" t="s">
        <v>993</v>
      </c>
      <c r="C37" s="687">
        <v>190</v>
      </c>
      <c r="D37" s="723"/>
      <c r="E37" s="688"/>
      <c r="F37" s="728">
        <f t="shared" si="11"/>
        <v>0</v>
      </c>
      <c r="G37" s="728">
        <f t="shared" si="12"/>
        <v>0</v>
      </c>
      <c r="H37" s="728">
        <f>IF($I$3="No", 0,'9-ADIT-2'!J34)</f>
        <v>0</v>
      </c>
      <c r="I37" s="728">
        <f t="shared" si="13"/>
        <v>0</v>
      </c>
      <c r="J37" s="343"/>
    </row>
    <row r="38" spans="1:10" ht="13">
      <c r="A38" s="683">
        <f t="shared" si="4"/>
        <v>305</v>
      </c>
      <c r="B38" s="686" t="s">
        <v>994</v>
      </c>
      <c r="C38" s="687">
        <v>190</v>
      </c>
      <c r="D38" s="723"/>
      <c r="E38" s="688"/>
      <c r="F38" s="728">
        <f t="shared" si="11"/>
        <v>0</v>
      </c>
      <c r="G38" s="728">
        <f t="shared" si="12"/>
        <v>0</v>
      </c>
      <c r="H38" s="728">
        <f>IF($I$3="No", 0,'9-ADIT-2'!J35)</f>
        <v>0</v>
      </c>
      <c r="I38" s="728">
        <f t="shared" si="13"/>
        <v>0</v>
      </c>
      <c r="J38" s="343"/>
    </row>
    <row r="39" spans="1:10" ht="13">
      <c r="A39" s="683">
        <f t="shared" si="4"/>
        <v>306</v>
      </c>
      <c r="B39" s="686" t="s">
        <v>995</v>
      </c>
      <c r="C39" s="687">
        <v>190</v>
      </c>
      <c r="D39" s="723"/>
      <c r="E39" s="688"/>
      <c r="F39" s="728">
        <f t="shared" si="11"/>
        <v>0</v>
      </c>
      <c r="G39" s="728">
        <f t="shared" si="12"/>
        <v>0</v>
      </c>
      <c r="H39" s="728">
        <f>IF($I$3="No", 0,'9-ADIT-2'!J36)</f>
        <v>0</v>
      </c>
      <c r="I39" s="728">
        <f t="shared" si="13"/>
        <v>0</v>
      </c>
      <c r="J39" s="343"/>
    </row>
    <row r="40" spans="1:10" ht="13">
      <c r="A40" s="683">
        <f t="shared" si="4"/>
        <v>307</v>
      </c>
      <c r="B40" s="686" t="s">
        <v>882</v>
      </c>
      <c r="C40" s="687">
        <v>190</v>
      </c>
      <c r="D40" s="723"/>
      <c r="E40" s="688"/>
      <c r="F40" s="728">
        <f t="shared" si="11"/>
        <v>0</v>
      </c>
      <c r="G40" s="728">
        <f t="shared" si="12"/>
        <v>0</v>
      </c>
      <c r="H40" s="728">
        <f>IF($I$3="No", 0,'9-ADIT-2'!J37)</f>
        <v>0</v>
      </c>
      <c r="I40" s="728">
        <f t="shared" si="13"/>
        <v>0</v>
      </c>
      <c r="J40" s="343"/>
    </row>
    <row r="41" spans="1:10" ht="13">
      <c r="A41" s="683">
        <f t="shared" si="4"/>
        <v>308</v>
      </c>
      <c r="B41" s="686" t="s">
        <v>996</v>
      </c>
      <c r="C41" s="687">
        <v>190</v>
      </c>
      <c r="D41" s="723"/>
      <c r="E41" s="688"/>
      <c r="F41" s="728">
        <f t="shared" si="11"/>
        <v>0</v>
      </c>
      <c r="G41" s="728">
        <f t="shared" si="12"/>
        <v>0</v>
      </c>
      <c r="H41" s="728">
        <f>IF($I$3="No", 0,'9-ADIT-2'!J38)</f>
        <v>0</v>
      </c>
      <c r="I41" s="728">
        <f t="shared" si="13"/>
        <v>0</v>
      </c>
      <c r="J41" s="343"/>
    </row>
    <row r="42" spans="1:10" ht="13">
      <c r="A42" s="683">
        <f t="shared" si="4"/>
        <v>309</v>
      </c>
      <c r="B42" s="686" t="s">
        <v>997</v>
      </c>
      <c r="C42" s="687">
        <v>190</v>
      </c>
      <c r="D42" s="723"/>
      <c r="E42" s="688"/>
      <c r="F42" s="728">
        <f t="shared" si="11"/>
        <v>0</v>
      </c>
      <c r="G42" s="728">
        <f t="shared" si="12"/>
        <v>0</v>
      </c>
      <c r="H42" s="728">
        <f>IF($I$3="No", 0,'9-ADIT-2'!J39)</f>
        <v>0</v>
      </c>
      <c r="I42" s="728">
        <f t="shared" si="13"/>
        <v>0</v>
      </c>
      <c r="J42" s="343"/>
    </row>
    <row r="43" spans="1:10" ht="13">
      <c r="A43" s="683">
        <f t="shared" si="4"/>
        <v>310</v>
      </c>
      <c r="B43" s="686" t="s">
        <v>883</v>
      </c>
      <c r="C43" s="687">
        <v>190</v>
      </c>
      <c r="D43" s="723"/>
      <c r="E43" s="688"/>
      <c r="F43" s="728">
        <f t="shared" si="11"/>
        <v>0</v>
      </c>
      <c r="G43" s="728">
        <f t="shared" si="12"/>
        <v>0</v>
      </c>
      <c r="H43" s="728">
        <f>IF($I$3="No", 0,'9-ADIT-2'!J40)</f>
        <v>0</v>
      </c>
      <c r="I43" s="728">
        <f t="shared" si="13"/>
        <v>0</v>
      </c>
      <c r="J43" s="343"/>
    </row>
    <row r="44" spans="1:10" ht="13">
      <c r="A44" s="683">
        <f t="shared" si="4"/>
        <v>311</v>
      </c>
      <c r="B44" s="686" t="s">
        <v>884</v>
      </c>
      <c r="C44" s="687">
        <v>190</v>
      </c>
      <c r="D44" s="723"/>
      <c r="E44" s="688"/>
      <c r="F44" s="728">
        <f t="shared" si="11"/>
        <v>0</v>
      </c>
      <c r="G44" s="728">
        <f t="shared" si="12"/>
        <v>0</v>
      </c>
      <c r="H44" s="728">
        <f>IF($I$3="No", 0,'9-ADIT-2'!J41)</f>
        <v>0</v>
      </c>
      <c r="I44" s="728">
        <f t="shared" si="13"/>
        <v>0</v>
      </c>
      <c r="J44" s="343"/>
    </row>
    <row r="45" spans="1:10" ht="13">
      <c r="A45" s="683">
        <f t="shared" si="4"/>
        <v>312</v>
      </c>
      <c r="B45" s="686" t="s">
        <v>998</v>
      </c>
      <c r="C45" s="687">
        <v>283</v>
      </c>
      <c r="D45" s="723"/>
      <c r="E45" s="688"/>
      <c r="F45" s="728">
        <f t="shared" si="11"/>
        <v>0</v>
      </c>
      <c r="G45" s="728">
        <f t="shared" si="12"/>
        <v>0</v>
      </c>
      <c r="H45" s="728">
        <f>IF($I$3="No", 0,'9-ADIT-2'!J42)</f>
        <v>0</v>
      </c>
      <c r="I45" s="728">
        <f t="shared" si="13"/>
        <v>0</v>
      </c>
      <c r="J45" s="343"/>
    </row>
    <row r="46" spans="1:10" ht="13">
      <c r="A46" s="683">
        <f t="shared" si="4"/>
        <v>313</v>
      </c>
      <c r="B46" s="686" t="s">
        <v>906</v>
      </c>
      <c r="C46" s="687">
        <v>283</v>
      </c>
      <c r="D46" s="723"/>
      <c r="E46" s="688"/>
      <c r="F46" s="728">
        <f t="shared" si="11"/>
        <v>0</v>
      </c>
      <c r="G46" s="728">
        <f t="shared" si="12"/>
        <v>0</v>
      </c>
      <c r="H46" s="728">
        <f>IF($I$3="No", 0,'9-ADIT-2'!J43)</f>
        <v>0</v>
      </c>
      <c r="I46" s="728">
        <f t="shared" si="13"/>
        <v>0</v>
      </c>
      <c r="J46" s="343"/>
    </row>
    <row r="47" spans="1:10" ht="13">
      <c r="A47" s="683">
        <f t="shared" si="4"/>
        <v>314</v>
      </c>
      <c r="B47" s="686" t="s">
        <v>905</v>
      </c>
      <c r="C47" s="687">
        <v>283</v>
      </c>
      <c r="D47" s="723"/>
      <c r="E47" s="688"/>
      <c r="F47" s="728">
        <f t="shared" si="11"/>
        <v>0</v>
      </c>
      <c r="G47" s="728">
        <f t="shared" si="12"/>
        <v>0</v>
      </c>
      <c r="H47" s="728">
        <f>IF($I$3="No", 0,'9-ADIT-2'!J44)</f>
        <v>0</v>
      </c>
      <c r="I47" s="728">
        <f t="shared" si="13"/>
        <v>0</v>
      </c>
      <c r="J47" s="343"/>
    </row>
    <row r="48" spans="1:10" ht="13">
      <c r="A48" s="683">
        <f t="shared" si="4"/>
        <v>315</v>
      </c>
      <c r="B48" s="689" t="s">
        <v>639</v>
      </c>
      <c r="C48" s="688"/>
      <c r="D48" s="688"/>
      <c r="E48" s="688"/>
      <c r="F48" s="686"/>
      <c r="G48" s="686"/>
      <c r="H48" s="671"/>
      <c r="I48" s="671"/>
      <c r="J48" s="343"/>
    </row>
    <row r="49" spans="1:10" ht="13.5" thickBot="1">
      <c r="A49" s="683">
        <v>350</v>
      </c>
      <c r="B49" s="703" t="s">
        <v>1042</v>
      </c>
      <c r="C49" s="703"/>
      <c r="D49" s="734">
        <f t="shared" ref="D49:I49" si="14">SUM(D34:D48)</f>
        <v>0</v>
      </c>
      <c r="E49" s="734">
        <f t="shared" si="14"/>
        <v>0</v>
      </c>
      <c r="F49" s="734">
        <f t="shared" si="14"/>
        <v>0</v>
      </c>
      <c r="G49" s="734">
        <f t="shared" si="14"/>
        <v>0</v>
      </c>
      <c r="H49" s="734">
        <f t="shared" si="14"/>
        <v>0</v>
      </c>
      <c r="I49" s="734">
        <f t="shared" si="14"/>
        <v>0</v>
      </c>
      <c r="J49" s="343"/>
    </row>
    <row r="50" spans="1:10" ht="13.5" thickTop="1">
      <c r="A50" s="683"/>
      <c r="B50" s="671"/>
      <c r="C50" s="671"/>
      <c r="D50" s="704"/>
      <c r="E50" s="704"/>
      <c r="F50" s="704"/>
      <c r="G50" s="704"/>
      <c r="H50" s="704"/>
      <c r="I50" s="704"/>
      <c r="J50" s="343"/>
    </row>
    <row r="51" spans="1:10" ht="13.5" thickBot="1">
      <c r="A51" s="683">
        <v>400</v>
      </c>
      <c r="B51" s="703" t="s">
        <v>1001</v>
      </c>
      <c r="C51" s="703"/>
      <c r="D51" s="735">
        <f t="shared" ref="D51:I51" si="15">D31+D49</f>
        <v>0</v>
      </c>
      <c r="E51" s="735">
        <f t="shared" si="15"/>
        <v>0</v>
      </c>
      <c r="F51" s="735">
        <f t="shared" si="15"/>
        <v>0</v>
      </c>
      <c r="G51" s="735">
        <f t="shared" si="15"/>
        <v>0</v>
      </c>
      <c r="H51" s="735">
        <f t="shared" si="15"/>
        <v>0</v>
      </c>
      <c r="I51" s="735">
        <f t="shared" si="15"/>
        <v>0</v>
      </c>
      <c r="J51" s="343"/>
    </row>
    <row r="52" spans="1:10" ht="13.5" thickTop="1">
      <c r="A52" s="683"/>
      <c r="B52" s="705"/>
      <c r="C52" s="705"/>
      <c r="D52" s="671"/>
      <c r="E52" s="671"/>
      <c r="F52" s="671"/>
      <c r="G52" s="671"/>
      <c r="H52" s="671"/>
      <c r="I52" s="671"/>
      <c r="J52" s="343"/>
    </row>
    <row r="53" spans="1:10" ht="13">
      <c r="A53" s="683"/>
      <c r="B53" s="707" t="s">
        <v>442</v>
      </c>
      <c r="C53" s="705"/>
      <c r="D53" s="671"/>
      <c r="E53" s="671"/>
      <c r="F53" s="671"/>
      <c r="G53" s="671"/>
      <c r="H53" s="671"/>
      <c r="I53" s="671"/>
      <c r="J53" s="343"/>
    </row>
    <row r="54" spans="1:10" ht="16">
      <c r="A54" s="683"/>
      <c r="B54" s="725" t="s">
        <v>1043</v>
      </c>
      <c r="C54" s="705"/>
      <c r="D54" s="671"/>
      <c r="E54" s="671"/>
      <c r="F54" s="671"/>
      <c r="G54" s="671"/>
      <c r="H54" s="671"/>
      <c r="I54" s="671"/>
      <c r="J54" s="343"/>
    </row>
    <row r="55" spans="1:10" ht="13">
      <c r="A55" s="683"/>
      <c r="B55" s="710" t="s">
        <v>1044</v>
      </c>
      <c r="C55" s="705"/>
      <c r="D55" s="671"/>
      <c r="E55" s="671"/>
      <c r="F55" s="671"/>
      <c r="G55" s="671"/>
      <c r="H55" s="671"/>
      <c r="I55" s="671"/>
      <c r="J55" s="343"/>
    </row>
    <row r="56" spans="1:10" ht="13">
      <c r="A56" s="683"/>
      <c r="B56" s="707"/>
      <c r="C56" s="708"/>
      <c r="D56" s="671"/>
      <c r="E56" s="671"/>
      <c r="F56" s="671"/>
      <c r="G56" s="671"/>
      <c r="H56" s="671"/>
      <c r="I56" s="671"/>
      <c r="J56" s="343"/>
    </row>
    <row r="57" spans="1:10" ht="13">
      <c r="A57" s="683"/>
      <c r="B57" s="939" t="s">
        <v>233</v>
      </c>
      <c r="C57" s="671"/>
      <c r="D57" s="671"/>
      <c r="E57" s="671"/>
      <c r="F57" s="671"/>
      <c r="G57" s="671"/>
      <c r="H57" s="671"/>
      <c r="I57" s="671"/>
      <c r="J57" s="343"/>
    </row>
    <row r="58" spans="1:10" ht="13">
      <c r="A58" s="683"/>
      <c r="B58" s="940" t="s">
        <v>1045</v>
      </c>
      <c r="C58" s="671"/>
      <c r="D58" s="671"/>
      <c r="E58" s="671"/>
      <c r="F58" s="671"/>
      <c r="G58" s="671"/>
      <c r="H58" s="671"/>
      <c r="I58" s="671"/>
      <c r="J58" s="343"/>
    </row>
    <row r="59" spans="1:10" ht="13">
      <c r="A59" s="683"/>
      <c r="B59" s="941" t="s">
        <v>1046</v>
      </c>
      <c r="C59" s="711"/>
      <c r="D59" s="671"/>
      <c r="E59" s="671"/>
      <c r="F59" s="671"/>
      <c r="G59" s="671"/>
      <c r="H59" s="671"/>
      <c r="I59" s="671"/>
      <c r="J59" s="343"/>
    </row>
    <row r="60" spans="1:10" ht="13">
      <c r="A60" s="683"/>
      <c r="B60" s="941" t="s">
        <v>1047</v>
      </c>
      <c r="C60" s="711"/>
      <c r="D60" s="671"/>
      <c r="E60" s="671"/>
      <c r="F60" s="671"/>
      <c r="G60" s="671"/>
      <c r="H60" s="671"/>
      <c r="I60" s="671"/>
      <c r="J60" s="343"/>
    </row>
    <row r="61" spans="1:10" ht="13">
      <c r="A61" s="683"/>
      <c r="B61" s="941" t="s">
        <v>1048</v>
      </c>
      <c r="C61" s="671"/>
      <c r="D61" s="671"/>
      <c r="E61" s="671"/>
      <c r="F61" s="671"/>
      <c r="G61" s="671"/>
      <c r="H61" s="671"/>
      <c r="I61" s="671"/>
      <c r="J61" s="343"/>
    </row>
    <row r="62" spans="1:10" ht="13">
      <c r="A62" s="683"/>
      <c r="B62" s="343"/>
      <c r="C62" s="711"/>
      <c r="D62" s="671"/>
      <c r="E62" s="671"/>
      <c r="F62" s="671"/>
      <c r="G62" s="671"/>
      <c r="H62" s="671"/>
      <c r="I62" s="671"/>
      <c r="J62" s="343"/>
    </row>
    <row r="63" spans="1:10" ht="13">
      <c r="A63" s="683"/>
      <c r="B63" s="343"/>
      <c r="C63" s="711"/>
      <c r="D63" s="671"/>
      <c r="E63" s="671"/>
      <c r="F63" s="671"/>
      <c r="G63" s="671"/>
      <c r="H63" s="671"/>
      <c r="I63" s="671"/>
      <c r="J63" s="343"/>
    </row>
    <row r="64" spans="1:10" ht="13">
      <c r="A64" s="683"/>
      <c r="B64" s="710"/>
      <c r="C64" s="343"/>
      <c r="D64" s="671"/>
      <c r="E64" s="343"/>
      <c r="F64" s="343"/>
      <c r="G64" s="343"/>
      <c r="H64" s="671"/>
      <c r="I64" s="671"/>
      <c r="J64" s="343"/>
    </row>
    <row r="65" spans="1:10">
      <c r="A65" s="343"/>
      <c r="B65" s="343"/>
      <c r="C65" s="711"/>
      <c r="D65" s="671"/>
      <c r="E65" s="343"/>
      <c r="F65" s="343"/>
      <c r="G65" s="343"/>
      <c r="H65" s="343"/>
      <c r="I65" s="343"/>
      <c r="J65" s="343"/>
    </row>
    <row r="66" spans="1:10">
      <c r="A66" s="343"/>
      <c r="B66" s="343"/>
      <c r="C66" s="711"/>
      <c r="D66" s="671"/>
      <c r="E66" s="343"/>
      <c r="F66" s="343"/>
      <c r="G66" s="343"/>
      <c r="H66" s="343"/>
      <c r="I66" s="343"/>
      <c r="J66" s="343"/>
    </row>
    <row r="67" spans="1:10">
      <c r="A67" s="343"/>
      <c r="B67" s="710"/>
      <c r="C67" s="343"/>
      <c r="D67" s="671"/>
      <c r="E67" s="343"/>
      <c r="F67" s="343"/>
      <c r="G67" s="343"/>
      <c r="H67" s="343"/>
      <c r="I67" s="343"/>
      <c r="J67" s="343"/>
    </row>
    <row r="68" spans="1:10">
      <c r="A68" s="343"/>
      <c r="B68" s="343"/>
      <c r="C68" s="343"/>
      <c r="D68" s="343"/>
      <c r="E68" s="343"/>
      <c r="F68" s="343"/>
      <c r="G68" s="343"/>
      <c r="H68" s="343"/>
      <c r="I68" s="343"/>
      <c r="J68" s="343"/>
    </row>
    <row r="69" spans="1:10">
      <c r="A69" s="343"/>
      <c r="B69" s="343"/>
      <c r="C69" s="343"/>
      <c r="D69" s="343"/>
      <c r="E69" s="343"/>
      <c r="F69" s="343"/>
      <c r="G69" s="343"/>
      <c r="H69" s="343"/>
      <c r="I69" s="343"/>
      <c r="J69" s="343"/>
    </row>
    <row r="70" spans="1:10">
      <c r="A70" s="343"/>
      <c r="B70" s="343"/>
      <c r="C70" s="343"/>
      <c r="D70" s="343"/>
      <c r="E70" s="343"/>
      <c r="F70" s="343"/>
      <c r="G70" s="343"/>
      <c r="H70" s="343"/>
      <c r="I70" s="343"/>
      <c r="J70" s="343"/>
    </row>
    <row r="71" spans="1:10">
      <c r="A71" s="343"/>
      <c r="B71" s="343"/>
      <c r="C71" s="343"/>
      <c r="D71" s="343"/>
      <c r="E71" s="343"/>
      <c r="F71" s="343"/>
      <c r="G71" s="343"/>
      <c r="H71" s="343"/>
      <c r="I71" s="343"/>
      <c r="J71" s="343"/>
    </row>
  </sheetData>
  <mergeCells count="1">
    <mergeCell ref="D8:I8"/>
  </mergeCells>
  <pageMargins left="0.7" right="0.7" top="0.75" bottom="0.75" header="0.3" footer="0.3"/>
  <pageSetup scale="56" orientation="landscape" r:id="rId1"/>
  <headerFooter>
    <oddHeader>&amp;CSchedule 9-ADIT-3
EDIT - Tax Rate Change&amp;RTO2027 Draft Annual Update 
Attachment 1</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51"/>
  <sheetViews>
    <sheetView zoomScaleNormal="100" workbookViewId="0"/>
  </sheetViews>
  <sheetFormatPr defaultRowHeight="12.5"/>
  <cols>
    <col min="1" max="1" width="4.54296875"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7.08984375" customWidth="1"/>
    <col min="9" max="9" width="16.81640625" bestFit="1" customWidth="1"/>
    <col min="10" max="10" width="15.453125" customWidth="1"/>
    <col min="11" max="11" width="17.453125" customWidth="1"/>
    <col min="12" max="12" width="14.54296875" bestFit="1" customWidth="1"/>
    <col min="13" max="13" width="13.453125" bestFit="1" customWidth="1"/>
  </cols>
  <sheetData>
    <row r="1" spans="1:12" ht="13">
      <c r="A1" s="1" t="s">
        <v>1049</v>
      </c>
      <c r="K1" s="1"/>
    </row>
    <row r="2" spans="1:12" ht="13">
      <c r="A2" s="1"/>
      <c r="K2" s="1"/>
    </row>
    <row r="3" spans="1:12" ht="13">
      <c r="A3" s="1"/>
      <c r="B3" s="233" t="s">
        <v>1050</v>
      </c>
      <c r="K3" s="1"/>
    </row>
    <row r="4" spans="1:12" ht="13">
      <c r="B4" s="233" t="s">
        <v>1051</v>
      </c>
      <c r="K4" s="1"/>
      <c r="L4" s="233"/>
    </row>
    <row r="5" spans="1:12" ht="13">
      <c r="B5" s="233"/>
      <c r="K5" s="1"/>
    </row>
    <row r="6" spans="1:12" ht="13">
      <c r="A6" s="233"/>
      <c r="B6" s="1" t="s">
        <v>1052</v>
      </c>
      <c r="E6" s="39" t="s">
        <v>200</v>
      </c>
      <c r="F6" s="240" t="s">
        <v>1053</v>
      </c>
      <c r="G6" s="54"/>
      <c r="K6" s="1"/>
    </row>
    <row r="7" spans="1:12" ht="13">
      <c r="A7" s="233"/>
      <c r="B7" s="658"/>
      <c r="D7" s="48" t="s">
        <v>345</v>
      </c>
      <c r="E7" s="48" t="s">
        <v>346</v>
      </c>
      <c r="F7" s="48" t="s">
        <v>347</v>
      </c>
      <c r="G7" s="48" t="s">
        <v>348</v>
      </c>
      <c r="H7" s="48" t="s">
        <v>349</v>
      </c>
      <c r="I7" s="48" t="s">
        <v>350</v>
      </c>
      <c r="J7" s="48"/>
      <c r="K7" s="1"/>
      <c r="L7" s="48"/>
    </row>
    <row r="8" spans="1:12">
      <c r="D8" s="234" t="s">
        <v>1054</v>
      </c>
    </row>
    <row r="9" spans="1:12">
      <c r="D9" s="37" t="s">
        <v>1055</v>
      </c>
    </row>
    <row r="10" spans="1:12" ht="13">
      <c r="B10" s="2"/>
    </row>
    <row r="11" spans="1:12" ht="13">
      <c r="B11" s="2"/>
      <c r="D11" s="2" t="s">
        <v>369</v>
      </c>
      <c r="F11" s="2" t="s">
        <v>1056</v>
      </c>
      <c r="G11" s="181" t="s">
        <v>1057</v>
      </c>
      <c r="H11" s="181" t="s">
        <v>1058</v>
      </c>
      <c r="I11" s="2"/>
      <c r="J11" s="2"/>
      <c r="K11" s="233"/>
    </row>
    <row r="12" spans="1:12" ht="13">
      <c r="A12" s="30" t="s">
        <v>282</v>
      </c>
      <c r="B12" s="328" t="s">
        <v>380</v>
      </c>
      <c r="C12" s="328" t="s">
        <v>381</v>
      </c>
      <c r="D12" s="3" t="s">
        <v>1059</v>
      </c>
      <c r="E12" s="3" t="s">
        <v>1060</v>
      </c>
      <c r="F12" s="3" t="s">
        <v>1061</v>
      </c>
      <c r="G12" s="182" t="s">
        <v>1062</v>
      </c>
      <c r="H12" s="182" t="s">
        <v>1063</v>
      </c>
      <c r="I12" s="3" t="s">
        <v>1064</v>
      </c>
      <c r="J12" s="3"/>
      <c r="K12" s="233"/>
    </row>
    <row r="13" spans="1:12" ht="13">
      <c r="A13" s="2">
        <v>1</v>
      </c>
      <c r="B13" s="329" t="s">
        <v>388</v>
      </c>
      <c r="C13" s="330">
        <v>2024</v>
      </c>
      <c r="D13" s="6">
        <f t="shared" ref="D13:D25" si="0">SUM(E13:I13)+SUM(D33:K33)</f>
        <v>234048404.24000001</v>
      </c>
      <c r="E13" s="263">
        <v>638208.88</v>
      </c>
      <c r="F13" s="59">
        <v>0</v>
      </c>
      <c r="G13" s="59">
        <v>7136416.4699999997</v>
      </c>
      <c r="H13" s="59">
        <v>7150659.1600000001</v>
      </c>
      <c r="I13" s="59">
        <v>0</v>
      </c>
      <c r="J13" s="331"/>
    </row>
    <row r="14" spans="1:12" ht="13">
      <c r="A14" s="2">
        <f>A13+1</f>
        <v>2</v>
      </c>
      <c r="B14" s="329" t="s">
        <v>390</v>
      </c>
      <c r="C14" s="330">
        <v>2025</v>
      </c>
      <c r="D14" s="6">
        <f t="shared" si="0"/>
        <v>235058566.22999999</v>
      </c>
      <c r="E14" s="263">
        <v>638208.88</v>
      </c>
      <c r="F14" s="59">
        <v>0</v>
      </c>
      <c r="G14" s="59">
        <v>7170100.7999999998</v>
      </c>
      <c r="H14" s="59">
        <v>7209073.2699999996</v>
      </c>
      <c r="I14" s="59">
        <v>0</v>
      </c>
      <c r="J14" s="331"/>
    </row>
    <row r="15" spans="1:12" ht="13">
      <c r="A15" s="2">
        <f t="shared" ref="A15:A26" si="1">A14+1</f>
        <v>3</v>
      </c>
      <c r="B15" s="329" t="s">
        <v>391</v>
      </c>
      <c r="C15" s="330">
        <v>2025</v>
      </c>
      <c r="D15" s="6">
        <f t="shared" si="0"/>
        <v>236396508.03999996</v>
      </c>
      <c r="E15" s="263">
        <v>639127.68000000005</v>
      </c>
      <c r="F15" s="59">
        <v>0</v>
      </c>
      <c r="G15" s="59">
        <v>7243215.0899999999</v>
      </c>
      <c r="H15" s="59">
        <v>7217460.2300000004</v>
      </c>
      <c r="I15" s="59">
        <v>0</v>
      </c>
      <c r="J15" s="331"/>
    </row>
    <row r="16" spans="1:12" ht="13">
      <c r="A16" s="2">
        <f t="shared" si="1"/>
        <v>4</v>
      </c>
      <c r="B16" s="329" t="s">
        <v>392</v>
      </c>
      <c r="C16" s="330">
        <v>2025</v>
      </c>
      <c r="D16" s="6">
        <f t="shared" si="0"/>
        <v>236742303.03999996</v>
      </c>
      <c r="E16" s="263">
        <v>638951.16</v>
      </c>
      <c r="F16" s="59">
        <v>0</v>
      </c>
      <c r="G16" s="59">
        <v>7308284</v>
      </c>
      <c r="H16" s="59">
        <v>7230302.6299999999</v>
      </c>
      <c r="I16" s="59">
        <v>0</v>
      </c>
      <c r="J16" s="331"/>
    </row>
    <row r="17" spans="1:12" ht="13">
      <c r="A17" s="2">
        <f t="shared" si="1"/>
        <v>5</v>
      </c>
      <c r="B17" s="329" t="s">
        <v>393</v>
      </c>
      <c r="C17" s="330">
        <v>2025</v>
      </c>
      <c r="D17" s="6">
        <f t="shared" si="0"/>
        <v>253772684.41999999</v>
      </c>
      <c r="E17" s="263">
        <v>641693.68999999994</v>
      </c>
      <c r="F17" s="59">
        <v>0</v>
      </c>
      <c r="G17" s="59">
        <v>7354861.6299999999</v>
      </c>
      <c r="H17" s="59">
        <v>7330756.6699999999</v>
      </c>
      <c r="I17" s="59">
        <v>0</v>
      </c>
      <c r="J17" s="331"/>
    </row>
    <row r="18" spans="1:12" ht="13">
      <c r="A18" s="2">
        <f t="shared" si="1"/>
        <v>6</v>
      </c>
      <c r="B18" s="329" t="s">
        <v>394</v>
      </c>
      <c r="C18" s="330">
        <v>2025</v>
      </c>
      <c r="D18" s="6">
        <f t="shared" si="0"/>
        <v>260135551.03</v>
      </c>
      <c r="E18" s="263">
        <v>641379.66</v>
      </c>
      <c r="F18" s="59">
        <v>0</v>
      </c>
      <c r="G18" s="59">
        <v>7388058.9900000002</v>
      </c>
      <c r="H18" s="59">
        <v>7343830.5899999999</v>
      </c>
      <c r="I18" s="59">
        <v>0</v>
      </c>
      <c r="J18" s="331"/>
    </row>
    <row r="19" spans="1:12" ht="13">
      <c r="A19" s="2">
        <f t="shared" si="1"/>
        <v>7</v>
      </c>
      <c r="B19" s="329" t="s">
        <v>395</v>
      </c>
      <c r="C19" s="330">
        <v>2025</v>
      </c>
      <c r="D19" s="6">
        <f t="shared" si="0"/>
        <v>164595457.85999995</v>
      </c>
      <c r="E19" s="263">
        <v>641379.66</v>
      </c>
      <c r="F19" s="59">
        <v>0</v>
      </c>
      <c r="G19" s="59">
        <v>7405819.5800000001</v>
      </c>
      <c r="H19" s="59">
        <v>7592317.0800000001</v>
      </c>
      <c r="I19" s="59">
        <v>0</v>
      </c>
      <c r="J19" s="331"/>
    </row>
    <row r="20" spans="1:12" ht="13">
      <c r="A20" s="2">
        <f t="shared" si="1"/>
        <v>8</v>
      </c>
      <c r="B20" s="329" t="s">
        <v>396</v>
      </c>
      <c r="C20" s="330">
        <v>2025</v>
      </c>
      <c r="D20" s="6">
        <f t="shared" si="0"/>
        <v>168625307.09999999</v>
      </c>
      <c r="E20" s="263">
        <v>0</v>
      </c>
      <c r="F20" s="59">
        <v>0</v>
      </c>
      <c r="G20" s="59">
        <v>7447013.1500000004</v>
      </c>
      <c r="H20" s="59">
        <v>7622154.0099999998</v>
      </c>
      <c r="I20" s="59">
        <v>0</v>
      </c>
      <c r="J20" s="331"/>
    </row>
    <row r="21" spans="1:12" ht="13">
      <c r="A21" s="2">
        <f t="shared" si="1"/>
        <v>9</v>
      </c>
      <c r="B21" s="329" t="s">
        <v>397</v>
      </c>
      <c r="C21" s="330">
        <v>2025</v>
      </c>
      <c r="D21" s="6">
        <f t="shared" si="0"/>
        <v>175497195.07999998</v>
      </c>
      <c r="E21" s="263">
        <v>0</v>
      </c>
      <c r="F21" s="59">
        <v>0</v>
      </c>
      <c r="G21" s="59">
        <v>7490183.4000000004</v>
      </c>
      <c r="H21" s="59">
        <v>7621106.2800000003</v>
      </c>
      <c r="I21" s="59">
        <v>0</v>
      </c>
      <c r="J21" s="331"/>
    </row>
    <row r="22" spans="1:12" ht="13">
      <c r="A22" s="2">
        <f t="shared" si="1"/>
        <v>10</v>
      </c>
      <c r="B22" s="329" t="s">
        <v>398</v>
      </c>
      <c r="C22" s="330">
        <v>2025</v>
      </c>
      <c r="D22" s="6">
        <f t="shared" si="0"/>
        <v>197914845.37</v>
      </c>
      <c r="E22" s="263">
        <v>0</v>
      </c>
      <c r="F22" s="59">
        <v>0</v>
      </c>
      <c r="G22" s="59">
        <v>7515695.5800000001</v>
      </c>
      <c r="H22" s="59">
        <v>7621574.21</v>
      </c>
      <c r="I22" s="59">
        <v>0</v>
      </c>
      <c r="J22" s="331"/>
    </row>
    <row r="23" spans="1:12" ht="13">
      <c r="A23" s="2">
        <f t="shared" si="1"/>
        <v>11</v>
      </c>
      <c r="B23" s="329" t="s">
        <v>1065</v>
      </c>
      <c r="C23" s="330">
        <v>2025</v>
      </c>
      <c r="D23" s="6">
        <f t="shared" si="0"/>
        <v>220053180.28</v>
      </c>
      <c r="E23" s="263">
        <v>0</v>
      </c>
      <c r="F23" s="59">
        <v>0</v>
      </c>
      <c r="G23" s="59">
        <v>7579106.8700000001</v>
      </c>
      <c r="H23" s="59">
        <v>7625942.5499999998</v>
      </c>
      <c r="I23" s="59">
        <v>0</v>
      </c>
      <c r="J23" s="331"/>
    </row>
    <row r="24" spans="1:12" ht="13">
      <c r="A24" s="2">
        <f t="shared" si="1"/>
        <v>12</v>
      </c>
      <c r="B24" s="329" t="s">
        <v>400</v>
      </c>
      <c r="C24" s="330">
        <v>2025</v>
      </c>
      <c r="D24" s="6">
        <f t="shared" si="0"/>
        <v>232696431.42000002</v>
      </c>
      <c r="E24" s="263">
        <v>0</v>
      </c>
      <c r="F24" s="59">
        <v>0</v>
      </c>
      <c r="G24" s="59">
        <v>7591437.54</v>
      </c>
      <c r="H24" s="59">
        <v>7634087.7999999998</v>
      </c>
      <c r="I24" s="59">
        <v>0</v>
      </c>
      <c r="J24" s="331"/>
    </row>
    <row r="25" spans="1:12" ht="13">
      <c r="A25" s="2">
        <f t="shared" si="1"/>
        <v>13</v>
      </c>
      <c r="B25" s="329" t="s">
        <v>388</v>
      </c>
      <c r="C25" s="330">
        <v>2025</v>
      </c>
      <c r="D25" s="53">
        <f t="shared" si="0"/>
        <v>193667038.40999997</v>
      </c>
      <c r="E25" s="206">
        <v>0</v>
      </c>
      <c r="F25" s="61">
        <v>0</v>
      </c>
      <c r="G25" s="61">
        <v>7677114.7000000002</v>
      </c>
      <c r="H25" s="61">
        <v>7677191.9699999997</v>
      </c>
      <c r="I25" s="61">
        <v>0</v>
      </c>
      <c r="J25" s="331"/>
    </row>
    <row r="26" spans="1:12" ht="13">
      <c r="A26" s="2">
        <f t="shared" si="1"/>
        <v>14</v>
      </c>
      <c r="B26" s="329"/>
      <c r="C26" s="332" t="s">
        <v>1066</v>
      </c>
      <c r="D26" s="261">
        <f>SUM(D13:D25)/13</f>
        <v>216092574.80923077</v>
      </c>
      <c r="E26" s="261">
        <f>SUM(E13:E25)/13</f>
        <v>344534.58538461541</v>
      </c>
      <c r="F26" s="261">
        <f t="shared" ref="F26:I26" si="2">SUM(F13:F25)/13</f>
        <v>0</v>
      </c>
      <c r="G26" s="261">
        <f t="shared" si="2"/>
        <v>7408254.4461538475</v>
      </c>
      <c r="H26" s="261">
        <f t="shared" si="2"/>
        <v>7452035.1115384605</v>
      </c>
      <c r="I26" s="261">
        <f t="shared" si="2"/>
        <v>0</v>
      </c>
      <c r="J26" s="331"/>
      <c r="K26" s="331"/>
    </row>
    <row r="27" spans="1:12" ht="13">
      <c r="A27" s="2"/>
      <c r="B27" s="329"/>
      <c r="C27" s="332"/>
      <c r="D27" s="261"/>
      <c r="E27" s="261"/>
      <c r="F27" s="261"/>
      <c r="G27" s="261"/>
      <c r="H27" s="261"/>
      <c r="I27" s="331"/>
      <c r="J27" s="232"/>
      <c r="K27" s="331"/>
    </row>
    <row r="28" spans="1:12" ht="13">
      <c r="A28" s="2"/>
      <c r="B28" s="329"/>
      <c r="C28" s="332"/>
      <c r="D28" s="48" t="s">
        <v>351</v>
      </c>
      <c r="E28" s="48" t="s">
        <v>352</v>
      </c>
      <c r="F28" s="48" t="s">
        <v>353</v>
      </c>
      <c r="G28" s="48" t="s">
        <v>603</v>
      </c>
      <c r="H28" s="48" t="s">
        <v>604</v>
      </c>
      <c r="I28" s="48" t="s">
        <v>605</v>
      </c>
      <c r="J28" s="48" t="s">
        <v>606</v>
      </c>
      <c r="K28" s="48" t="s">
        <v>607</v>
      </c>
      <c r="L28" s="788" t="s">
        <v>1067</v>
      </c>
    </row>
    <row r="29" spans="1:12" ht="13">
      <c r="A29" s="2"/>
      <c r="B29" s="329"/>
      <c r="C29" s="332"/>
      <c r="E29" s="181" t="s">
        <v>1068</v>
      </c>
      <c r="F29" s="181"/>
      <c r="G29" s="181"/>
      <c r="H29" s="261"/>
      <c r="I29" s="331"/>
      <c r="J29" s="331"/>
      <c r="K29" s="1194"/>
      <c r="L29" s="1060"/>
    </row>
    <row r="30" spans="1:12" ht="13">
      <c r="B30" s="2"/>
      <c r="D30" s="2" t="s">
        <v>1069</v>
      </c>
      <c r="E30" s="2" t="s">
        <v>1070</v>
      </c>
      <c r="F30" s="744"/>
      <c r="G30" s="744"/>
      <c r="H30" s="744"/>
      <c r="I30" s="181"/>
      <c r="J30" s="331"/>
      <c r="K30" s="1194"/>
      <c r="L30" s="1060"/>
    </row>
    <row r="31" spans="1:12" ht="13">
      <c r="B31" s="2"/>
      <c r="D31" s="2" t="s">
        <v>747</v>
      </c>
      <c r="E31" s="2" t="s">
        <v>747</v>
      </c>
      <c r="F31" s="747"/>
      <c r="G31" s="747"/>
      <c r="H31" s="748" t="s">
        <v>1071</v>
      </c>
      <c r="I31" s="181"/>
      <c r="J31" s="181"/>
      <c r="K31" s="1195"/>
      <c r="L31" s="1061"/>
    </row>
    <row r="32" spans="1:12" ht="26">
      <c r="A32" s="30" t="s">
        <v>282</v>
      </c>
      <c r="B32" s="328" t="s">
        <v>380</v>
      </c>
      <c r="C32" s="328" t="s">
        <v>381</v>
      </c>
      <c r="D32" s="3" t="s">
        <v>1072</v>
      </c>
      <c r="E32" s="3" t="s">
        <v>1072</v>
      </c>
      <c r="F32" s="747" t="s">
        <v>1073</v>
      </c>
      <c r="G32" s="747" t="s">
        <v>1074</v>
      </c>
      <c r="H32" s="747" t="s">
        <v>1075</v>
      </c>
      <c r="I32" s="182" t="s">
        <v>1076</v>
      </c>
      <c r="J32" s="1196" t="s">
        <v>1077</v>
      </c>
      <c r="K32" s="1196" t="s">
        <v>1078</v>
      </c>
      <c r="L32" s="1069"/>
    </row>
    <row r="33" spans="1:12" ht="13">
      <c r="A33" s="2">
        <f>+A26+1</f>
        <v>15</v>
      </c>
      <c r="B33" s="329" t="s">
        <v>388</v>
      </c>
      <c r="C33" s="330">
        <v>2024</v>
      </c>
      <c r="D33" s="59">
        <v>0</v>
      </c>
      <c r="E33" s="59">
        <v>0</v>
      </c>
      <c r="F33" s="59">
        <v>0</v>
      </c>
      <c r="G33" s="59">
        <v>30295734.170000002</v>
      </c>
      <c r="H33" s="59">
        <v>148822787.36000001</v>
      </c>
      <c r="I33" s="571">
        <v>37116048.200000003</v>
      </c>
      <c r="J33" s="571">
        <v>1713406.19</v>
      </c>
      <c r="K33" s="571">
        <v>1175143.81</v>
      </c>
      <c r="L33" s="571"/>
    </row>
    <row r="34" spans="1:12" ht="13">
      <c r="A34" s="2">
        <f>A33+1</f>
        <v>16</v>
      </c>
      <c r="B34" s="329" t="s">
        <v>390</v>
      </c>
      <c r="C34" s="330">
        <v>2025</v>
      </c>
      <c r="D34" s="59">
        <v>0</v>
      </c>
      <c r="E34" s="59">
        <v>0</v>
      </c>
      <c r="F34" s="59">
        <v>0</v>
      </c>
      <c r="G34" s="59">
        <v>30448596.550000001</v>
      </c>
      <c r="H34" s="59">
        <v>148855523.91</v>
      </c>
      <c r="I34" s="571">
        <v>37483135.630000003</v>
      </c>
      <c r="J34" s="571">
        <v>1908696.6</v>
      </c>
      <c r="K34" s="571">
        <v>1345230.59</v>
      </c>
      <c r="L34" s="571"/>
    </row>
    <row r="35" spans="1:12" ht="13">
      <c r="A35" s="2">
        <f t="shared" ref="A35:A46" si="3">A34+1</f>
        <v>17</v>
      </c>
      <c r="B35" s="329" t="s">
        <v>391</v>
      </c>
      <c r="C35" s="330">
        <v>2025</v>
      </c>
      <c r="D35" s="59">
        <v>0</v>
      </c>
      <c r="E35" s="59">
        <v>0</v>
      </c>
      <c r="F35" s="59">
        <v>0</v>
      </c>
      <c r="G35" s="59">
        <v>30696125.969999999</v>
      </c>
      <c r="H35" s="59">
        <v>149325389.13999999</v>
      </c>
      <c r="I35" s="571">
        <v>37690005.049999997</v>
      </c>
      <c r="J35" s="571">
        <v>2007090.6</v>
      </c>
      <c r="K35" s="571">
        <v>1578094.28</v>
      </c>
      <c r="L35" s="571"/>
    </row>
    <row r="36" spans="1:12" ht="13">
      <c r="A36" s="2">
        <f t="shared" si="3"/>
        <v>18</v>
      </c>
      <c r="B36" s="329" t="s">
        <v>392</v>
      </c>
      <c r="C36" s="330">
        <v>2025</v>
      </c>
      <c r="D36" s="59">
        <v>0</v>
      </c>
      <c r="E36" s="59">
        <v>0</v>
      </c>
      <c r="F36" s="59">
        <v>0</v>
      </c>
      <c r="G36" s="59">
        <v>31513605.100000001</v>
      </c>
      <c r="H36" s="59">
        <v>147526069.19999999</v>
      </c>
      <c r="I36" s="571">
        <v>38095340.159999996</v>
      </c>
      <c r="J36" s="571">
        <v>2160665.5699999998</v>
      </c>
      <c r="K36" s="571">
        <v>2269085.2200000002</v>
      </c>
      <c r="L36" s="571"/>
    </row>
    <row r="37" spans="1:12" ht="13">
      <c r="A37" s="2">
        <f t="shared" si="3"/>
        <v>19</v>
      </c>
      <c r="B37" s="329" t="s">
        <v>393</v>
      </c>
      <c r="C37" s="330">
        <v>2025</v>
      </c>
      <c r="D37" s="59">
        <v>0</v>
      </c>
      <c r="E37" s="59">
        <v>0</v>
      </c>
      <c r="F37" s="59">
        <v>0</v>
      </c>
      <c r="G37" s="59">
        <v>32127565.059999999</v>
      </c>
      <c r="H37" s="59">
        <v>156929480.13</v>
      </c>
      <c r="I37" s="571">
        <v>44444485.950000003</v>
      </c>
      <c r="J37" s="571">
        <v>2418749.13</v>
      </c>
      <c r="K37" s="571">
        <v>2525092.16</v>
      </c>
      <c r="L37" s="571"/>
    </row>
    <row r="38" spans="1:12" ht="13">
      <c r="A38" s="2">
        <f t="shared" si="3"/>
        <v>20</v>
      </c>
      <c r="B38" s="329" t="s">
        <v>394</v>
      </c>
      <c r="C38" s="330">
        <v>2025</v>
      </c>
      <c r="D38" s="59">
        <v>0</v>
      </c>
      <c r="E38" s="59">
        <v>0</v>
      </c>
      <c r="F38" s="59">
        <v>5005.84</v>
      </c>
      <c r="G38" s="59">
        <v>32425161.75</v>
      </c>
      <c r="H38" s="59">
        <v>158941870.84999999</v>
      </c>
      <c r="I38" s="571">
        <v>47936250.859999999</v>
      </c>
      <c r="J38" s="571">
        <v>2638010.4500000002</v>
      </c>
      <c r="K38" s="571">
        <v>2815982.04</v>
      </c>
      <c r="L38" s="571"/>
    </row>
    <row r="39" spans="1:12" ht="13">
      <c r="A39" s="2">
        <f t="shared" si="3"/>
        <v>21</v>
      </c>
      <c r="B39" s="329" t="s">
        <v>395</v>
      </c>
      <c r="C39" s="330">
        <v>2025</v>
      </c>
      <c r="D39" s="59">
        <v>0</v>
      </c>
      <c r="E39" s="59">
        <v>0</v>
      </c>
      <c r="F39" s="59">
        <v>14509.33</v>
      </c>
      <c r="G39" s="59">
        <v>32647194.969999999</v>
      </c>
      <c r="H39" s="59">
        <v>58906133.219999999</v>
      </c>
      <c r="I39" s="571">
        <v>51039471.939999998</v>
      </c>
      <c r="J39" s="571">
        <v>3068365.73</v>
      </c>
      <c r="K39" s="571">
        <v>3280266.35</v>
      </c>
      <c r="L39" s="571"/>
    </row>
    <row r="40" spans="1:12" ht="13">
      <c r="A40" s="2">
        <f t="shared" si="3"/>
        <v>22</v>
      </c>
      <c r="B40" s="329" t="s">
        <v>396</v>
      </c>
      <c r="C40" s="330">
        <v>2025</v>
      </c>
      <c r="D40" s="59">
        <v>0</v>
      </c>
      <c r="E40" s="59">
        <v>0</v>
      </c>
      <c r="F40" s="59">
        <v>121517.96</v>
      </c>
      <c r="G40" s="59">
        <v>32941897.550000001</v>
      </c>
      <c r="H40" s="59">
        <v>59041452.939999998</v>
      </c>
      <c r="I40" s="571">
        <v>54654535.710000001</v>
      </c>
      <c r="J40" s="571">
        <v>3280155.36</v>
      </c>
      <c r="K40" s="571">
        <v>3516580.42</v>
      </c>
      <c r="L40" s="571"/>
    </row>
    <row r="41" spans="1:12" ht="13">
      <c r="A41" s="2">
        <f>A40+1</f>
        <v>23</v>
      </c>
      <c r="B41" s="329" t="s">
        <v>397</v>
      </c>
      <c r="C41" s="330">
        <v>2025</v>
      </c>
      <c r="D41" s="59">
        <v>0</v>
      </c>
      <c r="E41" s="59">
        <v>0</v>
      </c>
      <c r="F41" s="59">
        <v>259679.64</v>
      </c>
      <c r="G41" s="59">
        <v>33257889.57</v>
      </c>
      <c r="H41" s="59">
        <v>59126781.009999998</v>
      </c>
      <c r="I41" s="571">
        <v>60325944.170000002</v>
      </c>
      <c r="J41" s="571">
        <v>3615717.5</v>
      </c>
      <c r="K41" s="571">
        <v>3799893.51</v>
      </c>
      <c r="L41" s="571"/>
    </row>
    <row r="42" spans="1:12" ht="13">
      <c r="A42" s="2">
        <f t="shared" si="3"/>
        <v>24</v>
      </c>
      <c r="B42" s="329" t="s">
        <v>398</v>
      </c>
      <c r="C42" s="330">
        <v>2025</v>
      </c>
      <c r="D42" s="59">
        <v>0</v>
      </c>
      <c r="E42" s="59">
        <v>0</v>
      </c>
      <c r="F42" s="59">
        <v>330545.2</v>
      </c>
      <c r="G42" s="59">
        <v>33905073</v>
      </c>
      <c r="H42" s="59">
        <v>74446333.049999997</v>
      </c>
      <c r="I42" s="571">
        <v>66369981.149999999</v>
      </c>
      <c r="J42" s="571">
        <v>3697421.75</v>
      </c>
      <c r="K42" s="571">
        <v>4028221.43</v>
      </c>
      <c r="L42" s="571"/>
    </row>
    <row r="43" spans="1:12" ht="13">
      <c r="A43" s="2">
        <f t="shared" si="3"/>
        <v>25</v>
      </c>
      <c r="B43" s="329" t="s">
        <v>1065</v>
      </c>
      <c r="C43" s="330">
        <v>2025</v>
      </c>
      <c r="D43" s="59">
        <v>0</v>
      </c>
      <c r="E43" s="59">
        <v>0</v>
      </c>
      <c r="F43" s="59">
        <v>351173.1</v>
      </c>
      <c r="G43" s="59">
        <v>34215877.469999999</v>
      </c>
      <c r="H43" s="59">
        <v>74560238.859999999</v>
      </c>
      <c r="I43" s="571">
        <v>87323298.420000002</v>
      </c>
      <c r="J43" s="571">
        <v>3944738.03</v>
      </c>
      <c r="K43" s="571">
        <v>4452804.9800000004</v>
      </c>
      <c r="L43" s="571"/>
    </row>
    <row r="44" spans="1:12" ht="13">
      <c r="A44" s="2">
        <f t="shared" si="3"/>
        <v>26</v>
      </c>
      <c r="B44" s="329" t="s">
        <v>400</v>
      </c>
      <c r="C44" s="330">
        <v>2025</v>
      </c>
      <c r="D44" s="59">
        <v>0</v>
      </c>
      <c r="E44" s="59">
        <v>0</v>
      </c>
      <c r="F44" s="571">
        <v>374478.36</v>
      </c>
      <c r="G44" s="571">
        <v>35975921.68</v>
      </c>
      <c r="H44" s="263">
        <v>74648250.659999996</v>
      </c>
      <c r="I44" s="571">
        <v>97994336.920000002</v>
      </c>
      <c r="J44" s="571">
        <v>3737972.81</v>
      </c>
      <c r="K44" s="571">
        <v>4739945.6500000004</v>
      </c>
      <c r="L44" s="571"/>
    </row>
    <row r="45" spans="1:12" ht="13">
      <c r="A45" s="2">
        <f t="shared" si="3"/>
        <v>27</v>
      </c>
      <c r="B45" s="329" t="s">
        <v>388</v>
      </c>
      <c r="C45" s="330">
        <v>2025</v>
      </c>
      <c r="D45" s="61">
        <v>0</v>
      </c>
      <c r="E45" s="61">
        <v>0</v>
      </c>
      <c r="F45" s="784">
        <v>2395428.88</v>
      </c>
      <c r="G45" s="784">
        <v>36562002.280000001</v>
      </c>
      <c r="H45" s="206">
        <v>25140635.989999998</v>
      </c>
      <c r="I45" s="784">
        <v>105498042.8</v>
      </c>
      <c r="J45" s="784">
        <v>3773552.79</v>
      </c>
      <c r="K45" s="784">
        <v>4943069</v>
      </c>
      <c r="L45" s="1062"/>
    </row>
    <row r="46" spans="1:12" ht="13">
      <c r="A46" s="2">
        <f t="shared" si="3"/>
        <v>28</v>
      </c>
      <c r="B46" s="329"/>
      <c r="C46" s="332" t="s">
        <v>1066</v>
      </c>
      <c r="D46" s="261">
        <f t="shared" ref="D46:H46" si="4">SUM(D33:D45)/13</f>
        <v>0</v>
      </c>
      <c r="E46" s="261">
        <f>SUM(E33:E45)/13</f>
        <v>0</v>
      </c>
      <c r="F46" s="261">
        <f>SUM(F33:F45)/13</f>
        <v>296333.71615384612</v>
      </c>
      <c r="G46" s="261">
        <f t="shared" si="4"/>
        <v>32847126.547692306</v>
      </c>
      <c r="H46" s="261">
        <f t="shared" si="4"/>
        <v>102790072.79384615</v>
      </c>
      <c r="I46" s="261">
        <f>SUM(I33:I45)/13</f>
        <v>58920836.689230762</v>
      </c>
      <c r="J46" s="6">
        <f>SUM(J33:J45)/13</f>
        <v>2920349.4238461535</v>
      </c>
      <c r="K46" s="6">
        <f>SUM(K33:K45)/13</f>
        <v>3113031.4953846158</v>
      </c>
      <c r="L46" s="6">
        <f>SUM(L33:L45)/13</f>
        <v>0</v>
      </c>
    </row>
    <row r="48" spans="1:12" ht="13">
      <c r="B48" s="334" t="s">
        <v>1079</v>
      </c>
    </row>
    <row r="49" spans="1:13" ht="13">
      <c r="B49" s="334"/>
      <c r="D49" s="3" t="s">
        <v>345</v>
      </c>
      <c r="E49" s="3" t="s">
        <v>346</v>
      </c>
      <c r="F49" s="3" t="s">
        <v>347</v>
      </c>
      <c r="G49" s="3" t="s">
        <v>348</v>
      </c>
      <c r="H49" s="3" t="s">
        <v>349</v>
      </c>
      <c r="I49" s="3" t="s">
        <v>350</v>
      </c>
      <c r="J49" s="3" t="s">
        <v>351</v>
      </c>
      <c r="K49" s="3" t="s">
        <v>352</v>
      </c>
    </row>
    <row r="50" spans="1:13" s="349" customFormat="1">
      <c r="D50" s="234" t="s">
        <v>355</v>
      </c>
      <c r="E50" s="234" t="s">
        <v>355</v>
      </c>
      <c r="F50" s="234" t="s">
        <v>355</v>
      </c>
      <c r="G50" s="234" t="s">
        <v>355</v>
      </c>
      <c r="H50" s="234" t="s">
        <v>355</v>
      </c>
      <c r="I50" s="234" t="s">
        <v>355</v>
      </c>
      <c r="J50" s="234" t="s">
        <v>355</v>
      </c>
      <c r="K50" s="234" t="s">
        <v>355</v>
      </c>
    </row>
    <row r="51" spans="1:13" ht="13">
      <c r="G51" s="2" t="s">
        <v>1080</v>
      </c>
      <c r="K51" s="2"/>
    </row>
    <row r="52" spans="1:13" ht="13">
      <c r="A52" s="2"/>
      <c r="B52" s="2"/>
      <c r="C52" s="2"/>
      <c r="D52" s="2" t="s">
        <v>1081</v>
      </c>
      <c r="E52" s="2" t="s">
        <v>1082</v>
      </c>
      <c r="F52" s="2" t="s">
        <v>1083</v>
      </c>
      <c r="G52" s="2" t="s">
        <v>252</v>
      </c>
      <c r="H52" s="2" t="s">
        <v>1084</v>
      </c>
      <c r="I52" s="350" t="s">
        <v>1085</v>
      </c>
      <c r="J52" s="2" t="s">
        <v>1081</v>
      </c>
      <c r="K52" s="2" t="s">
        <v>1086</v>
      </c>
    </row>
    <row r="53" spans="1:13" ht="13">
      <c r="A53" s="30" t="s">
        <v>282</v>
      </c>
      <c r="B53" s="328" t="s">
        <v>380</v>
      </c>
      <c r="C53" s="328" t="s">
        <v>381</v>
      </c>
      <c r="D53" s="3" t="s">
        <v>1087</v>
      </c>
      <c r="E53" s="3" t="s">
        <v>1088</v>
      </c>
      <c r="F53" s="3" t="s">
        <v>1089</v>
      </c>
      <c r="G53" s="3" t="s">
        <v>1090</v>
      </c>
      <c r="H53" s="3" t="s">
        <v>1091</v>
      </c>
      <c r="I53" s="3" t="s">
        <v>1092</v>
      </c>
      <c r="J53" s="3" t="s">
        <v>1093</v>
      </c>
      <c r="K53" s="3" t="s">
        <v>1094</v>
      </c>
    </row>
    <row r="54" spans="1:13" ht="13">
      <c r="A54" s="2">
        <f>A46+1</f>
        <v>29</v>
      </c>
      <c r="B54" s="329" t="s">
        <v>388</v>
      </c>
      <c r="C54" s="330">
        <v>2025</v>
      </c>
      <c r="D54" s="239" t="s">
        <v>389</v>
      </c>
      <c r="E54" s="239" t="s">
        <v>389</v>
      </c>
      <c r="F54" s="239" t="s">
        <v>389</v>
      </c>
      <c r="G54" s="239" t="s">
        <v>389</v>
      </c>
      <c r="H54" s="239" t="s">
        <v>389</v>
      </c>
      <c r="I54" s="239" t="s">
        <v>389</v>
      </c>
      <c r="J54" s="6">
        <f>D25</f>
        <v>193667038.40999997</v>
      </c>
      <c r="K54" s="239" t="s">
        <v>389</v>
      </c>
    </row>
    <row r="55" spans="1:13" ht="13">
      <c r="A55" s="2">
        <f>A54+1</f>
        <v>30</v>
      </c>
      <c r="B55" s="329" t="s">
        <v>390</v>
      </c>
      <c r="C55" s="330">
        <v>2026</v>
      </c>
      <c r="D55" s="6">
        <f>D89+D122+D155+D188+D221+D254+D287+D320+D353+D386+D419+D452+D485</f>
        <v>11557292.9002</v>
      </c>
      <c r="E55" s="6">
        <f t="shared" ref="E55:J55" si="5">E89+E122+E155+E188+E221+E254+E287+E320+E353+E386+E419+E452+E485</f>
        <v>866796.96751500003</v>
      </c>
      <c r="F55" s="6">
        <f t="shared" si="5"/>
        <v>12424089.867714999</v>
      </c>
      <c r="G55" s="6">
        <f t="shared" si="5"/>
        <v>166554.3322</v>
      </c>
      <c r="H55" s="6">
        <f t="shared" si="5"/>
        <v>0</v>
      </c>
      <c r="I55" s="6">
        <f t="shared" si="5"/>
        <v>12491.574915000001</v>
      </c>
      <c r="J55" s="6">
        <f t="shared" si="5"/>
        <v>205912082.37059999</v>
      </c>
      <c r="K55" s="6">
        <f>K89+K122+K155+K188+K221+K254+K287+K320+K353+K386+K419+K452+K485</f>
        <v>12245043.960600005</v>
      </c>
      <c r="L55" s="439"/>
      <c r="M55" s="6"/>
    </row>
    <row r="56" spans="1:13" ht="13">
      <c r="A56" s="2">
        <f t="shared" ref="A56:A79" si="6">A55+1</f>
        <v>31</v>
      </c>
      <c r="B56" s="329" t="s">
        <v>391</v>
      </c>
      <c r="C56" s="330">
        <v>2026</v>
      </c>
      <c r="D56" s="6">
        <f t="shared" ref="D56:K56" si="7">D90+D123+D156+D189+D222+D255+D288+D321+D354+D387+D420+D453+D486</f>
        <v>13209008.451999998</v>
      </c>
      <c r="E56" s="6">
        <f t="shared" si="7"/>
        <v>990675.63389999978</v>
      </c>
      <c r="F56" s="6">
        <f t="shared" si="7"/>
        <v>14199684.085899998</v>
      </c>
      <c r="G56" s="6">
        <f t="shared" si="7"/>
        <v>115312.00000000001</v>
      </c>
      <c r="H56" s="6">
        <f t="shared" si="7"/>
        <v>0</v>
      </c>
      <c r="I56" s="6">
        <f t="shared" si="7"/>
        <v>8648.4000000000015</v>
      </c>
      <c r="J56" s="6">
        <f t="shared" si="7"/>
        <v>219987806.05649999</v>
      </c>
      <c r="K56" s="6">
        <f t="shared" si="7"/>
        <v>26320767.646499991</v>
      </c>
      <c r="L56" s="439"/>
      <c r="M56" s="6"/>
    </row>
    <row r="57" spans="1:13" ht="13">
      <c r="A57" s="2">
        <f t="shared" si="6"/>
        <v>32</v>
      </c>
      <c r="B57" s="329" t="s">
        <v>392</v>
      </c>
      <c r="C57" s="330">
        <v>2026</v>
      </c>
      <c r="D57" s="6">
        <f t="shared" ref="D57:K57" si="8">D91+D124+D157+D190+D223+D256+D289+D322+D355+D388+D421+D454+D487</f>
        <v>23298661.32</v>
      </c>
      <c r="E57" s="6">
        <f t="shared" si="8"/>
        <v>1747399.5990000002</v>
      </c>
      <c r="F57" s="6">
        <f t="shared" si="8"/>
        <v>25046060.919000003</v>
      </c>
      <c r="G57" s="6">
        <f t="shared" si="8"/>
        <v>148000</v>
      </c>
      <c r="H57" s="6">
        <f t="shared" si="8"/>
        <v>0</v>
      </c>
      <c r="I57" s="6">
        <f t="shared" si="8"/>
        <v>11100</v>
      </c>
      <c r="J57" s="6">
        <f t="shared" si="8"/>
        <v>244874766.97549999</v>
      </c>
      <c r="K57" s="6">
        <f t="shared" si="8"/>
        <v>51207728.565499984</v>
      </c>
      <c r="L57" s="439"/>
      <c r="M57" s="6"/>
    </row>
    <row r="58" spans="1:13" ht="13">
      <c r="A58" s="2">
        <f t="shared" si="6"/>
        <v>33</v>
      </c>
      <c r="B58" s="329" t="s">
        <v>393</v>
      </c>
      <c r="C58" s="330">
        <v>2026</v>
      </c>
      <c r="D58" s="6">
        <f t="shared" ref="D58:K58" si="9">D92+D125+D158+D191+D224+D257+D290+D323+D356+D389+D422+D455+D488</f>
        <v>15142031.759999998</v>
      </c>
      <c r="E58" s="6">
        <f t="shared" si="9"/>
        <v>1135652.3819999998</v>
      </c>
      <c r="F58" s="6">
        <f t="shared" si="9"/>
        <v>16277684.141999997</v>
      </c>
      <c r="G58" s="6">
        <f t="shared" si="9"/>
        <v>4843000</v>
      </c>
      <c r="H58" s="6">
        <f t="shared" si="9"/>
        <v>0</v>
      </c>
      <c r="I58" s="6">
        <f t="shared" si="9"/>
        <v>363225</v>
      </c>
      <c r="J58" s="6">
        <f t="shared" si="9"/>
        <v>255946226.11749998</v>
      </c>
      <c r="K58" s="6">
        <f t="shared" si="9"/>
        <v>62279187.707499973</v>
      </c>
      <c r="L58" s="439"/>
      <c r="M58" s="6"/>
    </row>
    <row r="59" spans="1:13" ht="13">
      <c r="A59" s="2">
        <f t="shared" si="6"/>
        <v>34</v>
      </c>
      <c r="B59" s="329" t="s">
        <v>394</v>
      </c>
      <c r="C59" s="330">
        <v>2026</v>
      </c>
      <c r="D59" s="6">
        <f t="shared" ref="D59:K59" si="10">D93+D126+D159+D192+D225+D258+D291+D324+D357+D390+D423+D456+D489</f>
        <v>13509071.223999999</v>
      </c>
      <c r="E59" s="6">
        <f t="shared" si="10"/>
        <v>1013180.3418000001</v>
      </c>
      <c r="F59" s="6">
        <f t="shared" si="10"/>
        <v>14522251.5658</v>
      </c>
      <c r="G59" s="6">
        <f t="shared" si="10"/>
        <v>148000</v>
      </c>
      <c r="H59" s="6">
        <f t="shared" si="10"/>
        <v>0</v>
      </c>
      <c r="I59" s="6">
        <f t="shared" si="10"/>
        <v>11100</v>
      </c>
      <c r="J59" s="6">
        <f t="shared" si="10"/>
        <v>270309377.68329996</v>
      </c>
      <c r="K59" s="6">
        <f t="shared" si="10"/>
        <v>76642339.273299977</v>
      </c>
      <c r="L59" s="439"/>
      <c r="M59" s="6"/>
    </row>
    <row r="60" spans="1:13" ht="13">
      <c r="A60" s="2">
        <f t="shared" si="6"/>
        <v>35</v>
      </c>
      <c r="B60" s="329" t="s">
        <v>608</v>
      </c>
      <c r="C60" s="330">
        <v>2026</v>
      </c>
      <c r="D60" s="6">
        <f t="shared" ref="D60:K60" si="11">D94+D127+D160+D193+D226+D259+D292+D325+D358+D391+D424+D457+D490</f>
        <v>21000639.991999999</v>
      </c>
      <c r="E60" s="6">
        <f t="shared" si="11"/>
        <v>1575047.9993999999</v>
      </c>
      <c r="F60" s="6">
        <f t="shared" si="11"/>
        <v>22575687.991399996</v>
      </c>
      <c r="G60" s="6">
        <f t="shared" si="11"/>
        <v>44893005.960000001</v>
      </c>
      <c r="H60" s="6">
        <f t="shared" si="11"/>
        <v>32817827.959999997</v>
      </c>
      <c r="I60" s="6">
        <f t="shared" si="11"/>
        <v>905638.35000000021</v>
      </c>
      <c r="J60" s="6">
        <f t="shared" si="11"/>
        <v>247086421.36469996</v>
      </c>
      <c r="K60" s="6">
        <f t="shared" si="11"/>
        <v>53419382.954699963</v>
      </c>
      <c r="L60" s="439"/>
      <c r="M60" s="6"/>
    </row>
    <row r="61" spans="1:13" ht="13">
      <c r="A61" s="2">
        <f t="shared" si="6"/>
        <v>36</v>
      </c>
      <c r="B61" s="329" t="s">
        <v>396</v>
      </c>
      <c r="C61" s="330">
        <v>2026</v>
      </c>
      <c r="D61" s="6">
        <f t="shared" ref="D61:K61" si="12">D95+D128+D161+D194+D227+D260+D293+D326+D359+D392+D425+D458+D491</f>
        <v>19585979.920000002</v>
      </c>
      <c r="E61" s="6">
        <f t="shared" si="12"/>
        <v>1468948.4939999999</v>
      </c>
      <c r="F61" s="6">
        <f t="shared" si="12"/>
        <v>21054928.413999997</v>
      </c>
      <c r="G61" s="6">
        <f t="shared" si="12"/>
        <v>299000</v>
      </c>
      <c r="H61" s="6">
        <f t="shared" si="12"/>
        <v>0</v>
      </c>
      <c r="I61" s="6">
        <f>I95+I128+I161+I194+I227+I260+I293+I326+I359+I392+I425+I458+I491</f>
        <v>22425</v>
      </c>
      <c r="J61" s="6">
        <f t="shared" si="12"/>
        <v>267819924.77869996</v>
      </c>
      <c r="K61" s="6">
        <f t="shared" si="12"/>
        <v>74152886.368699968</v>
      </c>
      <c r="L61" s="439"/>
      <c r="M61" s="6"/>
    </row>
    <row r="62" spans="1:13" ht="13">
      <c r="A62" s="2">
        <f t="shared" si="6"/>
        <v>37</v>
      </c>
      <c r="B62" s="329" t="s">
        <v>397</v>
      </c>
      <c r="C62" s="330">
        <v>2026</v>
      </c>
      <c r="D62" s="6">
        <f t="shared" ref="D62:K62" si="13">D96+D129+D162+D195+D228+D261+D294+D327+D360+D393+D426+D459+D492</f>
        <v>32419240.148000002</v>
      </c>
      <c r="E62" s="6">
        <f t="shared" si="13"/>
        <v>2431443.0110999998</v>
      </c>
      <c r="F62" s="6">
        <f t="shared" si="13"/>
        <v>34850683.159099996</v>
      </c>
      <c r="G62" s="6">
        <f t="shared" si="13"/>
        <v>297000</v>
      </c>
      <c r="H62" s="6">
        <f t="shared" si="13"/>
        <v>0</v>
      </c>
      <c r="I62" s="6">
        <f t="shared" si="13"/>
        <v>22275</v>
      </c>
      <c r="J62" s="6">
        <f t="shared" si="13"/>
        <v>302351332.93779999</v>
      </c>
      <c r="K62" s="6">
        <f t="shared" si="13"/>
        <v>108684294.52779998</v>
      </c>
      <c r="L62" s="439"/>
      <c r="M62" s="6"/>
    </row>
    <row r="63" spans="1:13" ht="13">
      <c r="A63" s="2">
        <f t="shared" si="6"/>
        <v>38</v>
      </c>
      <c r="B63" s="329" t="s">
        <v>398</v>
      </c>
      <c r="C63" s="330">
        <v>2026</v>
      </c>
      <c r="D63" s="6">
        <f t="shared" ref="D63:K63" si="14">D97+D130+D163+D196+D229+D262+D295+D328+D361+D394+D427+D460+D493</f>
        <v>24982184.539999999</v>
      </c>
      <c r="E63" s="6">
        <f t="shared" si="14"/>
        <v>1873663.8404999999</v>
      </c>
      <c r="F63" s="6">
        <f t="shared" si="14"/>
        <v>26855848.3805</v>
      </c>
      <c r="G63" s="6">
        <f t="shared" si="14"/>
        <v>298000</v>
      </c>
      <c r="H63" s="6">
        <f t="shared" si="14"/>
        <v>0</v>
      </c>
      <c r="I63" s="6">
        <f t="shared" si="14"/>
        <v>22350</v>
      </c>
      <c r="J63" s="6">
        <f t="shared" si="14"/>
        <v>328886831.31829995</v>
      </c>
      <c r="K63" s="6">
        <f t="shared" si="14"/>
        <v>135219792.90829992</v>
      </c>
      <c r="L63" s="439"/>
      <c r="M63" s="6"/>
    </row>
    <row r="64" spans="1:13" ht="13">
      <c r="A64" s="2">
        <f t="shared" si="6"/>
        <v>39</v>
      </c>
      <c r="B64" s="329" t="s">
        <v>399</v>
      </c>
      <c r="C64" s="330">
        <v>2026</v>
      </c>
      <c r="D64" s="6">
        <f t="shared" ref="D64:K64" si="15">D98+D131+D164+D197+D230+D263+D296+D329+D362+D395+D428+D461+D494</f>
        <v>26341972.684000004</v>
      </c>
      <c r="E64" s="6">
        <f t="shared" si="15"/>
        <v>1975647.9513000003</v>
      </c>
      <c r="F64" s="6">
        <f t="shared" si="15"/>
        <v>28317620.635300007</v>
      </c>
      <c r="G64" s="6">
        <f t="shared" si="15"/>
        <v>307000</v>
      </c>
      <c r="H64" s="6">
        <f t="shared" si="15"/>
        <v>0</v>
      </c>
      <c r="I64" s="6">
        <f t="shared" si="15"/>
        <v>23025</v>
      </c>
      <c r="J64" s="6">
        <f t="shared" si="15"/>
        <v>356874426.95359999</v>
      </c>
      <c r="K64" s="6">
        <f t="shared" si="15"/>
        <v>163207388.54359996</v>
      </c>
      <c r="L64" s="439"/>
      <c r="M64" s="6"/>
    </row>
    <row r="65" spans="1:13" ht="13">
      <c r="A65" s="2">
        <f t="shared" si="6"/>
        <v>40</v>
      </c>
      <c r="B65" s="329" t="s">
        <v>400</v>
      </c>
      <c r="C65" s="330">
        <v>2026</v>
      </c>
      <c r="D65" s="6">
        <f t="shared" ref="D65:K65" si="16">D99+D132+D165+D198+D231+D264+D297+D330+D363+D396+D429+D462+D495</f>
        <v>20635989.900000002</v>
      </c>
      <c r="E65" s="6">
        <f t="shared" si="16"/>
        <v>1547699.2425000002</v>
      </c>
      <c r="F65" s="6">
        <f t="shared" si="16"/>
        <v>22183689.142500002</v>
      </c>
      <c r="G65" s="6">
        <f t="shared" si="16"/>
        <v>390000</v>
      </c>
      <c r="H65" s="6">
        <f t="shared" si="16"/>
        <v>0</v>
      </c>
      <c r="I65" s="6">
        <f t="shared" si="16"/>
        <v>29250</v>
      </c>
      <c r="J65" s="6">
        <f t="shared" si="16"/>
        <v>378638866.09609997</v>
      </c>
      <c r="K65" s="6">
        <f t="shared" si="16"/>
        <v>184971827.68609995</v>
      </c>
      <c r="L65" s="439"/>
      <c r="M65" s="6"/>
    </row>
    <row r="66" spans="1:13" ht="13">
      <c r="A66" s="2">
        <f t="shared" si="6"/>
        <v>41</v>
      </c>
      <c r="B66" s="329" t="s">
        <v>388</v>
      </c>
      <c r="C66" s="330">
        <v>2026</v>
      </c>
      <c r="D66" s="6">
        <f t="shared" ref="D66:K66" si="17">D100+D133+D166+D199+D232+D265+D298+D331+D364+D397+D430+D463+D496</f>
        <v>25012528.667999998</v>
      </c>
      <c r="E66" s="6">
        <f t="shared" si="17"/>
        <v>1875939.6501</v>
      </c>
      <c r="F66" s="6">
        <f t="shared" si="17"/>
        <v>26888468.318099998</v>
      </c>
      <c r="G66" s="6">
        <f t="shared" si="17"/>
        <v>2972278</v>
      </c>
      <c r="H66" s="6">
        <f t="shared" si="17"/>
        <v>0</v>
      </c>
      <c r="I66" s="6">
        <f t="shared" si="17"/>
        <v>222920.85</v>
      </c>
      <c r="J66" s="6">
        <f t="shared" si="17"/>
        <v>402332135.56419998</v>
      </c>
      <c r="K66" s="6">
        <f t="shared" si="17"/>
        <v>208665097.15419993</v>
      </c>
      <c r="L66" s="439"/>
      <c r="M66" s="6"/>
    </row>
    <row r="67" spans="1:13" ht="13">
      <c r="A67" s="2">
        <f t="shared" si="6"/>
        <v>42</v>
      </c>
      <c r="B67" s="329" t="s">
        <v>390</v>
      </c>
      <c r="C67" s="330">
        <v>2027</v>
      </c>
      <c r="D67" s="6">
        <f t="shared" ref="D67:K67" si="18">D101+D134+D167+D200+D233+D266+D299+D332+D365+D398+D431+D464+D497</f>
        <v>10833405.999999998</v>
      </c>
      <c r="E67" s="6">
        <f t="shared" si="18"/>
        <v>812505.45</v>
      </c>
      <c r="F67" s="6">
        <f t="shared" si="18"/>
        <v>11645911.449999999</v>
      </c>
      <c r="G67" s="6">
        <f t="shared" si="18"/>
        <v>10000</v>
      </c>
      <c r="H67" s="6">
        <f t="shared" si="18"/>
        <v>0</v>
      </c>
      <c r="I67" s="6">
        <f t="shared" si="18"/>
        <v>750</v>
      </c>
      <c r="J67" s="6">
        <f t="shared" si="18"/>
        <v>413967297.01420003</v>
      </c>
      <c r="K67" s="6">
        <f t="shared" si="18"/>
        <v>220300258.60419995</v>
      </c>
      <c r="L67" s="439"/>
      <c r="M67" s="6"/>
    </row>
    <row r="68" spans="1:13" ht="13">
      <c r="A68" s="2">
        <f t="shared" si="6"/>
        <v>43</v>
      </c>
      <c r="B68" s="329" t="s">
        <v>391</v>
      </c>
      <c r="C68" s="330">
        <v>2027</v>
      </c>
      <c r="D68" s="6">
        <f t="shared" ref="D68:K68" si="19">D102+D135+D168+D201+D234+D267+D300+D333+D366+D399+D432+D465+D498</f>
        <v>21306402</v>
      </c>
      <c r="E68" s="6">
        <f t="shared" si="19"/>
        <v>1597980.15</v>
      </c>
      <c r="F68" s="6">
        <f t="shared" si="19"/>
        <v>22904382.149999999</v>
      </c>
      <c r="G68" s="6">
        <f t="shared" si="19"/>
        <v>10000</v>
      </c>
      <c r="H68" s="6">
        <f t="shared" si="19"/>
        <v>0</v>
      </c>
      <c r="I68" s="6">
        <f t="shared" si="19"/>
        <v>750</v>
      </c>
      <c r="J68" s="6">
        <f t="shared" si="19"/>
        <v>436860929.16419995</v>
      </c>
      <c r="K68" s="6">
        <f t="shared" si="19"/>
        <v>243193890.75419998</v>
      </c>
      <c r="L68" s="439"/>
      <c r="M68" s="6"/>
    </row>
    <row r="69" spans="1:13" ht="13">
      <c r="A69" s="2">
        <f t="shared" si="6"/>
        <v>44</v>
      </c>
      <c r="B69" s="329" t="s">
        <v>392</v>
      </c>
      <c r="C69" s="330">
        <v>2027</v>
      </c>
      <c r="D69" s="6">
        <f t="shared" ref="D69:K69" si="20">D103+D136+D169+D202+D235+D268+D301+D334+D367+D400+D433+D466+D499</f>
        <v>10924402</v>
      </c>
      <c r="E69" s="6">
        <f t="shared" si="20"/>
        <v>819330.14999999991</v>
      </c>
      <c r="F69" s="6">
        <f t="shared" si="20"/>
        <v>11743732.149999999</v>
      </c>
      <c r="G69" s="6">
        <f t="shared" si="20"/>
        <v>2955428.88</v>
      </c>
      <c r="H69" s="6">
        <f t="shared" si="20"/>
        <v>2395428.88</v>
      </c>
      <c r="I69" s="6">
        <f t="shared" si="20"/>
        <v>42000</v>
      </c>
      <c r="J69" s="6">
        <f t="shared" si="20"/>
        <v>445607232.43419999</v>
      </c>
      <c r="K69" s="6">
        <f t="shared" si="20"/>
        <v>251940194.02419999</v>
      </c>
      <c r="L69" s="439"/>
      <c r="M69" s="6"/>
    </row>
    <row r="70" spans="1:13" ht="13">
      <c r="A70" s="2">
        <f t="shared" si="6"/>
        <v>45</v>
      </c>
      <c r="B70" s="329" t="s">
        <v>393</v>
      </c>
      <c r="C70" s="330">
        <v>2027</v>
      </c>
      <c r="D70" s="6">
        <f t="shared" ref="D70:K70" si="21">D104+D137+D170+D203+D236+D269+D302+D335+D368+D401+D434+D467+D500</f>
        <v>10982402</v>
      </c>
      <c r="E70" s="6">
        <f t="shared" si="21"/>
        <v>823680.14999999991</v>
      </c>
      <c r="F70" s="6">
        <f t="shared" si="21"/>
        <v>11806082.149999999</v>
      </c>
      <c r="G70" s="6">
        <f t="shared" si="21"/>
        <v>12743331.68</v>
      </c>
      <c r="H70" s="6">
        <f t="shared" si="21"/>
        <v>1381331.68</v>
      </c>
      <c r="I70" s="6">
        <f t="shared" si="21"/>
        <v>852150</v>
      </c>
      <c r="J70" s="6">
        <f t="shared" si="21"/>
        <v>443817832.90420002</v>
      </c>
      <c r="K70" s="6">
        <f t="shared" si="21"/>
        <v>250150794.49419999</v>
      </c>
      <c r="L70" s="439"/>
      <c r="M70" s="6"/>
    </row>
    <row r="71" spans="1:13" ht="13">
      <c r="A71" s="2">
        <f t="shared" si="6"/>
        <v>46</v>
      </c>
      <c r="B71" s="329" t="s">
        <v>394</v>
      </c>
      <c r="C71" s="330">
        <v>2027</v>
      </c>
      <c r="D71" s="6">
        <f t="shared" ref="D71:K71" si="22">D105+D138+D171+D204+D237+D270+D303+D336+D369+D402+D435+D468+D501</f>
        <v>11096402</v>
      </c>
      <c r="E71" s="6">
        <f t="shared" si="22"/>
        <v>832230.14999999991</v>
      </c>
      <c r="F71" s="6">
        <f t="shared" si="22"/>
        <v>11928632.149999999</v>
      </c>
      <c r="G71" s="6">
        <f t="shared" si="22"/>
        <v>562000</v>
      </c>
      <c r="H71" s="6">
        <f t="shared" si="22"/>
        <v>0</v>
      </c>
      <c r="I71" s="6">
        <f t="shared" si="22"/>
        <v>42150</v>
      </c>
      <c r="J71" s="6">
        <f t="shared" si="22"/>
        <v>455142315.05419999</v>
      </c>
      <c r="K71" s="6">
        <f t="shared" si="22"/>
        <v>261475276.64420003</v>
      </c>
      <c r="L71" s="439"/>
      <c r="M71" s="6"/>
    </row>
    <row r="72" spans="1:13" ht="13">
      <c r="A72" s="2">
        <f t="shared" si="6"/>
        <v>47</v>
      </c>
      <c r="B72" s="329" t="s">
        <v>608</v>
      </c>
      <c r="C72" s="330">
        <v>2027</v>
      </c>
      <c r="D72" s="6">
        <f t="shared" ref="D72:K72" si="23">D106+D139+D172+D205+D238+D271+D304+D337+D370+D403+D436+D469+D502</f>
        <v>11101402</v>
      </c>
      <c r="E72" s="6">
        <f t="shared" si="23"/>
        <v>832605.14999999991</v>
      </c>
      <c r="F72" s="6">
        <f t="shared" si="23"/>
        <v>11934007.149999999</v>
      </c>
      <c r="G72" s="6">
        <f t="shared" si="23"/>
        <v>567000</v>
      </c>
      <c r="H72" s="6">
        <f t="shared" si="23"/>
        <v>0</v>
      </c>
      <c r="I72" s="6">
        <f t="shared" si="23"/>
        <v>42525</v>
      </c>
      <c r="J72" s="6">
        <f t="shared" si="23"/>
        <v>466466797.20420003</v>
      </c>
      <c r="K72" s="6">
        <f t="shared" si="23"/>
        <v>272799758.79420006</v>
      </c>
      <c r="L72" s="439"/>
      <c r="M72" s="6"/>
    </row>
    <row r="73" spans="1:13" ht="13">
      <c r="A73" s="2">
        <f t="shared" si="6"/>
        <v>48</v>
      </c>
      <c r="B73" s="329" t="s">
        <v>396</v>
      </c>
      <c r="C73" s="330">
        <v>2027</v>
      </c>
      <c r="D73" s="6">
        <f t="shared" ref="D73:K73" si="24">D107+D140+D173+D206+D239+D272+D305+D338+D371+D404+D437+D470+D503</f>
        <v>11653402</v>
      </c>
      <c r="E73" s="6">
        <f t="shared" si="24"/>
        <v>874005.14999999991</v>
      </c>
      <c r="F73" s="6">
        <f t="shared" si="24"/>
        <v>12527407.149999999</v>
      </c>
      <c r="G73" s="6">
        <f t="shared" si="24"/>
        <v>556000</v>
      </c>
      <c r="H73" s="6">
        <f t="shared" si="24"/>
        <v>0</v>
      </c>
      <c r="I73" s="6">
        <f t="shared" si="24"/>
        <v>41700</v>
      </c>
      <c r="J73" s="6">
        <f t="shared" si="24"/>
        <v>478396504.35420007</v>
      </c>
      <c r="K73" s="6">
        <f t="shared" si="24"/>
        <v>284729465.94420004</v>
      </c>
      <c r="L73" s="439"/>
      <c r="M73" s="6"/>
    </row>
    <row r="74" spans="1:13" ht="13">
      <c r="A74" s="2">
        <f t="shared" si="6"/>
        <v>49</v>
      </c>
      <c r="B74" s="329" t="s">
        <v>397</v>
      </c>
      <c r="C74" s="330">
        <v>2027</v>
      </c>
      <c r="D74" s="6">
        <f t="shared" ref="D74:K74" si="25">D108+D141+D174+D207+D240+D273+D306+D339+D372+D405+D438+D471+D504</f>
        <v>12688402</v>
      </c>
      <c r="E74" s="6">
        <f t="shared" si="25"/>
        <v>951630.14999999991</v>
      </c>
      <c r="F74" s="6">
        <f t="shared" si="25"/>
        <v>13640032.149999999</v>
      </c>
      <c r="G74" s="6">
        <f t="shared" si="25"/>
        <v>1591000</v>
      </c>
      <c r="H74" s="6">
        <f t="shared" si="25"/>
        <v>0</v>
      </c>
      <c r="I74" s="6">
        <f t="shared" si="25"/>
        <v>119325</v>
      </c>
      <c r="J74" s="6">
        <f t="shared" si="25"/>
        <v>490326211.50420004</v>
      </c>
      <c r="K74" s="6">
        <f t="shared" si="25"/>
        <v>296659173.09420007</v>
      </c>
      <c r="L74" s="439"/>
      <c r="M74" s="6"/>
    </row>
    <row r="75" spans="1:13" ht="13">
      <c r="A75" s="2">
        <f t="shared" si="6"/>
        <v>50</v>
      </c>
      <c r="B75" s="329" t="s">
        <v>398</v>
      </c>
      <c r="C75" s="330">
        <v>2027</v>
      </c>
      <c r="D75" s="6">
        <f t="shared" ref="D75:K75" si="26">D109+D142+D175+D208+D241+D274+D307+D340+D373+D406+D439+D472+D505</f>
        <v>16921402</v>
      </c>
      <c r="E75" s="6">
        <f t="shared" si="26"/>
        <v>1269105.1499999999</v>
      </c>
      <c r="F75" s="6">
        <f t="shared" si="26"/>
        <v>18190507.149999999</v>
      </c>
      <c r="G75" s="6">
        <f t="shared" si="26"/>
        <v>4340000</v>
      </c>
      <c r="H75" s="6">
        <f t="shared" si="26"/>
        <v>0</v>
      </c>
      <c r="I75" s="6">
        <f t="shared" si="26"/>
        <v>325500</v>
      </c>
      <c r="J75" s="6">
        <f t="shared" si="26"/>
        <v>503851218.65420008</v>
      </c>
      <c r="K75" s="6">
        <f t="shared" si="26"/>
        <v>310184180.24420005</v>
      </c>
      <c r="L75" s="439"/>
      <c r="M75" s="6"/>
    </row>
    <row r="76" spans="1:13" ht="13">
      <c r="A76" s="2">
        <f t="shared" si="6"/>
        <v>51</v>
      </c>
      <c r="B76" s="329" t="s">
        <v>399</v>
      </c>
      <c r="C76" s="330">
        <v>2027</v>
      </c>
      <c r="D76" s="6">
        <f t="shared" ref="D76:K76" si="27">D110+D143+D176+D209+D242+D275+D308+D341+D374+D407+D440+D473+D506</f>
        <v>23246402</v>
      </c>
      <c r="E76" s="6">
        <f t="shared" si="27"/>
        <v>1743480.15</v>
      </c>
      <c r="F76" s="6">
        <f t="shared" si="27"/>
        <v>24989882.149999999</v>
      </c>
      <c r="G76" s="6">
        <f t="shared" si="27"/>
        <v>6790946.5700000003</v>
      </c>
      <c r="H76" s="6">
        <f t="shared" si="27"/>
        <v>10946.57</v>
      </c>
      <c r="I76" s="6">
        <f t="shared" si="27"/>
        <v>508500</v>
      </c>
      <c r="J76" s="6">
        <f t="shared" si="27"/>
        <v>521541654.23420012</v>
      </c>
      <c r="K76" s="6">
        <f t="shared" si="27"/>
        <v>327874615.82420009</v>
      </c>
      <c r="L76" s="439"/>
      <c r="M76" s="6"/>
    </row>
    <row r="77" spans="1:13" ht="13">
      <c r="A77" s="2">
        <f t="shared" si="6"/>
        <v>52</v>
      </c>
      <c r="B77" s="329" t="s">
        <v>400</v>
      </c>
      <c r="C77" s="330">
        <v>2027</v>
      </c>
      <c r="D77" s="6">
        <f t="shared" ref="D77:K77" si="28">D111+D144+D177+D210+D243+D276+D309+D342+D375+D408+D441+D474+D507</f>
        <v>16251067</v>
      </c>
      <c r="E77" s="6">
        <f t="shared" si="28"/>
        <v>1218830.0249999999</v>
      </c>
      <c r="F77" s="6">
        <f t="shared" si="28"/>
        <v>17469897.024999999</v>
      </c>
      <c r="G77" s="6">
        <f t="shared" si="28"/>
        <v>2619000</v>
      </c>
      <c r="H77" s="6">
        <f t="shared" si="28"/>
        <v>0</v>
      </c>
      <c r="I77" s="6">
        <f t="shared" si="28"/>
        <v>196425</v>
      </c>
      <c r="J77" s="6">
        <f t="shared" si="28"/>
        <v>536196126.2592001</v>
      </c>
      <c r="K77" s="6">
        <f t="shared" si="28"/>
        <v>342529087.84920007</v>
      </c>
      <c r="L77" s="439"/>
      <c r="M77" s="6"/>
    </row>
    <row r="78" spans="1:13" ht="13">
      <c r="A78" s="2">
        <f t="shared" si="6"/>
        <v>53</v>
      </c>
      <c r="B78" s="329" t="s">
        <v>388</v>
      </c>
      <c r="C78" s="330">
        <v>2027</v>
      </c>
      <c r="D78" s="6">
        <f t="shared" ref="D78:K78" si="29">D112+D145+D178+D211+D244+D277+D310+D343+D376+D409+D442+D475+D508</f>
        <v>95176430.181999996</v>
      </c>
      <c r="E78" s="6">
        <f t="shared" si="29"/>
        <v>7138232.2636499992</v>
      </c>
      <c r="F78" s="6">
        <f t="shared" si="29"/>
        <v>102314662.44564998</v>
      </c>
      <c r="G78" s="6">
        <f t="shared" si="29"/>
        <v>40317042.810000002</v>
      </c>
      <c r="H78" s="6">
        <f t="shared" si="29"/>
        <v>997042.81</v>
      </c>
      <c r="I78" s="6">
        <f t="shared" si="29"/>
        <v>2949000</v>
      </c>
      <c r="J78" s="6">
        <f t="shared" si="29"/>
        <v>595244745.89485013</v>
      </c>
      <c r="K78" s="53">
        <f t="shared" si="29"/>
        <v>401577707.48485005</v>
      </c>
      <c r="L78" s="440"/>
      <c r="M78" s="6"/>
    </row>
    <row r="79" spans="1:13" ht="13">
      <c r="A79" s="2">
        <f t="shared" si="6"/>
        <v>54</v>
      </c>
      <c r="C79" s="351" t="s">
        <v>1095</v>
      </c>
      <c r="K79" s="42">
        <f>AVERAGE(K66:K78)</f>
        <v>282467653.9161731</v>
      </c>
      <c r="L79" s="441"/>
    </row>
    <row r="81" spans="1:11" ht="13">
      <c r="B81" s="334" t="s">
        <v>1096</v>
      </c>
      <c r="F81" s="39" t="s">
        <v>200</v>
      </c>
      <c r="G81" s="240" t="s">
        <v>1097</v>
      </c>
      <c r="H81" s="54"/>
    </row>
    <row r="82" spans="1:11" ht="13">
      <c r="B82" s="34" t="s">
        <v>1098</v>
      </c>
      <c r="D82" s="1207" t="s">
        <v>1060</v>
      </c>
      <c r="E82" s="1207"/>
    </row>
    <row r="83" spans="1:11" s="3" customFormat="1" ht="13">
      <c r="D83" s="3" t="s">
        <v>345</v>
      </c>
      <c r="E83" s="3" t="s">
        <v>346</v>
      </c>
      <c r="F83" s="3" t="s">
        <v>347</v>
      </c>
      <c r="G83" s="3" t="s">
        <v>348</v>
      </c>
      <c r="H83" s="3" t="s">
        <v>349</v>
      </c>
      <c r="I83" s="3" t="s">
        <v>350</v>
      </c>
      <c r="J83" s="3" t="s">
        <v>351</v>
      </c>
      <c r="K83" s="3" t="s">
        <v>352</v>
      </c>
    </row>
    <row r="84" spans="1:11" ht="26.25" customHeight="1">
      <c r="D84" s="48"/>
      <c r="E84" s="352" t="s">
        <v>1099</v>
      </c>
      <c r="F84" s="239" t="s">
        <v>1100</v>
      </c>
      <c r="G84" s="239"/>
      <c r="H84" s="48"/>
      <c r="I84" s="352" t="s">
        <v>1101</v>
      </c>
      <c r="J84" s="352" t="s">
        <v>1102</v>
      </c>
      <c r="K84" s="352" t="s">
        <v>1103</v>
      </c>
    </row>
    <row r="85" spans="1:11" ht="13">
      <c r="D85" s="48"/>
      <c r="E85" s="353"/>
      <c r="F85" s="353"/>
      <c r="G85" s="2" t="str">
        <f>G51</f>
        <v>Unloaded</v>
      </c>
      <c r="H85" s="48"/>
      <c r="I85" s="353"/>
      <c r="J85" s="353"/>
      <c r="K85" s="2"/>
    </row>
    <row r="86" spans="1:11" s="2" customFormat="1" ht="13">
      <c r="D86" s="2" t="str">
        <f>D$52</f>
        <v>Forecast</v>
      </c>
      <c r="E86" s="2" t="str">
        <f t="shared" ref="E86:J86" si="30">E$52</f>
        <v>Corporate</v>
      </c>
      <c r="F86" s="2" t="str">
        <f t="shared" si="30"/>
        <v xml:space="preserve">Total </v>
      </c>
      <c r="G86" s="2" t="str">
        <f>G52</f>
        <v>Total</v>
      </c>
      <c r="H86" s="2" t="str">
        <f t="shared" si="30"/>
        <v>Prior Period</v>
      </c>
      <c r="I86" s="2" t="str">
        <f t="shared" si="30"/>
        <v>Over Heads</v>
      </c>
      <c r="J86" s="2" t="str">
        <f t="shared" si="30"/>
        <v>Forecast</v>
      </c>
      <c r="K86" s="2" t="str">
        <f>K$52</f>
        <v>Forecast Period</v>
      </c>
    </row>
    <row r="87" spans="1:11" ht="13">
      <c r="A87" s="30" t="s">
        <v>282</v>
      </c>
      <c r="B87" s="328" t="s">
        <v>380</v>
      </c>
      <c r="C87" s="328" t="s">
        <v>381</v>
      </c>
      <c r="D87" s="3" t="str">
        <f>D$53</f>
        <v>Expenditures</v>
      </c>
      <c r="E87" s="3" t="str">
        <f t="shared" ref="E87:J87" si="31">E$53</f>
        <v>Overheads</v>
      </c>
      <c r="F87" s="3" t="str">
        <f t="shared" si="31"/>
        <v>CWIP Exp</v>
      </c>
      <c r="G87" s="3" t="str">
        <f>G53</f>
        <v>Plant Adds</v>
      </c>
      <c r="H87" s="3" t="str">
        <f t="shared" si="31"/>
        <v>CWIP Closed</v>
      </c>
      <c r="I87" s="3" t="str">
        <f t="shared" si="31"/>
        <v>Closed to PIS</v>
      </c>
      <c r="J87" s="3" t="str">
        <f t="shared" si="31"/>
        <v>Period CWIP</v>
      </c>
      <c r="K87" s="3" t="str">
        <f>K$53</f>
        <v>Incremental CWIP</v>
      </c>
    </row>
    <row r="88" spans="1:11" ht="13">
      <c r="A88" s="2">
        <f>A79+1</f>
        <v>55</v>
      </c>
      <c r="B88" s="329" t="s">
        <v>388</v>
      </c>
      <c r="C88" s="330">
        <v>2025</v>
      </c>
      <c r="D88" s="239" t="s">
        <v>389</v>
      </c>
      <c r="E88" s="239" t="s">
        <v>389</v>
      </c>
      <c r="F88" s="239" t="s">
        <v>389</v>
      </c>
      <c r="G88" s="239" t="s">
        <v>389</v>
      </c>
      <c r="H88" s="239" t="s">
        <v>389</v>
      </c>
      <c r="I88" s="239" t="s">
        <v>389</v>
      </c>
      <c r="J88" s="6">
        <f>E25</f>
        <v>0</v>
      </c>
      <c r="K88" s="239" t="s">
        <v>389</v>
      </c>
    </row>
    <row r="89" spans="1:11" ht="13">
      <c r="A89" s="2">
        <f>A88+1</f>
        <v>56</v>
      </c>
      <c r="B89" s="329" t="s">
        <v>390</v>
      </c>
      <c r="C89" s="330">
        <v>2026</v>
      </c>
      <c r="D89" s="59">
        <v>0</v>
      </c>
      <c r="E89" s="6">
        <f>D89*'16-PlantAdditions'!$E$103</f>
        <v>0</v>
      </c>
      <c r="F89" s="6">
        <f>E89+D89</f>
        <v>0</v>
      </c>
      <c r="G89" s="59">
        <v>0</v>
      </c>
      <c r="H89" s="59">
        <v>0</v>
      </c>
      <c r="I89" s="6">
        <f>(G89-H89)*'16-PlantAdditions'!$E$103</f>
        <v>0</v>
      </c>
      <c r="J89" s="6">
        <f>J88+F89-G89-I89</f>
        <v>0</v>
      </c>
      <c r="K89" s="6">
        <f>J89-$J$88</f>
        <v>0</v>
      </c>
    </row>
    <row r="90" spans="1:11" ht="13">
      <c r="A90" s="2">
        <f t="shared" ref="A90:A108" si="32">A89+1</f>
        <v>57</v>
      </c>
      <c r="B90" s="329" t="s">
        <v>391</v>
      </c>
      <c r="C90" s="330">
        <v>2026</v>
      </c>
      <c r="D90" s="59">
        <v>0</v>
      </c>
      <c r="E90" s="6">
        <f>D90*'16-PlantAdditions'!$E$103</f>
        <v>0</v>
      </c>
      <c r="F90" s="6">
        <f t="shared" ref="F90:F112" si="33">E90+D90</f>
        <v>0</v>
      </c>
      <c r="G90" s="59">
        <v>0</v>
      </c>
      <c r="H90" s="59">
        <v>0</v>
      </c>
      <c r="I90" s="6">
        <f>(G90-H90)*'16-PlantAdditions'!$E$103</f>
        <v>0</v>
      </c>
      <c r="J90" s="6">
        <f t="shared" ref="J90:J108" si="34">J89+F90-G90-I90</f>
        <v>0</v>
      </c>
      <c r="K90" s="6">
        <f t="shared" ref="K90:K112" si="35">J90-$J$88</f>
        <v>0</v>
      </c>
    </row>
    <row r="91" spans="1:11" ht="13">
      <c r="A91" s="2">
        <f t="shared" si="32"/>
        <v>58</v>
      </c>
      <c r="B91" s="329" t="s">
        <v>392</v>
      </c>
      <c r="C91" s="330">
        <v>2026</v>
      </c>
      <c r="D91" s="59">
        <v>0</v>
      </c>
      <c r="E91" s="6">
        <f>D91*'16-PlantAdditions'!$E$103</f>
        <v>0</v>
      </c>
      <c r="F91" s="6">
        <f t="shared" si="33"/>
        <v>0</v>
      </c>
      <c r="G91" s="59">
        <v>0</v>
      </c>
      <c r="H91" s="59">
        <v>0</v>
      </c>
      <c r="I91" s="6">
        <f>(G91-H91)*'16-PlantAdditions'!$E$103</f>
        <v>0</v>
      </c>
      <c r="J91" s="6">
        <f t="shared" si="34"/>
        <v>0</v>
      </c>
      <c r="K91" s="6">
        <f>J91-$J$88</f>
        <v>0</v>
      </c>
    </row>
    <row r="92" spans="1:11" ht="13">
      <c r="A92" s="2">
        <f t="shared" si="32"/>
        <v>59</v>
      </c>
      <c r="B92" s="329" t="s">
        <v>393</v>
      </c>
      <c r="C92" s="330">
        <v>2026</v>
      </c>
      <c r="D92" s="59">
        <v>0</v>
      </c>
      <c r="E92" s="6">
        <f>D92*'16-PlantAdditions'!$E$103</f>
        <v>0</v>
      </c>
      <c r="F92" s="6">
        <f t="shared" si="33"/>
        <v>0</v>
      </c>
      <c r="G92" s="59">
        <v>0</v>
      </c>
      <c r="H92" s="59">
        <v>0</v>
      </c>
      <c r="I92" s="6">
        <f>(G92-H92)*'16-PlantAdditions'!$E$103</f>
        <v>0</v>
      </c>
      <c r="J92" s="6">
        <f>J91+F92-G92-I92</f>
        <v>0</v>
      </c>
      <c r="K92" s="6">
        <f>J92-$J$88</f>
        <v>0</v>
      </c>
    </row>
    <row r="93" spans="1:11" ht="13">
      <c r="A93" s="2">
        <f t="shared" si="32"/>
        <v>60</v>
      </c>
      <c r="B93" s="329" t="s">
        <v>394</v>
      </c>
      <c r="C93" s="330">
        <v>2026</v>
      </c>
      <c r="D93" s="59">
        <v>0</v>
      </c>
      <c r="E93" s="6">
        <f>D93*'16-PlantAdditions'!$E$103</f>
        <v>0</v>
      </c>
      <c r="F93" s="6">
        <f t="shared" si="33"/>
        <v>0</v>
      </c>
      <c r="G93" s="59">
        <v>0</v>
      </c>
      <c r="H93" s="59">
        <v>0</v>
      </c>
      <c r="I93" s="6">
        <f>(G93-H93)*'16-PlantAdditions'!$E$103</f>
        <v>0</v>
      </c>
      <c r="J93" s="6">
        <f t="shared" si="34"/>
        <v>0</v>
      </c>
      <c r="K93" s="6">
        <f t="shared" si="35"/>
        <v>0</v>
      </c>
    </row>
    <row r="94" spans="1:11" ht="13">
      <c r="A94" s="2">
        <f t="shared" si="32"/>
        <v>61</v>
      </c>
      <c r="B94" s="329" t="s">
        <v>608</v>
      </c>
      <c r="C94" s="330">
        <v>2026</v>
      </c>
      <c r="D94" s="59">
        <v>0</v>
      </c>
      <c r="E94" s="6">
        <f>D94*'16-PlantAdditions'!$E$103</f>
        <v>0</v>
      </c>
      <c r="F94" s="6">
        <f t="shared" si="33"/>
        <v>0</v>
      </c>
      <c r="G94" s="59">
        <v>0</v>
      </c>
      <c r="H94" s="59">
        <v>0</v>
      </c>
      <c r="I94" s="6">
        <f>(G94-H94)*'16-PlantAdditions'!$E$103</f>
        <v>0</v>
      </c>
      <c r="J94" s="6">
        <f t="shared" si="34"/>
        <v>0</v>
      </c>
      <c r="K94" s="6">
        <f t="shared" si="35"/>
        <v>0</v>
      </c>
    </row>
    <row r="95" spans="1:11" ht="13">
      <c r="A95" s="2">
        <f t="shared" si="32"/>
        <v>62</v>
      </c>
      <c r="B95" s="329" t="s">
        <v>396</v>
      </c>
      <c r="C95" s="330">
        <v>2026</v>
      </c>
      <c r="D95" s="59">
        <v>0</v>
      </c>
      <c r="E95" s="6">
        <f>D95*'16-PlantAdditions'!$E$103</f>
        <v>0</v>
      </c>
      <c r="F95" s="6">
        <f t="shared" si="33"/>
        <v>0</v>
      </c>
      <c r="G95" s="59">
        <v>0</v>
      </c>
      <c r="H95" s="59">
        <v>0</v>
      </c>
      <c r="I95" s="6">
        <f>(G95-H95)*'16-PlantAdditions'!$E$103</f>
        <v>0</v>
      </c>
      <c r="J95" s="6">
        <f t="shared" si="34"/>
        <v>0</v>
      </c>
      <c r="K95" s="6">
        <f t="shared" si="35"/>
        <v>0</v>
      </c>
    </row>
    <row r="96" spans="1:11" ht="13">
      <c r="A96" s="2">
        <f t="shared" si="32"/>
        <v>63</v>
      </c>
      <c r="B96" s="329" t="s">
        <v>397</v>
      </c>
      <c r="C96" s="330">
        <v>2026</v>
      </c>
      <c r="D96" s="59">
        <v>0</v>
      </c>
      <c r="E96" s="6">
        <f>D96*'16-PlantAdditions'!$E$103</f>
        <v>0</v>
      </c>
      <c r="F96" s="6">
        <f t="shared" si="33"/>
        <v>0</v>
      </c>
      <c r="G96" s="59">
        <v>0</v>
      </c>
      <c r="H96" s="59">
        <v>0</v>
      </c>
      <c r="I96" s="6">
        <f>(G96-H96)*'16-PlantAdditions'!$E$103</f>
        <v>0</v>
      </c>
      <c r="J96" s="6">
        <f t="shared" si="34"/>
        <v>0</v>
      </c>
      <c r="K96" s="6">
        <f t="shared" si="35"/>
        <v>0</v>
      </c>
    </row>
    <row r="97" spans="1:11" ht="13">
      <c r="A97" s="2">
        <f t="shared" si="32"/>
        <v>64</v>
      </c>
      <c r="B97" s="329" t="s">
        <v>398</v>
      </c>
      <c r="C97" s="330">
        <v>2026</v>
      </c>
      <c r="D97" s="59">
        <v>0</v>
      </c>
      <c r="E97" s="6">
        <f>D97*'16-PlantAdditions'!$E$103</f>
        <v>0</v>
      </c>
      <c r="F97" s="6">
        <f t="shared" si="33"/>
        <v>0</v>
      </c>
      <c r="G97" s="59">
        <v>0</v>
      </c>
      <c r="H97" s="59">
        <v>0</v>
      </c>
      <c r="I97" s="6">
        <f>(G97-H97)*'16-PlantAdditions'!$E$103</f>
        <v>0</v>
      </c>
      <c r="J97" s="6">
        <f t="shared" si="34"/>
        <v>0</v>
      </c>
      <c r="K97" s="6">
        <f t="shared" si="35"/>
        <v>0</v>
      </c>
    </row>
    <row r="98" spans="1:11" ht="13">
      <c r="A98" s="2">
        <f t="shared" si="32"/>
        <v>65</v>
      </c>
      <c r="B98" s="329" t="s">
        <v>399</v>
      </c>
      <c r="C98" s="330">
        <v>2026</v>
      </c>
      <c r="D98" s="59">
        <v>0</v>
      </c>
      <c r="E98" s="6">
        <f>D98*'16-PlantAdditions'!$E$103</f>
        <v>0</v>
      </c>
      <c r="F98" s="6">
        <f t="shared" si="33"/>
        <v>0</v>
      </c>
      <c r="G98" s="59">
        <v>0</v>
      </c>
      <c r="H98" s="59">
        <v>0</v>
      </c>
      <c r="I98" s="6">
        <f>(G98-H98)*'16-PlantAdditions'!$E$103</f>
        <v>0</v>
      </c>
      <c r="J98" s="6">
        <f t="shared" si="34"/>
        <v>0</v>
      </c>
      <c r="K98" s="6">
        <f t="shared" si="35"/>
        <v>0</v>
      </c>
    </row>
    <row r="99" spans="1:11" ht="13">
      <c r="A99" s="2">
        <f t="shared" si="32"/>
        <v>66</v>
      </c>
      <c r="B99" s="329" t="s">
        <v>400</v>
      </c>
      <c r="C99" s="330">
        <v>2026</v>
      </c>
      <c r="D99" s="59">
        <v>0</v>
      </c>
      <c r="E99" s="6">
        <f>D99*'16-PlantAdditions'!$E$103</f>
        <v>0</v>
      </c>
      <c r="F99" s="6">
        <f t="shared" si="33"/>
        <v>0</v>
      </c>
      <c r="G99" s="59">
        <v>0</v>
      </c>
      <c r="H99" s="59">
        <v>0</v>
      </c>
      <c r="I99" s="6">
        <f>(G99-H99)*'16-PlantAdditions'!$E$103</f>
        <v>0</v>
      </c>
      <c r="J99" s="6">
        <f t="shared" si="34"/>
        <v>0</v>
      </c>
      <c r="K99" s="6">
        <f t="shared" si="35"/>
        <v>0</v>
      </c>
    </row>
    <row r="100" spans="1:11" ht="13">
      <c r="A100" s="2">
        <f t="shared" si="32"/>
        <v>67</v>
      </c>
      <c r="B100" s="329" t="s">
        <v>388</v>
      </c>
      <c r="C100" s="330">
        <v>2026</v>
      </c>
      <c r="D100" s="59">
        <v>0</v>
      </c>
      <c r="E100" s="6">
        <f>D100*'16-PlantAdditions'!$E$103</f>
        <v>0</v>
      </c>
      <c r="F100" s="6">
        <f t="shared" si="33"/>
        <v>0</v>
      </c>
      <c r="G100" s="59">
        <v>0</v>
      </c>
      <c r="H100" s="59">
        <v>0</v>
      </c>
      <c r="I100" s="6">
        <f>(G100-H100)*'16-PlantAdditions'!$E$103</f>
        <v>0</v>
      </c>
      <c r="J100" s="6">
        <f t="shared" si="34"/>
        <v>0</v>
      </c>
      <c r="K100" s="6">
        <f t="shared" si="35"/>
        <v>0</v>
      </c>
    </row>
    <row r="101" spans="1:11" ht="13">
      <c r="A101" s="2">
        <f t="shared" si="32"/>
        <v>68</v>
      </c>
      <c r="B101" s="329" t="s">
        <v>390</v>
      </c>
      <c r="C101" s="330">
        <v>2027</v>
      </c>
      <c r="D101" s="59">
        <v>0</v>
      </c>
      <c r="E101" s="6">
        <f>D101*'16-PlantAdditions'!$E$103</f>
        <v>0</v>
      </c>
      <c r="F101" s="6">
        <f t="shared" si="33"/>
        <v>0</v>
      </c>
      <c r="G101" s="59">
        <v>0</v>
      </c>
      <c r="H101" s="59">
        <v>0</v>
      </c>
      <c r="I101" s="6">
        <f>(G101-H101)*'16-PlantAdditions'!$E$103</f>
        <v>0</v>
      </c>
      <c r="J101" s="6">
        <f t="shared" si="34"/>
        <v>0</v>
      </c>
      <c r="K101" s="6">
        <f t="shared" si="35"/>
        <v>0</v>
      </c>
    </row>
    <row r="102" spans="1:11" ht="13">
      <c r="A102" s="2">
        <f t="shared" si="32"/>
        <v>69</v>
      </c>
      <c r="B102" s="329" t="s">
        <v>391</v>
      </c>
      <c r="C102" s="330">
        <v>2027</v>
      </c>
      <c r="D102" s="59">
        <v>0</v>
      </c>
      <c r="E102" s="6">
        <f>D102*'16-PlantAdditions'!$E$103</f>
        <v>0</v>
      </c>
      <c r="F102" s="6">
        <f t="shared" si="33"/>
        <v>0</v>
      </c>
      <c r="G102" s="59">
        <v>0</v>
      </c>
      <c r="H102" s="59">
        <v>0</v>
      </c>
      <c r="I102" s="6">
        <f>(G102-H102)*'16-PlantAdditions'!$E$103</f>
        <v>0</v>
      </c>
      <c r="J102" s="6">
        <f t="shared" si="34"/>
        <v>0</v>
      </c>
      <c r="K102" s="6">
        <f t="shared" si="35"/>
        <v>0</v>
      </c>
    </row>
    <row r="103" spans="1:11" ht="13">
      <c r="A103" s="2">
        <f t="shared" si="32"/>
        <v>70</v>
      </c>
      <c r="B103" s="329" t="s">
        <v>392</v>
      </c>
      <c r="C103" s="330">
        <v>2027</v>
      </c>
      <c r="D103" s="59">
        <v>0</v>
      </c>
      <c r="E103" s="6">
        <f>D103*'16-PlantAdditions'!$E$103</f>
        <v>0</v>
      </c>
      <c r="F103" s="6">
        <f t="shared" si="33"/>
        <v>0</v>
      </c>
      <c r="G103" s="59">
        <v>0</v>
      </c>
      <c r="H103" s="59">
        <v>0</v>
      </c>
      <c r="I103" s="6">
        <f>(G103-H103)*'16-PlantAdditions'!$E$103</f>
        <v>0</v>
      </c>
      <c r="J103" s="6">
        <f t="shared" si="34"/>
        <v>0</v>
      </c>
      <c r="K103" s="6">
        <f t="shared" si="35"/>
        <v>0</v>
      </c>
    </row>
    <row r="104" spans="1:11" ht="13">
      <c r="A104" s="2">
        <f t="shared" si="32"/>
        <v>71</v>
      </c>
      <c r="B104" s="329" t="s">
        <v>393</v>
      </c>
      <c r="C104" s="330">
        <v>2027</v>
      </c>
      <c r="D104" s="59">
        <v>0</v>
      </c>
      <c r="E104" s="6">
        <f>D104*'16-PlantAdditions'!$E$103</f>
        <v>0</v>
      </c>
      <c r="F104" s="6">
        <f t="shared" si="33"/>
        <v>0</v>
      </c>
      <c r="G104" s="59">
        <v>0</v>
      </c>
      <c r="H104" s="59">
        <v>0</v>
      </c>
      <c r="I104" s="6">
        <f>(G104-H104)*'16-PlantAdditions'!$E$103</f>
        <v>0</v>
      </c>
      <c r="J104" s="6">
        <f t="shared" si="34"/>
        <v>0</v>
      </c>
      <c r="K104" s="6">
        <f t="shared" si="35"/>
        <v>0</v>
      </c>
    </row>
    <row r="105" spans="1:11" ht="13">
      <c r="A105" s="2">
        <f t="shared" si="32"/>
        <v>72</v>
      </c>
      <c r="B105" s="329" t="s">
        <v>394</v>
      </c>
      <c r="C105" s="330">
        <v>2027</v>
      </c>
      <c r="D105" s="59">
        <v>0</v>
      </c>
      <c r="E105" s="6">
        <f>D105*'16-PlantAdditions'!$E$103</f>
        <v>0</v>
      </c>
      <c r="F105" s="6">
        <f t="shared" si="33"/>
        <v>0</v>
      </c>
      <c r="G105" s="59">
        <v>0</v>
      </c>
      <c r="H105" s="59">
        <v>0</v>
      </c>
      <c r="I105" s="6">
        <f>(G105-H105)*'16-PlantAdditions'!$E$103</f>
        <v>0</v>
      </c>
      <c r="J105" s="6">
        <f t="shared" si="34"/>
        <v>0</v>
      </c>
      <c r="K105" s="6">
        <f t="shared" si="35"/>
        <v>0</v>
      </c>
    </row>
    <row r="106" spans="1:11" ht="13">
      <c r="A106" s="2">
        <f t="shared" si="32"/>
        <v>73</v>
      </c>
      <c r="B106" s="329" t="s">
        <v>608</v>
      </c>
      <c r="C106" s="330">
        <v>2027</v>
      </c>
      <c r="D106" s="59">
        <v>0</v>
      </c>
      <c r="E106" s="6">
        <f>D106*'16-PlantAdditions'!$E$103</f>
        <v>0</v>
      </c>
      <c r="F106" s="6">
        <f t="shared" si="33"/>
        <v>0</v>
      </c>
      <c r="G106" s="59">
        <v>0</v>
      </c>
      <c r="H106" s="59">
        <v>0</v>
      </c>
      <c r="I106" s="6">
        <f>(G106-H106)*'16-PlantAdditions'!$E$103</f>
        <v>0</v>
      </c>
      <c r="J106" s="6">
        <f t="shared" si="34"/>
        <v>0</v>
      </c>
      <c r="K106" s="6">
        <f t="shared" si="35"/>
        <v>0</v>
      </c>
    </row>
    <row r="107" spans="1:11" ht="13">
      <c r="A107" s="2">
        <f t="shared" si="32"/>
        <v>74</v>
      </c>
      <c r="B107" s="329" t="s">
        <v>396</v>
      </c>
      <c r="C107" s="330">
        <v>2027</v>
      </c>
      <c r="D107" s="59">
        <v>0</v>
      </c>
      <c r="E107" s="6">
        <f>D107*'16-PlantAdditions'!$E$103</f>
        <v>0</v>
      </c>
      <c r="F107" s="6">
        <f t="shared" si="33"/>
        <v>0</v>
      </c>
      <c r="G107" s="59">
        <v>0</v>
      </c>
      <c r="H107" s="59">
        <v>0</v>
      </c>
      <c r="I107" s="6">
        <f>(G107-H107)*'16-PlantAdditions'!$E$103</f>
        <v>0</v>
      </c>
      <c r="J107" s="6">
        <f t="shared" si="34"/>
        <v>0</v>
      </c>
      <c r="K107" s="6">
        <f t="shared" si="35"/>
        <v>0</v>
      </c>
    </row>
    <row r="108" spans="1:11" ht="13">
      <c r="A108" s="2">
        <f t="shared" si="32"/>
        <v>75</v>
      </c>
      <c r="B108" s="329" t="s">
        <v>397</v>
      </c>
      <c r="C108" s="330">
        <v>2027</v>
      </c>
      <c r="D108" s="59">
        <v>0</v>
      </c>
      <c r="E108" s="6">
        <f>D108*'16-PlantAdditions'!$E$103</f>
        <v>0</v>
      </c>
      <c r="F108" s="6">
        <f t="shared" si="33"/>
        <v>0</v>
      </c>
      <c r="G108" s="59">
        <v>0</v>
      </c>
      <c r="H108" s="59">
        <v>0</v>
      </c>
      <c r="I108" s="6">
        <f>(G108-H108)*'16-PlantAdditions'!$E$103</f>
        <v>0</v>
      </c>
      <c r="J108" s="6">
        <f t="shared" si="34"/>
        <v>0</v>
      </c>
      <c r="K108" s="6">
        <f t="shared" si="35"/>
        <v>0</v>
      </c>
    </row>
    <row r="109" spans="1:11" ht="13">
      <c r="A109" s="2">
        <f>A108+1</f>
        <v>76</v>
      </c>
      <c r="B109" s="329" t="s">
        <v>398</v>
      </c>
      <c r="C109" s="330">
        <v>2027</v>
      </c>
      <c r="D109" s="59">
        <v>0</v>
      </c>
      <c r="E109" s="6">
        <f>D109*'16-PlantAdditions'!$E$103</f>
        <v>0</v>
      </c>
      <c r="F109" s="6">
        <f t="shared" si="33"/>
        <v>0</v>
      </c>
      <c r="G109" s="59">
        <v>0</v>
      </c>
      <c r="H109" s="59">
        <v>0</v>
      </c>
      <c r="I109" s="6">
        <f>(G109-H109)*'16-PlantAdditions'!$E$103</f>
        <v>0</v>
      </c>
      <c r="J109" s="6">
        <f>J108+F109-G109-I109</f>
        <v>0</v>
      </c>
      <c r="K109" s="6">
        <f t="shared" si="35"/>
        <v>0</v>
      </c>
    </row>
    <row r="110" spans="1:11" ht="13">
      <c r="A110" s="2">
        <f t="shared" ref="A110:A113" si="36">A109+1</f>
        <v>77</v>
      </c>
      <c r="B110" s="329" t="s">
        <v>399</v>
      </c>
      <c r="C110" s="330">
        <v>2027</v>
      </c>
      <c r="D110" s="59">
        <v>0</v>
      </c>
      <c r="E110" s="6">
        <f>D110*'16-PlantAdditions'!$E$103</f>
        <v>0</v>
      </c>
      <c r="F110" s="6">
        <f t="shared" si="33"/>
        <v>0</v>
      </c>
      <c r="G110" s="59">
        <v>0</v>
      </c>
      <c r="H110" s="59">
        <v>0</v>
      </c>
      <c r="I110" s="6">
        <f>(G110-H110)*'16-PlantAdditions'!$E$103</f>
        <v>0</v>
      </c>
      <c r="J110" s="6">
        <f t="shared" ref="J110:J112" si="37">J109+F110-G110-I110</f>
        <v>0</v>
      </c>
      <c r="K110" s="6">
        <f t="shared" si="35"/>
        <v>0</v>
      </c>
    </row>
    <row r="111" spans="1:11" ht="13">
      <c r="A111" s="2">
        <f t="shared" si="36"/>
        <v>78</v>
      </c>
      <c r="B111" s="329" t="s">
        <v>400</v>
      </c>
      <c r="C111" s="330">
        <v>2027</v>
      </c>
      <c r="D111" s="59">
        <v>0</v>
      </c>
      <c r="E111" s="6">
        <f>D111*'16-PlantAdditions'!$E$103</f>
        <v>0</v>
      </c>
      <c r="F111" s="6">
        <f t="shared" si="33"/>
        <v>0</v>
      </c>
      <c r="G111" s="59">
        <v>0</v>
      </c>
      <c r="H111" s="59">
        <v>0</v>
      </c>
      <c r="I111" s="6">
        <f>(G111-H111)*'16-PlantAdditions'!$E$103</f>
        <v>0</v>
      </c>
      <c r="J111" s="6">
        <f t="shared" si="37"/>
        <v>0</v>
      </c>
      <c r="K111" s="6">
        <f t="shared" si="35"/>
        <v>0</v>
      </c>
    </row>
    <row r="112" spans="1:11" ht="13">
      <c r="A112" s="2">
        <f t="shared" si="36"/>
        <v>79</v>
      </c>
      <c r="B112" s="329" t="s">
        <v>388</v>
      </c>
      <c r="C112" s="330">
        <v>2027</v>
      </c>
      <c r="D112" s="59">
        <v>0</v>
      </c>
      <c r="E112" s="6">
        <f>D112*'16-PlantAdditions'!$E$103</f>
        <v>0</v>
      </c>
      <c r="F112" s="6">
        <f t="shared" si="33"/>
        <v>0</v>
      </c>
      <c r="G112" s="59">
        <v>0</v>
      </c>
      <c r="H112" s="59">
        <v>0</v>
      </c>
      <c r="I112" s="6">
        <f>(G112-H112)*'16-PlantAdditions'!$E$103</f>
        <v>0</v>
      </c>
      <c r="J112" s="6">
        <f t="shared" si="37"/>
        <v>0</v>
      </c>
      <c r="K112" s="53">
        <f t="shared" si="35"/>
        <v>0</v>
      </c>
    </row>
    <row r="113" spans="1:11" ht="13">
      <c r="A113" s="2">
        <f t="shared" si="36"/>
        <v>80</v>
      </c>
      <c r="C113" s="351" t="s">
        <v>1095</v>
      </c>
      <c r="K113" s="42">
        <f>AVERAGE(K100:K112)</f>
        <v>0</v>
      </c>
    </row>
    <row r="114" spans="1:11" ht="13">
      <c r="A114" s="2"/>
      <c r="C114" s="351"/>
      <c r="K114" s="42"/>
    </row>
    <row r="115" spans="1:11" ht="13">
      <c r="B115" s="34" t="s">
        <v>1104</v>
      </c>
      <c r="D115" s="1207" t="s">
        <v>1105</v>
      </c>
      <c r="E115" s="1207"/>
    </row>
    <row r="116" spans="1:11" ht="13">
      <c r="A116" s="3"/>
      <c r="B116" s="3"/>
      <c r="C116" s="3"/>
      <c r="D116" s="3" t="s">
        <v>345</v>
      </c>
      <c r="E116" s="3" t="s">
        <v>346</v>
      </c>
      <c r="F116" s="3" t="s">
        <v>347</v>
      </c>
      <c r="G116" s="3" t="s">
        <v>348</v>
      </c>
      <c r="H116" s="3" t="s">
        <v>349</v>
      </c>
      <c r="I116" s="3" t="s">
        <v>350</v>
      </c>
      <c r="J116" s="3" t="s">
        <v>351</v>
      </c>
      <c r="K116" s="3" t="s">
        <v>352</v>
      </c>
    </row>
    <row r="117" spans="1:11" ht="25.5">
      <c r="D117" s="48"/>
      <c r="E117" s="352" t="s">
        <v>1099</v>
      </c>
      <c r="F117" s="239" t="s">
        <v>1100</v>
      </c>
      <c r="G117" s="239"/>
      <c r="H117" s="48"/>
      <c r="I117" s="352" t="s">
        <v>1101</v>
      </c>
      <c r="J117" s="352" t="s">
        <v>1102</v>
      </c>
      <c r="K117" s="352" t="s">
        <v>1103</v>
      </c>
    </row>
    <row r="118" spans="1:11" ht="13">
      <c r="D118" s="48"/>
      <c r="E118" s="48"/>
      <c r="F118" s="48"/>
      <c r="G118" s="2" t="str">
        <f>G51</f>
        <v>Unloaded</v>
      </c>
      <c r="H118" s="48"/>
      <c r="I118" s="48"/>
    </row>
    <row r="119" spans="1:11" ht="13">
      <c r="A119" s="2"/>
      <c r="B119" s="2"/>
      <c r="C119" s="2"/>
      <c r="D119" s="2" t="str">
        <f>D$52</f>
        <v>Forecast</v>
      </c>
      <c r="E119" s="2" t="str">
        <f t="shared" ref="E119:J119" si="38">E$52</f>
        <v>Corporate</v>
      </c>
      <c r="F119" s="2" t="str">
        <f t="shared" si="38"/>
        <v xml:space="preserve">Total </v>
      </c>
      <c r="G119" s="2" t="str">
        <f>G52</f>
        <v>Total</v>
      </c>
      <c r="H119" s="2" t="str">
        <f t="shared" si="38"/>
        <v>Prior Period</v>
      </c>
      <c r="I119" s="2" t="str">
        <f t="shared" si="38"/>
        <v>Over Heads</v>
      </c>
      <c r="J119" s="2" t="str">
        <f t="shared" si="38"/>
        <v>Forecast</v>
      </c>
      <c r="K119" s="2" t="str">
        <f>K$52</f>
        <v>Forecast Period</v>
      </c>
    </row>
    <row r="120" spans="1:11" ht="13">
      <c r="A120" s="30" t="s">
        <v>282</v>
      </c>
      <c r="B120" s="328" t="s">
        <v>380</v>
      </c>
      <c r="C120" s="328" t="s">
        <v>381</v>
      </c>
      <c r="D120" s="3" t="str">
        <f>D$53</f>
        <v>Expenditures</v>
      </c>
      <c r="E120" s="3" t="str">
        <f t="shared" ref="E120:J120" si="39">E$53</f>
        <v>Overheads</v>
      </c>
      <c r="F120" s="3" t="str">
        <f t="shared" si="39"/>
        <v>CWIP Exp</v>
      </c>
      <c r="G120" s="3" t="str">
        <f>G53</f>
        <v>Plant Adds</v>
      </c>
      <c r="H120" s="3" t="str">
        <f t="shared" si="39"/>
        <v>CWIP Closed</v>
      </c>
      <c r="I120" s="3" t="str">
        <f t="shared" si="39"/>
        <v>Closed to PIS</v>
      </c>
      <c r="J120" s="3" t="str">
        <f t="shared" si="39"/>
        <v>Period CWIP</v>
      </c>
      <c r="K120" s="3" t="str">
        <f>K$53</f>
        <v>Incremental CWIP</v>
      </c>
    </row>
    <row r="121" spans="1:11" ht="13">
      <c r="A121" s="2">
        <f>A113+1</f>
        <v>81</v>
      </c>
      <c r="B121" s="329" t="s">
        <v>388</v>
      </c>
      <c r="C121" s="330">
        <v>2025</v>
      </c>
      <c r="D121" s="239" t="s">
        <v>389</v>
      </c>
      <c r="E121" s="239" t="s">
        <v>389</v>
      </c>
      <c r="F121" s="239" t="s">
        <v>389</v>
      </c>
      <c r="G121" s="239" t="s">
        <v>389</v>
      </c>
      <c r="H121" s="239" t="s">
        <v>389</v>
      </c>
      <c r="I121" s="239" t="s">
        <v>389</v>
      </c>
      <c r="J121" s="6">
        <f>F25</f>
        <v>0</v>
      </c>
      <c r="K121" s="239" t="s">
        <v>389</v>
      </c>
    </row>
    <row r="122" spans="1:11" ht="13">
      <c r="A122" s="2">
        <f>A121+1</f>
        <v>82</v>
      </c>
      <c r="B122" s="329" t="s">
        <v>390</v>
      </c>
      <c r="C122" s="330">
        <v>2026</v>
      </c>
      <c r="D122" s="59">
        <v>0</v>
      </c>
      <c r="E122" s="6">
        <f>D122*'16-PlantAdditions'!$E$103</f>
        <v>0</v>
      </c>
      <c r="F122" s="6">
        <f>E122+D122</f>
        <v>0</v>
      </c>
      <c r="G122" s="59">
        <v>0</v>
      </c>
      <c r="H122" s="59">
        <v>0</v>
      </c>
      <c r="I122" s="6">
        <f>(G122-H122)*'16-PlantAdditions'!$E$103</f>
        <v>0</v>
      </c>
      <c r="J122" s="6">
        <f>J121+F122-G122-I122</f>
        <v>0</v>
      </c>
      <c r="K122" s="235">
        <f>J122-$J$121</f>
        <v>0</v>
      </c>
    </row>
    <row r="123" spans="1:11" ht="13">
      <c r="A123" s="2">
        <f t="shared" ref="A123:A146" si="40">A122+1</f>
        <v>83</v>
      </c>
      <c r="B123" s="329" t="s">
        <v>391</v>
      </c>
      <c r="C123" s="330">
        <v>2026</v>
      </c>
      <c r="D123" s="59">
        <v>0</v>
      </c>
      <c r="E123" s="6">
        <f>D123*'16-PlantAdditions'!$E$103</f>
        <v>0</v>
      </c>
      <c r="F123" s="6">
        <f t="shared" ref="F123:F145" si="41">E123+D123</f>
        <v>0</v>
      </c>
      <c r="G123" s="59">
        <v>0</v>
      </c>
      <c r="H123" s="59">
        <v>0</v>
      </c>
      <c r="I123" s="6">
        <f>(G123-H123)*'16-PlantAdditions'!$E$103</f>
        <v>0</v>
      </c>
      <c r="J123" s="6">
        <f t="shared" ref="J123:J145" si="42">J122+F123-G123-I123</f>
        <v>0</v>
      </c>
      <c r="K123" s="235">
        <f t="shared" ref="K123:K145" si="43">J123-$J$121</f>
        <v>0</v>
      </c>
    </row>
    <row r="124" spans="1:11" ht="13">
      <c r="A124" s="2">
        <f t="shared" si="40"/>
        <v>84</v>
      </c>
      <c r="B124" s="329" t="s">
        <v>392</v>
      </c>
      <c r="C124" s="330">
        <v>2026</v>
      </c>
      <c r="D124" s="59">
        <v>0</v>
      </c>
      <c r="E124" s="6">
        <f>D124*'16-PlantAdditions'!$E$103</f>
        <v>0</v>
      </c>
      <c r="F124" s="6">
        <f t="shared" si="41"/>
        <v>0</v>
      </c>
      <c r="G124" s="59">
        <v>0</v>
      </c>
      <c r="H124" s="59">
        <v>0</v>
      </c>
      <c r="I124" s="6">
        <f>(G124-H124)*'16-PlantAdditions'!$E$103</f>
        <v>0</v>
      </c>
      <c r="J124" s="6">
        <f t="shared" si="42"/>
        <v>0</v>
      </c>
      <c r="K124" s="235">
        <f t="shared" si="43"/>
        <v>0</v>
      </c>
    </row>
    <row r="125" spans="1:11" ht="13">
      <c r="A125" s="2">
        <f t="shared" si="40"/>
        <v>85</v>
      </c>
      <c r="B125" s="329" t="s">
        <v>393</v>
      </c>
      <c r="C125" s="330">
        <v>2026</v>
      </c>
      <c r="D125" s="59">
        <v>0</v>
      </c>
      <c r="E125" s="6">
        <f>D125*'16-PlantAdditions'!$E$103</f>
        <v>0</v>
      </c>
      <c r="F125" s="6">
        <f t="shared" si="41"/>
        <v>0</v>
      </c>
      <c r="G125" s="59">
        <v>0</v>
      </c>
      <c r="H125" s="59">
        <v>0</v>
      </c>
      <c r="I125" s="6">
        <f>(G125-H125)*'16-PlantAdditions'!$E$103</f>
        <v>0</v>
      </c>
      <c r="J125" s="6">
        <f t="shared" si="42"/>
        <v>0</v>
      </c>
      <c r="K125" s="235">
        <f t="shared" si="43"/>
        <v>0</v>
      </c>
    </row>
    <row r="126" spans="1:11" ht="13">
      <c r="A126" s="2">
        <f t="shared" si="40"/>
        <v>86</v>
      </c>
      <c r="B126" s="329" t="s">
        <v>394</v>
      </c>
      <c r="C126" s="330">
        <v>2026</v>
      </c>
      <c r="D126" s="59">
        <v>0</v>
      </c>
      <c r="E126" s="6">
        <f>D126*'16-PlantAdditions'!$E$103</f>
        <v>0</v>
      </c>
      <c r="F126" s="6">
        <f t="shared" si="41"/>
        <v>0</v>
      </c>
      <c r="G126" s="59">
        <v>0</v>
      </c>
      <c r="H126" s="59">
        <v>0</v>
      </c>
      <c r="I126" s="6">
        <f>(G126-H126)*'16-PlantAdditions'!$E$103</f>
        <v>0</v>
      </c>
      <c r="J126" s="6">
        <f t="shared" si="42"/>
        <v>0</v>
      </c>
      <c r="K126" s="235">
        <f t="shared" si="43"/>
        <v>0</v>
      </c>
    </row>
    <row r="127" spans="1:11" ht="13">
      <c r="A127" s="2">
        <f t="shared" si="40"/>
        <v>87</v>
      </c>
      <c r="B127" s="329" t="s">
        <v>608</v>
      </c>
      <c r="C127" s="330">
        <v>2026</v>
      </c>
      <c r="D127" s="59">
        <v>0</v>
      </c>
      <c r="E127" s="6">
        <f>D127*'16-PlantAdditions'!$E$103</f>
        <v>0</v>
      </c>
      <c r="F127" s="6">
        <f t="shared" si="41"/>
        <v>0</v>
      </c>
      <c r="G127" s="59">
        <v>0</v>
      </c>
      <c r="H127" s="59">
        <v>0</v>
      </c>
      <c r="I127" s="6">
        <f>(G127-H127)*'16-PlantAdditions'!$E$103</f>
        <v>0</v>
      </c>
      <c r="J127" s="6">
        <f t="shared" si="42"/>
        <v>0</v>
      </c>
      <c r="K127" s="235">
        <f t="shared" si="43"/>
        <v>0</v>
      </c>
    </row>
    <row r="128" spans="1:11" ht="13">
      <c r="A128" s="2">
        <f t="shared" si="40"/>
        <v>88</v>
      </c>
      <c r="B128" s="329" t="s">
        <v>396</v>
      </c>
      <c r="C128" s="330">
        <v>2026</v>
      </c>
      <c r="D128" s="59">
        <v>0</v>
      </c>
      <c r="E128" s="6">
        <f>D128*'16-PlantAdditions'!$E$103</f>
        <v>0</v>
      </c>
      <c r="F128" s="6">
        <f t="shared" si="41"/>
        <v>0</v>
      </c>
      <c r="G128" s="59">
        <v>0</v>
      </c>
      <c r="H128" s="59">
        <v>0</v>
      </c>
      <c r="I128" s="6">
        <f>(G128-H128)*'16-PlantAdditions'!$E$103</f>
        <v>0</v>
      </c>
      <c r="J128" s="6">
        <f t="shared" si="42"/>
        <v>0</v>
      </c>
      <c r="K128" s="235">
        <f t="shared" si="43"/>
        <v>0</v>
      </c>
    </row>
    <row r="129" spans="1:11" ht="13">
      <c r="A129" s="2">
        <f t="shared" si="40"/>
        <v>89</v>
      </c>
      <c r="B129" s="329" t="s">
        <v>397</v>
      </c>
      <c r="C129" s="330">
        <v>2026</v>
      </c>
      <c r="D129" s="59">
        <v>0</v>
      </c>
      <c r="E129" s="6">
        <f>D129*'16-PlantAdditions'!$E$103</f>
        <v>0</v>
      </c>
      <c r="F129" s="6">
        <f t="shared" si="41"/>
        <v>0</v>
      </c>
      <c r="G129" s="59">
        <v>0</v>
      </c>
      <c r="H129" s="59">
        <v>0</v>
      </c>
      <c r="I129" s="6">
        <f>(G129-H129)*'16-PlantAdditions'!$E$103</f>
        <v>0</v>
      </c>
      <c r="J129" s="6">
        <f t="shared" si="42"/>
        <v>0</v>
      </c>
      <c r="K129" s="235">
        <f t="shared" si="43"/>
        <v>0</v>
      </c>
    </row>
    <row r="130" spans="1:11" ht="13">
      <c r="A130" s="2">
        <f t="shared" si="40"/>
        <v>90</v>
      </c>
      <c r="B130" s="329" t="s">
        <v>398</v>
      </c>
      <c r="C130" s="330">
        <v>2026</v>
      </c>
      <c r="D130" s="59">
        <v>0</v>
      </c>
      <c r="E130" s="6">
        <f>D130*'16-PlantAdditions'!$E$103</f>
        <v>0</v>
      </c>
      <c r="F130" s="6">
        <f t="shared" si="41"/>
        <v>0</v>
      </c>
      <c r="G130" s="59">
        <v>0</v>
      </c>
      <c r="H130" s="59">
        <v>0</v>
      </c>
      <c r="I130" s="6">
        <f>(G130-H130)*'16-PlantAdditions'!$E$103</f>
        <v>0</v>
      </c>
      <c r="J130" s="6">
        <f t="shared" si="42"/>
        <v>0</v>
      </c>
      <c r="K130" s="235">
        <f t="shared" si="43"/>
        <v>0</v>
      </c>
    </row>
    <row r="131" spans="1:11" ht="13">
      <c r="A131" s="2">
        <f t="shared" si="40"/>
        <v>91</v>
      </c>
      <c r="B131" s="329" t="s">
        <v>399</v>
      </c>
      <c r="C131" s="330">
        <v>2026</v>
      </c>
      <c r="D131" s="59">
        <v>0</v>
      </c>
      <c r="E131" s="6">
        <f>D131*'16-PlantAdditions'!$E$103</f>
        <v>0</v>
      </c>
      <c r="F131" s="6">
        <f t="shared" si="41"/>
        <v>0</v>
      </c>
      <c r="G131" s="59">
        <v>0</v>
      </c>
      <c r="H131" s="59">
        <v>0</v>
      </c>
      <c r="I131" s="6">
        <f>(G131-H131)*'16-PlantAdditions'!$E$103</f>
        <v>0</v>
      </c>
      <c r="J131" s="6">
        <f t="shared" si="42"/>
        <v>0</v>
      </c>
      <c r="K131" s="235">
        <f t="shared" si="43"/>
        <v>0</v>
      </c>
    </row>
    <row r="132" spans="1:11" ht="13">
      <c r="A132" s="2">
        <f t="shared" si="40"/>
        <v>92</v>
      </c>
      <c r="B132" s="329" t="s">
        <v>400</v>
      </c>
      <c r="C132" s="330">
        <v>2026</v>
      </c>
      <c r="D132" s="59">
        <v>0</v>
      </c>
      <c r="E132" s="6">
        <f>D132*'16-PlantAdditions'!$E$103</f>
        <v>0</v>
      </c>
      <c r="F132" s="6">
        <f t="shared" si="41"/>
        <v>0</v>
      </c>
      <c r="G132" s="59">
        <v>0</v>
      </c>
      <c r="H132" s="59">
        <v>0</v>
      </c>
      <c r="I132" s="6">
        <f>(G132-H132)*'16-PlantAdditions'!$E$103</f>
        <v>0</v>
      </c>
      <c r="J132" s="6">
        <f t="shared" si="42"/>
        <v>0</v>
      </c>
      <c r="K132" s="235">
        <f t="shared" si="43"/>
        <v>0</v>
      </c>
    </row>
    <row r="133" spans="1:11" ht="13">
      <c r="A133" s="2">
        <f t="shared" si="40"/>
        <v>93</v>
      </c>
      <c r="B133" s="329" t="s">
        <v>388</v>
      </c>
      <c r="C133" s="330">
        <v>2026</v>
      </c>
      <c r="D133" s="59">
        <v>0</v>
      </c>
      <c r="E133" s="6">
        <f>D133*'16-PlantAdditions'!$E$103</f>
        <v>0</v>
      </c>
      <c r="F133" s="6">
        <f t="shared" si="41"/>
        <v>0</v>
      </c>
      <c r="G133" s="59">
        <v>0</v>
      </c>
      <c r="H133" s="59">
        <v>0</v>
      </c>
      <c r="I133" s="6">
        <f>(G133-H133)*'16-PlantAdditions'!$E$103</f>
        <v>0</v>
      </c>
      <c r="J133" s="6">
        <f t="shared" si="42"/>
        <v>0</v>
      </c>
      <c r="K133" s="235">
        <f t="shared" si="43"/>
        <v>0</v>
      </c>
    </row>
    <row r="134" spans="1:11" ht="13">
      <c r="A134" s="2">
        <f t="shared" si="40"/>
        <v>94</v>
      </c>
      <c r="B134" s="329" t="s">
        <v>390</v>
      </c>
      <c r="C134" s="330">
        <v>2027</v>
      </c>
      <c r="D134" s="59">
        <v>0</v>
      </c>
      <c r="E134" s="6">
        <f>D134*'16-PlantAdditions'!$E$103</f>
        <v>0</v>
      </c>
      <c r="F134" s="6">
        <f t="shared" si="41"/>
        <v>0</v>
      </c>
      <c r="G134" s="59">
        <v>0</v>
      </c>
      <c r="H134" s="59">
        <v>0</v>
      </c>
      <c r="I134" s="6">
        <f>(G134-H134)*'16-PlantAdditions'!$E$103</f>
        <v>0</v>
      </c>
      <c r="J134" s="6">
        <f t="shared" si="42"/>
        <v>0</v>
      </c>
      <c r="K134" s="235">
        <f t="shared" si="43"/>
        <v>0</v>
      </c>
    </row>
    <row r="135" spans="1:11" ht="13">
      <c r="A135" s="2">
        <f t="shared" si="40"/>
        <v>95</v>
      </c>
      <c r="B135" s="329" t="s">
        <v>391</v>
      </c>
      <c r="C135" s="330">
        <v>2027</v>
      </c>
      <c r="D135" s="59">
        <v>0</v>
      </c>
      <c r="E135" s="6">
        <f>D135*'16-PlantAdditions'!$E$103</f>
        <v>0</v>
      </c>
      <c r="F135" s="6">
        <f t="shared" si="41"/>
        <v>0</v>
      </c>
      <c r="G135" s="59">
        <v>0</v>
      </c>
      <c r="H135" s="59">
        <v>0</v>
      </c>
      <c r="I135" s="6">
        <f>(G135-H135)*'16-PlantAdditions'!$E$103</f>
        <v>0</v>
      </c>
      <c r="J135" s="6">
        <f t="shared" si="42"/>
        <v>0</v>
      </c>
      <c r="K135" s="235">
        <f t="shared" si="43"/>
        <v>0</v>
      </c>
    </row>
    <row r="136" spans="1:11" ht="13">
      <c r="A136" s="2">
        <f t="shared" si="40"/>
        <v>96</v>
      </c>
      <c r="B136" s="329" t="s">
        <v>392</v>
      </c>
      <c r="C136" s="330">
        <v>2027</v>
      </c>
      <c r="D136" s="59">
        <v>0</v>
      </c>
      <c r="E136" s="6">
        <f>D136*'16-PlantAdditions'!$E$103</f>
        <v>0</v>
      </c>
      <c r="F136" s="6">
        <f t="shared" si="41"/>
        <v>0</v>
      </c>
      <c r="G136" s="59">
        <v>0</v>
      </c>
      <c r="H136" s="59">
        <v>0</v>
      </c>
      <c r="I136" s="6">
        <f>(G136-H136)*'16-PlantAdditions'!$E$103</f>
        <v>0</v>
      </c>
      <c r="J136" s="6">
        <f t="shared" si="42"/>
        <v>0</v>
      </c>
      <c r="K136" s="235">
        <f t="shared" si="43"/>
        <v>0</v>
      </c>
    </row>
    <row r="137" spans="1:11" ht="13">
      <c r="A137" s="2">
        <f t="shared" si="40"/>
        <v>97</v>
      </c>
      <c r="B137" s="329" t="s">
        <v>393</v>
      </c>
      <c r="C137" s="330">
        <v>2027</v>
      </c>
      <c r="D137" s="59">
        <v>0</v>
      </c>
      <c r="E137" s="6">
        <f>D137*'16-PlantAdditions'!$E$103</f>
        <v>0</v>
      </c>
      <c r="F137" s="6">
        <f t="shared" si="41"/>
        <v>0</v>
      </c>
      <c r="G137" s="59">
        <v>0</v>
      </c>
      <c r="H137" s="59">
        <v>0</v>
      </c>
      <c r="I137" s="6">
        <f>(G137-H137)*'16-PlantAdditions'!$E$103</f>
        <v>0</v>
      </c>
      <c r="J137" s="6">
        <f t="shared" si="42"/>
        <v>0</v>
      </c>
      <c r="K137" s="235">
        <f t="shared" si="43"/>
        <v>0</v>
      </c>
    </row>
    <row r="138" spans="1:11" ht="13">
      <c r="A138" s="2">
        <f t="shared" si="40"/>
        <v>98</v>
      </c>
      <c r="B138" s="329" t="s">
        <v>394</v>
      </c>
      <c r="C138" s="330">
        <v>2027</v>
      </c>
      <c r="D138" s="59">
        <v>0</v>
      </c>
      <c r="E138" s="6">
        <f>D138*'16-PlantAdditions'!$E$103</f>
        <v>0</v>
      </c>
      <c r="F138" s="6">
        <f t="shared" si="41"/>
        <v>0</v>
      </c>
      <c r="G138" s="59">
        <v>0</v>
      </c>
      <c r="H138" s="59">
        <v>0</v>
      </c>
      <c r="I138" s="6">
        <f>(G138-H138)*'16-PlantAdditions'!$E$103</f>
        <v>0</v>
      </c>
      <c r="J138" s="6">
        <f t="shared" si="42"/>
        <v>0</v>
      </c>
      <c r="K138" s="235">
        <f t="shared" si="43"/>
        <v>0</v>
      </c>
    </row>
    <row r="139" spans="1:11" ht="13">
      <c r="A139" s="2">
        <f t="shared" si="40"/>
        <v>99</v>
      </c>
      <c r="B139" s="329" t="s">
        <v>608</v>
      </c>
      <c r="C139" s="330">
        <v>2027</v>
      </c>
      <c r="D139" s="59">
        <v>0</v>
      </c>
      <c r="E139" s="6">
        <f>D139*'16-PlantAdditions'!$E$103</f>
        <v>0</v>
      </c>
      <c r="F139" s="6">
        <f t="shared" si="41"/>
        <v>0</v>
      </c>
      <c r="G139" s="59">
        <v>0</v>
      </c>
      <c r="H139" s="59">
        <v>0</v>
      </c>
      <c r="I139" s="6">
        <f>(G139-H139)*'16-PlantAdditions'!$E$103</f>
        <v>0</v>
      </c>
      <c r="J139" s="6">
        <f t="shared" si="42"/>
        <v>0</v>
      </c>
      <c r="K139" s="235">
        <f t="shared" si="43"/>
        <v>0</v>
      </c>
    </row>
    <row r="140" spans="1:11" ht="13">
      <c r="A140" s="2">
        <f t="shared" si="40"/>
        <v>100</v>
      </c>
      <c r="B140" s="329" t="s">
        <v>396</v>
      </c>
      <c r="C140" s="330">
        <v>2027</v>
      </c>
      <c r="D140" s="59">
        <v>0</v>
      </c>
      <c r="E140" s="6">
        <f>D140*'16-PlantAdditions'!$E$103</f>
        <v>0</v>
      </c>
      <c r="F140" s="6">
        <f t="shared" si="41"/>
        <v>0</v>
      </c>
      <c r="G140" s="59">
        <v>0</v>
      </c>
      <c r="H140" s="59">
        <v>0</v>
      </c>
      <c r="I140" s="6">
        <f>(G140-H140)*'16-PlantAdditions'!$E$103</f>
        <v>0</v>
      </c>
      <c r="J140" s="6">
        <f t="shared" si="42"/>
        <v>0</v>
      </c>
      <c r="K140" s="235">
        <f t="shared" si="43"/>
        <v>0</v>
      </c>
    </row>
    <row r="141" spans="1:11" ht="13">
      <c r="A141" s="2">
        <f t="shared" si="40"/>
        <v>101</v>
      </c>
      <c r="B141" s="329" t="s">
        <v>397</v>
      </c>
      <c r="C141" s="330">
        <v>2027</v>
      </c>
      <c r="D141" s="59">
        <v>0</v>
      </c>
      <c r="E141" s="6">
        <f>D141*'16-PlantAdditions'!$E$103</f>
        <v>0</v>
      </c>
      <c r="F141" s="6">
        <f t="shared" si="41"/>
        <v>0</v>
      </c>
      <c r="G141" s="59">
        <v>0</v>
      </c>
      <c r="H141" s="59">
        <v>0</v>
      </c>
      <c r="I141" s="6">
        <f>(G141-H141)*'16-PlantAdditions'!$E$103</f>
        <v>0</v>
      </c>
      <c r="J141" s="6">
        <f t="shared" si="42"/>
        <v>0</v>
      </c>
      <c r="K141" s="235">
        <f t="shared" si="43"/>
        <v>0</v>
      </c>
    </row>
    <row r="142" spans="1:11" ht="13">
      <c r="A142" s="2">
        <f t="shared" si="40"/>
        <v>102</v>
      </c>
      <c r="B142" s="329" t="s">
        <v>398</v>
      </c>
      <c r="C142" s="330">
        <v>2027</v>
      </c>
      <c r="D142" s="59">
        <v>0</v>
      </c>
      <c r="E142" s="6">
        <f>D142*'16-PlantAdditions'!$E$103</f>
        <v>0</v>
      </c>
      <c r="F142" s="6">
        <f t="shared" si="41"/>
        <v>0</v>
      </c>
      <c r="G142" s="59">
        <v>0</v>
      </c>
      <c r="H142" s="59">
        <v>0</v>
      </c>
      <c r="I142" s="6">
        <f>(G142-H142)*'16-PlantAdditions'!$E$103</f>
        <v>0</v>
      </c>
      <c r="J142" s="6">
        <f t="shared" si="42"/>
        <v>0</v>
      </c>
      <c r="K142" s="235">
        <f t="shared" si="43"/>
        <v>0</v>
      </c>
    </row>
    <row r="143" spans="1:11" ht="13">
      <c r="A143" s="2">
        <f t="shared" si="40"/>
        <v>103</v>
      </c>
      <c r="B143" s="329" t="s">
        <v>399</v>
      </c>
      <c r="C143" s="330">
        <v>2027</v>
      </c>
      <c r="D143" s="59">
        <v>0</v>
      </c>
      <c r="E143" s="6">
        <f>D143*'16-PlantAdditions'!$E$103</f>
        <v>0</v>
      </c>
      <c r="F143" s="6">
        <f t="shared" si="41"/>
        <v>0</v>
      </c>
      <c r="G143" s="59">
        <v>0</v>
      </c>
      <c r="H143" s="59">
        <v>0</v>
      </c>
      <c r="I143" s="6">
        <f>(G143-H143)*'16-PlantAdditions'!$E$103</f>
        <v>0</v>
      </c>
      <c r="J143" s="6">
        <f t="shared" si="42"/>
        <v>0</v>
      </c>
      <c r="K143" s="235">
        <f t="shared" si="43"/>
        <v>0</v>
      </c>
    </row>
    <row r="144" spans="1:11" ht="13">
      <c r="A144" s="2">
        <f t="shared" si="40"/>
        <v>104</v>
      </c>
      <c r="B144" s="329" t="s">
        <v>400</v>
      </c>
      <c r="C144" s="330">
        <v>2027</v>
      </c>
      <c r="D144" s="59">
        <v>0</v>
      </c>
      <c r="E144" s="6">
        <f>D144*'16-PlantAdditions'!$E$103</f>
        <v>0</v>
      </c>
      <c r="F144" s="6">
        <f t="shared" si="41"/>
        <v>0</v>
      </c>
      <c r="G144" s="59">
        <v>0</v>
      </c>
      <c r="H144" s="59">
        <v>0</v>
      </c>
      <c r="I144" s="6">
        <f>(G144-H144)*'16-PlantAdditions'!$E$103</f>
        <v>0</v>
      </c>
      <c r="J144" s="6">
        <f t="shared" si="42"/>
        <v>0</v>
      </c>
      <c r="K144" s="235">
        <f t="shared" si="43"/>
        <v>0</v>
      </c>
    </row>
    <row r="145" spans="1:11" ht="13">
      <c r="A145" s="2">
        <f t="shared" si="40"/>
        <v>105</v>
      </c>
      <c r="B145" s="329" t="s">
        <v>388</v>
      </c>
      <c r="C145" s="330">
        <v>2027</v>
      </c>
      <c r="D145" s="59">
        <v>0</v>
      </c>
      <c r="E145" s="6">
        <f>D145*'16-PlantAdditions'!$E$103</f>
        <v>0</v>
      </c>
      <c r="F145" s="6">
        <f t="shared" si="41"/>
        <v>0</v>
      </c>
      <c r="G145" s="59">
        <v>0</v>
      </c>
      <c r="H145" s="59">
        <v>0</v>
      </c>
      <c r="I145" s="6">
        <f>(G145-H145)*'16-PlantAdditions'!$E$103</f>
        <v>0</v>
      </c>
      <c r="J145" s="6">
        <f t="shared" si="42"/>
        <v>0</v>
      </c>
      <c r="K145" s="53">
        <f t="shared" si="43"/>
        <v>0</v>
      </c>
    </row>
    <row r="146" spans="1:11" ht="13">
      <c r="A146" s="2">
        <f t="shared" si="40"/>
        <v>106</v>
      </c>
      <c r="C146" s="351" t="s">
        <v>1095</v>
      </c>
      <c r="K146" s="42">
        <f>AVERAGE(K133:K145)</f>
        <v>0</v>
      </c>
    </row>
    <row r="147" spans="1:11" ht="13">
      <c r="A147" s="2"/>
      <c r="C147" s="351"/>
      <c r="K147" s="42"/>
    </row>
    <row r="148" spans="1:11" ht="13">
      <c r="B148" s="34" t="s">
        <v>1106</v>
      </c>
      <c r="D148" s="1207" t="s">
        <v>1107</v>
      </c>
      <c r="E148" s="1207"/>
    </row>
    <row r="149" spans="1:11" ht="13">
      <c r="B149" s="34"/>
      <c r="D149" s="3" t="s">
        <v>345</v>
      </c>
      <c r="E149" s="3" t="s">
        <v>346</v>
      </c>
      <c r="F149" s="3" t="s">
        <v>347</v>
      </c>
      <c r="G149" s="3" t="s">
        <v>348</v>
      </c>
      <c r="H149" s="3" t="s">
        <v>349</v>
      </c>
      <c r="I149" s="3" t="s">
        <v>350</v>
      </c>
      <c r="J149" s="3" t="s">
        <v>351</v>
      </c>
      <c r="K149" s="3" t="s">
        <v>352</v>
      </c>
    </row>
    <row r="150" spans="1:11" ht="25.5">
      <c r="B150" s="34"/>
      <c r="D150" s="48"/>
      <c r="E150" s="352" t="s">
        <v>1099</v>
      </c>
      <c r="F150" s="239" t="s">
        <v>1100</v>
      </c>
      <c r="G150" s="239"/>
      <c r="H150" s="48"/>
      <c r="I150" s="352" t="s">
        <v>1101</v>
      </c>
      <c r="J150" s="352" t="s">
        <v>1102</v>
      </c>
      <c r="K150" s="352" t="s">
        <v>1103</v>
      </c>
    </row>
    <row r="151" spans="1:11" ht="13">
      <c r="D151" s="48"/>
      <c r="E151" s="48"/>
      <c r="F151" s="48"/>
      <c r="G151" s="2" t="str">
        <f>G51</f>
        <v>Unloaded</v>
      </c>
      <c r="H151" s="48"/>
      <c r="I151" s="48"/>
    </row>
    <row r="152" spans="1:11" ht="13">
      <c r="A152" s="2"/>
      <c r="B152" s="2"/>
      <c r="C152" s="2"/>
      <c r="D152" s="2" t="str">
        <f>D$52</f>
        <v>Forecast</v>
      </c>
      <c r="E152" s="2" t="str">
        <f t="shared" ref="E152:J152" si="44">E$52</f>
        <v>Corporate</v>
      </c>
      <c r="F152" s="2" t="str">
        <f t="shared" si="44"/>
        <v xml:space="preserve">Total </v>
      </c>
      <c r="G152" s="2" t="str">
        <f>G52</f>
        <v>Total</v>
      </c>
      <c r="H152" s="2" t="str">
        <f t="shared" si="44"/>
        <v>Prior Period</v>
      </c>
      <c r="I152" s="2" t="str">
        <f t="shared" si="44"/>
        <v>Over Heads</v>
      </c>
      <c r="J152" s="2" t="str">
        <f t="shared" si="44"/>
        <v>Forecast</v>
      </c>
      <c r="K152" s="2" t="str">
        <f>K$52</f>
        <v>Forecast Period</v>
      </c>
    </row>
    <row r="153" spans="1:11" ht="13">
      <c r="A153" s="30" t="s">
        <v>282</v>
      </c>
      <c r="B153" s="328" t="s">
        <v>380</v>
      </c>
      <c r="C153" s="328" t="s">
        <v>381</v>
      </c>
      <c r="D153" s="3" t="str">
        <f>D$53</f>
        <v>Expenditures</v>
      </c>
      <c r="E153" s="3" t="str">
        <f t="shared" ref="E153:J153" si="45">E$53</f>
        <v>Overheads</v>
      </c>
      <c r="F153" s="3" t="str">
        <f t="shared" si="45"/>
        <v>CWIP Exp</v>
      </c>
      <c r="G153" s="3" t="str">
        <f>G53</f>
        <v>Plant Adds</v>
      </c>
      <c r="H153" s="3" t="str">
        <f t="shared" si="45"/>
        <v>CWIP Closed</v>
      </c>
      <c r="I153" s="3" t="str">
        <f t="shared" si="45"/>
        <v>Closed to PIS</v>
      </c>
      <c r="J153" s="3" t="str">
        <f t="shared" si="45"/>
        <v>Period CWIP</v>
      </c>
      <c r="K153" s="3" t="str">
        <f>K$53</f>
        <v>Incremental CWIP</v>
      </c>
    </row>
    <row r="154" spans="1:11" ht="13">
      <c r="A154" s="2">
        <f>A146+1</f>
        <v>107</v>
      </c>
      <c r="B154" s="329" t="s">
        <v>388</v>
      </c>
      <c r="C154" s="330">
        <v>2025</v>
      </c>
      <c r="D154" s="239" t="s">
        <v>389</v>
      </c>
      <c r="E154" s="239" t="s">
        <v>389</v>
      </c>
      <c r="F154" s="239" t="s">
        <v>389</v>
      </c>
      <c r="G154" s="239" t="s">
        <v>389</v>
      </c>
      <c r="H154" s="239" t="s">
        <v>389</v>
      </c>
      <c r="I154" s="239" t="s">
        <v>389</v>
      </c>
      <c r="J154" s="6">
        <f>G25</f>
        <v>7677114.7000000002</v>
      </c>
      <c r="K154" s="239" t="s">
        <v>389</v>
      </c>
    </row>
    <row r="155" spans="1:11" ht="13">
      <c r="A155" s="2">
        <f>A154+1</f>
        <v>108</v>
      </c>
      <c r="B155" s="329" t="s">
        <v>390</v>
      </c>
      <c r="C155" s="330">
        <v>2026</v>
      </c>
      <c r="D155" s="59">
        <v>18794</v>
      </c>
      <c r="E155" s="6">
        <f>D155*'16-PlantAdditions'!$E$103</f>
        <v>1409.55</v>
      </c>
      <c r="F155" s="6">
        <f>E155+D155</f>
        <v>20203.55</v>
      </c>
      <c r="G155" s="59">
        <v>0</v>
      </c>
      <c r="H155" s="59">
        <v>0</v>
      </c>
      <c r="I155" s="6">
        <f>(G155-H155)*'16-PlantAdditions'!$E$103</f>
        <v>0</v>
      </c>
      <c r="J155" s="6">
        <f>J154+F155-G155-I155</f>
        <v>7697318.25</v>
      </c>
      <c r="K155" s="6">
        <f>J155-$J$154</f>
        <v>20203.549999999814</v>
      </c>
    </row>
    <row r="156" spans="1:11" ht="13">
      <c r="A156" s="2">
        <f t="shared" ref="A156:A179" si="46">A155+1</f>
        <v>109</v>
      </c>
      <c r="B156" s="329" t="s">
        <v>391</v>
      </c>
      <c r="C156" s="330">
        <v>2026</v>
      </c>
      <c r="D156" s="59">
        <v>45842</v>
      </c>
      <c r="E156" s="6">
        <f>D156*'16-PlantAdditions'!$E$103</f>
        <v>3438.15</v>
      </c>
      <c r="F156" s="6">
        <f t="shared" ref="F156:F178" si="47">E156+D156</f>
        <v>49280.15</v>
      </c>
      <c r="G156" s="59">
        <v>0</v>
      </c>
      <c r="H156" s="59">
        <v>0</v>
      </c>
      <c r="I156" s="6">
        <f>(G156-H156)*'16-PlantAdditions'!$E$103</f>
        <v>0</v>
      </c>
      <c r="J156" s="6">
        <f t="shared" ref="J156:J175" si="48">J155+F156-G156-I156</f>
        <v>7746598.4000000004</v>
      </c>
      <c r="K156" s="6">
        <f t="shared" ref="K156:K178" si="49">J156-$J$154</f>
        <v>69483.700000000186</v>
      </c>
    </row>
    <row r="157" spans="1:11" ht="13">
      <c r="A157" s="2">
        <f t="shared" si="46"/>
        <v>110</v>
      </c>
      <c r="B157" s="329" t="s">
        <v>392</v>
      </c>
      <c r="C157" s="330">
        <v>2026</v>
      </c>
      <c r="D157" s="59">
        <v>68260</v>
      </c>
      <c r="E157" s="6">
        <f>D157*'16-PlantAdditions'!$E$103</f>
        <v>5119.5</v>
      </c>
      <c r="F157" s="6">
        <f t="shared" si="47"/>
        <v>73379.5</v>
      </c>
      <c r="G157" s="59">
        <v>0</v>
      </c>
      <c r="H157" s="59">
        <v>0</v>
      </c>
      <c r="I157" s="6">
        <f>(G157-H157)*'16-PlantAdditions'!$E$103</f>
        <v>0</v>
      </c>
      <c r="J157" s="6">
        <f t="shared" si="48"/>
        <v>7819977.9000000004</v>
      </c>
      <c r="K157" s="6">
        <f t="shared" si="49"/>
        <v>142863.20000000019</v>
      </c>
    </row>
    <row r="158" spans="1:11" ht="13">
      <c r="A158" s="2">
        <f t="shared" si="46"/>
        <v>111</v>
      </c>
      <c r="B158" s="329" t="s">
        <v>393</v>
      </c>
      <c r="C158" s="330">
        <v>2026</v>
      </c>
      <c r="D158" s="59">
        <v>260000</v>
      </c>
      <c r="E158" s="6">
        <f>D158*'16-PlantAdditions'!$E$103</f>
        <v>19500</v>
      </c>
      <c r="F158" s="6">
        <f t="shared" si="47"/>
        <v>279500</v>
      </c>
      <c r="G158" s="59">
        <v>0</v>
      </c>
      <c r="H158" s="59">
        <v>0</v>
      </c>
      <c r="I158" s="6">
        <f>(G158-H158)*'16-PlantAdditions'!$E$103</f>
        <v>0</v>
      </c>
      <c r="J158" s="6">
        <f t="shared" si="48"/>
        <v>8099477.9000000004</v>
      </c>
      <c r="K158" s="6">
        <f t="shared" si="49"/>
        <v>422363.20000000019</v>
      </c>
    </row>
    <row r="159" spans="1:11" ht="13">
      <c r="A159" s="2">
        <f t="shared" si="46"/>
        <v>112</v>
      </c>
      <c r="B159" s="329" t="s">
        <v>394</v>
      </c>
      <c r="C159" s="330">
        <v>2026</v>
      </c>
      <c r="D159" s="59">
        <v>260000</v>
      </c>
      <c r="E159" s="6">
        <f>D159*'16-PlantAdditions'!$E$103</f>
        <v>19500</v>
      </c>
      <c r="F159" s="6">
        <f t="shared" si="47"/>
        <v>279500</v>
      </c>
      <c r="G159" s="59">
        <v>0</v>
      </c>
      <c r="H159" s="59">
        <v>0</v>
      </c>
      <c r="I159" s="6">
        <f>(G159-H159)*'16-PlantAdditions'!$E$103</f>
        <v>0</v>
      </c>
      <c r="J159" s="6">
        <f t="shared" si="48"/>
        <v>8378977.9000000004</v>
      </c>
      <c r="K159" s="6">
        <f t="shared" si="49"/>
        <v>701863.20000000019</v>
      </c>
    </row>
    <row r="160" spans="1:11" ht="13">
      <c r="A160" s="2">
        <f t="shared" si="46"/>
        <v>113</v>
      </c>
      <c r="B160" s="329" t="s">
        <v>608</v>
      </c>
      <c r="C160" s="330">
        <v>2026</v>
      </c>
      <c r="D160" s="59">
        <v>260000</v>
      </c>
      <c r="E160" s="6">
        <f>D160*'16-PlantAdditions'!$E$103</f>
        <v>19500</v>
      </c>
      <c r="F160" s="6">
        <f t="shared" si="47"/>
        <v>279500</v>
      </c>
      <c r="G160" s="59">
        <v>0</v>
      </c>
      <c r="H160" s="59">
        <v>0</v>
      </c>
      <c r="I160" s="6">
        <f>(G160-H160)*'16-PlantAdditions'!$E$103</f>
        <v>0</v>
      </c>
      <c r="J160" s="6">
        <f t="shared" si="48"/>
        <v>8658477.9000000004</v>
      </c>
      <c r="K160" s="6">
        <f t="shared" si="49"/>
        <v>981363.20000000019</v>
      </c>
    </row>
    <row r="161" spans="1:11" ht="13">
      <c r="A161" s="2">
        <f t="shared" si="46"/>
        <v>114</v>
      </c>
      <c r="B161" s="329" t="s">
        <v>396</v>
      </c>
      <c r="C161" s="330">
        <v>2026</v>
      </c>
      <c r="D161" s="59">
        <v>260000</v>
      </c>
      <c r="E161" s="6">
        <f>D161*'16-PlantAdditions'!$E$103</f>
        <v>19500</v>
      </c>
      <c r="F161" s="6">
        <f t="shared" si="47"/>
        <v>279500</v>
      </c>
      <c r="G161" s="59">
        <v>0</v>
      </c>
      <c r="H161" s="59">
        <v>0</v>
      </c>
      <c r="I161" s="6">
        <f>(G161-H161)*'16-PlantAdditions'!$E$103</f>
        <v>0</v>
      </c>
      <c r="J161" s="6">
        <f t="shared" si="48"/>
        <v>8937977.9000000004</v>
      </c>
      <c r="K161" s="6">
        <f t="shared" si="49"/>
        <v>1260863.2000000002</v>
      </c>
    </row>
    <row r="162" spans="1:11" ht="13">
      <c r="A162" s="2">
        <f t="shared" si="46"/>
        <v>115</v>
      </c>
      <c r="B162" s="329" t="s">
        <v>397</v>
      </c>
      <c r="C162" s="330">
        <v>2026</v>
      </c>
      <c r="D162" s="59">
        <v>260000</v>
      </c>
      <c r="E162" s="6">
        <f>D162*'16-PlantAdditions'!$E$103</f>
        <v>19500</v>
      </c>
      <c r="F162" s="6">
        <f t="shared" si="47"/>
        <v>279500</v>
      </c>
      <c r="G162" s="59">
        <v>0</v>
      </c>
      <c r="H162" s="59">
        <v>0</v>
      </c>
      <c r="I162" s="6">
        <f>(G162-H162)*'16-PlantAdditions'!$E$103</f>
        <v>0</v>
      </c>
      <c r="J162" s="6">
        <f t="shared" si="48"/>
        <v>9217477.9000000004</v>
      </c>
      <c r="K162" s="6">
        <f t="shared" si="49"/>
        <v>1540363.2000000002</v>
      </c>
    </row>
    <row r="163" spans="1:11" ht="13">
      <c r="A163" s="2">
        <f t="shared" si="46"/>
        <v>116</v>
      </c>
      <c r="B163" s="329" t="s">
        <v>398</v>
      </c>
      <c r="C163" s="330">
        <v>2026</v>
      </c>
      <c r="D163" s="59">
        <v>260000</v>
      </c>
      <c r="E163" s="6">
        <f>D163*'16-PlantAdditions'!$E$103</f>
        <v>19500</v>
      </c>
      <c r="F163" s="6">
        <f t="shared" si="47"/>
        <v>279500</v>
      </c>
      <c r="G163" s="59">
        <v>0</v>
      </c>
      <c r="H163" s="59">
        <v>0</v>
      </c>
      <c r="I163" s="6">
        <f>(G163-H163)*'16-PlantAdditions'!$E$103</f>
        <v>0</v>
      </c>
      <c r="J163" s="6">
        <f t="shared" si="48"/>
        <v>9496977.9000000004</v>
      </c>
      <c r="K163" s="6">
        <f t="shared" si="49"/>
        <v>1819863.2000000002</v>
      </c>
    </row>
    <row r="164" spans="1:11" ht="13">
      <c r="A164" s="2">
        <f t="shared" si="46"/>
        <v>117</v>
      </c>
      <c r="B164" s="329" t="s">
        <v>399</v>
      </c>
      <c r="C164" s="330">
        <v>2026</v>
      </c>
      <c r="D164" s="59">
        <v>260000</v>
      </c>
      <c r="E164" s="6">
        <f>D164*'16-PlantAdditions'!$E$103</f>
        <v>19500</v>
      </c>
      <c r="F164" s="6">
        <f t="shared" si="47"/>
        <v>279500</v>
      </c>
      <c r="G164" s="59">
        <v>0</v>
      </c>
      <c r="H164" s="59">
        <v>0</v>
      </c>
      <c r="I164" s="6">
        <f>(G164-H164)*'16-PlantAdditions'!$E$103</f>
        <v>0</v>
      </c>
      <c r="J164" s="6">
        <f t="shared" si="48"/>
        <v>9776477.9000000004</v>
      </c>
      <c r="K164" s="6">
        <f t="shared" si="49"/>
        <v>2099363.2000000002</v>
      </c>
    </row>
    <row r="165" spans="1:11" ht="13">
      <c r="A165" s="2">
        <f t="shared" si="46"/>
        <v>118</v>
      </c>
      <c r="B165" s="329" t="s">
        <v>400</v>
      </c>
      <c r="C165" s="330">
        <v>2026</v>
      </c>
      <c r="D165" s="59">
        <v>260000</v>
      </c>
      <c r="E165" s="6">
        <f>D165*'16-PlantAdditions'!$E$103</f>
        <v>19500</v>
      </c>
      <c r="F165" s="6">
        <f t="shared" si="47"/>
        <v>279500</v>
      </c>
      <c r="G165" s="59">
        <v>0</v>
      </c>
      <c r="H165" s="59">
        <v>0</v>
      </c>
      <c r="I165" s="6">
        <f>(G165-H165)*'16-PlantAdditions'!$E$103</f>
        <v>0</v>
      </c>
      <c r="J165" s="6">
        <f t="shared" si="48"/>
        <v>10055977.9</v>
      </c>
      <c r="K165" s="6">
        <f t="shared" si="49"/>
        <v>2378863.2000000002</v>
      </c>
    </row>
    <row r="166" spans="1:11" ht="13">
      <c r="A166" s="2">
        <f t="shared" si="46"/>
        <v>119</v>
      </c>
      <c r="B166" s="329" t="s">
        <v>388</v>
      </c>
      <c r="C166" s="330">
        <v>2026</v>
      </c>
      <c r="D166" s="59">
        <v>600000</v>
      </c>
      <c r="E166" s="6">
        <f>D166*'16-PlantAdditions'!$E$103</f>
        <v>45000</v>
      </c>
      <c r="F166" s="6">
        <f t="shared" si="47"/>
        <v>645000</v>
      </c>
      <c r="G166" s="59">
        <v>0</v>
      </c>
      <c r="H166" s="59">
        <v>0</v>
      </c>
      <c r="I166" s="6">
        <f>(G166-H166)*'16-PlantAdditions'!$E$103</f>
        <v>0</v>
      </c>
      <c r="J166" s="6">
        <f t="shared" si="48"/>
        <v>10700977.9</v>
      </c>
      <c r="K166" s="6">
        <f t="shared" si="49"/>
        <v>3023863.2</v>
      </c>
    </row>
    <row r="167" spans="1:11" ht="13">
      <c r="A167" s="2">
        <f t="shared" si="46"/>
        <v>120</v>
      </c>
      <c r="B167" s="329" t="s">
        <v>390</v>
      </c>
      <c r="C167" s="330">
        <v>2027</v>
      </c>
      <c r="D167" s="59">
        <v>1100000</v>
      </c>
      <c r="E167" s="6">
        <f>D167*'16-PlantAdditions'!$E$103</f>
        <v>82500</v>
      </c>
      <c r="F167" s="6">
        <f t="shared" si="47"/>
        <v>1182500</v>
      </c>
      <c r="G167" s="59">
        <v>0</v>
      </c>
      <c r="H167" s="59">
        <v>0</v>
      </c>
      <c r="I167" s="6">
        <f>(G167-H167)*'16-PlantAdditions'!$E$103</f>
        <v>0</v>
      </c>
      <c r="J167" s="6">
        <f t="shared" si="48"/>
        <v>11883477.9</v>
      </c>
      <c r="K167" s="6">
        <f t="shared" si="49"/>
        <v>4206363.2</v>
      </c>
    </row>
    <row r="168" spans="1:11" ht="13">
      <c r="A168" s="2">
        <f t="shared" si="46"/>
        <v>121</v>
      </c>
      <c r="B168" s="329" t="s">
        <v>391</v>
      </c>
      <c r="C168" s="330">
        <v>2027</v>
      </c>
      <c r="D168" s="59">
        <v>1100000</v>
      </c>
      <c r="E168" s="6">
        <f>D168*'16-PlantAdditions'!$E$103</f>
        <v>82500</v>
      </c>
      <c r="F168" s="6">
        <f t="shared" si="47"/>
        <v>1182500</v>
      </c>
      <c r="G168" s="59">
        <v>0</v>
      </c>
      <c r="H168" s="59">
        <v>0</v>
      </c>
      <c r="I168" s="6">
        <f>(G168-H168)*'16-PlantAdditions'!$E$103</f>
        <v>0</v>
      </c>
      <c r="J168" s="6">
        <f t="shared" si="48"/>
        <v>13065977.9</v>
      </c>
      <c r="K168" s="6">
        <f t="shared" si="49"/>
        <v>5388863.2000000002</v>
      </c>
    </row>
    <row r="169" spans="1:11" ht="13">
      <c r="A169" s="2">
        <f t="shared" si="46"/>
        <v>122</v>
      </c>
      <c r="B169" s="329" t="s">
        <v>392</v>
      </c>
      <c r="C169" s="330">
        <v>2027</v>
      </c>
      <c r="D169" s="59">
        <v>1100000</v>
      </c>
      <c r="E169" s="6">
        <f>D169*'16-PlantAdditions'!$E$103</f>
        <v>82500</v>
      </c>
      <c r="F169" s="6">
        <f t="shared" si="47"/>
        <v>1182500</v>
      </c>
      <c r="G169" s="59">
        <v>0</v>
      </c>
      <c r="H169" s="59">
        <v>0</v>
      </c>
      <c r="I169" s="6">
        <f>(G169-H169)*'16-PlantAdditions'!$E$103</f>
        <v>0</v>
      </c>
      <c r="J169" s="6">
        <f t="shared" si="48"/>
        <v>14248477.9</v>
      </c>
      <c r="K169" s="6">
        <f t="shared" si="49"/>
        <v>6571363.2000000002</v>
      </c>
    </row>
    <row r="170" spans="1:11" ht="13">
      <c r="A170" s="2">
        <f t="shared" si="46"/>
        <v>123</v>
      </c>
      <c r="B170" s="329" t="s">
        <v>393</v>
      </c>
      <c r="C170" s="330">
        <v>2027</v>
      </c>
      <c r="D170" s="59">
        <v>1100000</v>
      </c>
      <c r="E170" s="6">
        <f>D170*'16-PlantAdditions'!$E$103</f>
        <v>82500</v>
      </c>
      <c r="F170" s="6">
        <f t="shared" si="47"/>
        <v>1182500</v>
      </c>
      <c r="G170" s="59">
        <v>0</v>
      </c>
      <c r="H170" s="59">
        <v>0</v>
      </c>
      <c r="I170" s="6">
        <f>(G170-H170)*'16-PlantAdditions'!$E$103</f>
        <v>0</v>
      </c>
      <c r="J170" s="6">
        <f t="shared" si="48"/>
        <v>15430977.9</v>
      </c>
      <c r="K170" s="6">
        <f t="shared" si="49"/>
        <v>7753863.2000000002</v>
      </c>
    </row>
    <row r="171" spans="1:11" ht="13">
      <c r="A171" s="2">
        <f t="shared" si="46"/>
        <v>124</v>
      </c>
      <c r="B171" s="329" t="s">
        <v>394</v>
      </c>
      <c r="C171" s="330">
        <v>2027</v>
      </c>
      <c r="D171" s="59">
        <v>1100000</v>
      </c>
      <c r="E171" s="6">
        <f>D171*'16-PlantAdditions'!$E$103</f>
        <v>82500</v>
      </c>
      <c r="F171" s="6">
        <f t="shared" si="47"/>
        <v>1182500</v>
      </c>
      <c r="G171" s="59">
        <v>0</v>
      </c>
      <c r="H171" s="59">
        <v>0</v>
      </c>
      <c r="I171" s="6">
        <f>(G171-H171)*'16-PlantAdditions'!$E$103</f>
        <v>0</v>
      </c>
      <c r="J171" s="6">
        <f t="shared" si="48"/>
        <v>16613477.9</v>
      </c>
      <c r="K171" s="6">
        <f t="shared" si="49"/>
        <v>8936363.1999999993</v>
      </c>
    </row>
    <row r="172" spans="1:11" ht="13">
      <c r="A172" s="2">
        <f t="shared" si="46"/>
        <v>125</v>
      </c>
      <c r="B172" s="329" t="s">
        <v>608</v>
      </c>
      <c r="C172" s="330">
        <v>2027</v>
      </c>
      <c r="D172" s="59">
        <v>1100000</v>
      </c>
      <c r="E172" s="6">
        <f>D172*'16-PlantAdditions'!$E$103</f>
        <v>82500</v>
      </c>
      <c r="F172" s="6">
        <f t="shared" si="47"/>
        <v>1182500</v>
      </c>
      <c r="G172" s="59">
        <v>0</v>
      </c>
      <c r="H172" s="59">
        <v>0</v>
      </c>
      <c r="I172" s="6">
        <f>(G172-H172)*'16-PlantAdditions'!$E$103</f>
        <v>0</v>
      </c>
      <c r="J172" s="6">
        <f t="shared" si="48"/>
        <v>17795977.899999999</v>
      </c>
      <c r="K172" s="6">
        <f t="shared" si="49"/>
        <v>10118863.199999999</v>
      </c>
    </row>
    <row r="173" spans="1:11" ht="13">
      <c r="A173" s="2">
        <f t="shared" si="46"/>
        <v>126</v>
      </c>
      <c r="B173" s="329" t="s">
        <v>396</v>
      </c>
      <c r="C173" s="330">
        <v>2027</v>
      </c>
      <c r="D173" s="59">
        <v>1100000</v>
      </c>
      <c r="E173" s="6">
        <f>D173*'16-PlantAdditions'!$E$103</f>
        <v>82500</v>
      </c>
      <c r="F173" s="6">
        <f t="shared" si="47"/>
        <v>1182500</v>
      </c>
      <c r="G173" s="59">
        <v>0</v>
      </c>
      <c r="H173" s="59">
        <v>0</v>
      </c>
      <c r="I173" s="6">
        <f>(G173-H173)*'16-PlantAdditions'!$E$103</f>
        <v>0</v>
      </c>
      <c r="J173" s="6">
        <f t="shared" si="48"/>
        <v>18978477.899999999</v>
      </c>
      <c r="K173" s="6">
        <f t="shared" si="49"/>
        <v>11301363.199999999</v>
      </c>
    </row>
    <row r="174" spans="1:11" ht="13">
      <c r="A174" s="2">
        <f t="shared" si="46"/>
        <v>127</v>
      </c>
      <c r="B174" s="329" t="s">
        <v>397</v>
      </c>
      <c r="C174" s="330">
        <v>2027</v>
      </c>
      <c r="D174" s="59">
        <v>1100000</v>
      </c>
      <c r="E174" s="6">
        <f>D174*'16-PlantAdditions'!$E$103</f>
        <v>82500</v>
      </c>
      <c r="F174" s="6">
        <f t="shared" si="47"/>
        <v>1182500</v>
      </c>
      <c r="G174" s="59">
        <v>0</v>
      </c>
      <c r="H174" s="59">
        <v>0</v>
      </c>
      <c r="I174" s="6">
        <f>(G174-H174)*'16-PlantAdditions'!$E$103</f>
        <v>0</v>
      </c>
      <c r="J174" s="6">
        <f t="shared" si="48"/>
        <v>20160977.899999999</v>
      </c>
      <c r="K174" s="6">
        <f t="shared" si="49"/>
        <v>12483863.199999999</v>
      </c>
    </row>
    <row r="175" spans="1:11" ht="13">
      <c r="A175" s="2">
        <f t="shared" si="46"/>
        <v>128</v>
      </c>
      <c r="B175" s="329" t="s">
        <v>398</v>
      </c>
      <c r="C175" s="330">
        <v>2027</v>
      </c>
      <c r="D175" s="59">
        <v>1100000</v>
      </c>
      <c r="E175" s="6">
        <f>D175*'16-PlantAdditions'!$E$103</f>
        <v>82500</v>
      </c>
      <c r="F175" s="6">
        <f t="shared" si="47"/>
        <v>1182500</v>
      </c>
      <c r="G175" s="59">
        <v>0</v>
      </c>
      <c r="H175" s="59">
        <v>0</v>
      </c>
      <c r="I175" s="6">
        <f>(G175-H175)*'16-PlantAdditions'!$E$103</f>
        <v>0</v>
      </c>
      <c r="J175" s="6">
        <f t="shared" si="48"/>
        <v>21343477.899999999</v>
      </c>
      <c r="K175" s="6">
        <f t="shared" si="49"/>
        <v>13666363.199999999</v>
      </c>
    </row>
    <row r="176" spans="1:11" ht="13">
      <c r="A176" s="2">
        <f t="shared" si="46"/>
        <v>129</v>
      </c>
      <c r="B176" s="329" t="s">
        <v>399</v>
      </c>
      <c r="C176" s="330">
        <v>2027</v>
      </c>
      <c r="D176" s="59">
        <v>1100000</v>
      </c>
      <c r="E176" s="6">
        <f>D176*'16-PlantAdditions'!$E$103</f>
        <v>82500</v>
      </c>
      <c r="F176" s="6">
        <f t="shared" si="47"/>
        <v>1182500</v>
      </c>
      <c r="G176" s="59">
        <v>0</v>
      </c>
      <c r="H176" s="59">
        <v>0</v>
      </c>
      <c r="I176" s="6">
        <f>(G176-H176)*'16-PlantAdditions'!$E$103</f>
        <v>0</v>
      </c>
      <c r="J176" s="6">
        <f t="shared" ref="J176:J178" si="50">J175+F176-G176-I176</f>
        <v>22525977.899999999</v>
      </c>
      <c r="K176" s="6">
        <f t="shared" si="49"/>
        <v>14848863.199999999</v>
      </c>
    </row>
    <row r="177" spans="1:11" ht="13">
      <c r="A177" s="2">
        <f t="shared" si="46"/>
        <v>130</v>
      </c>
      <c r="B177" s="329" t="s">
        <v>400</v>
      </c>
      <c r="C177" s="330">
        <v>2027</v>
      </c>
      <c r="D177" s="59">
        <v>1100000</v>
      </c>
      <c r="E177" s="6">
        <f>D177*'16-PlantAdditions'!$E$103</f>
        <v>82500</v>
      </c>
      <c r="F177" s="6">
        <f t="shared" si="47"/>
        <v>1182500</v>
      </c>
      <c r="G177" s="59">
        <v>0</v>
      </c>
      <c r="H177" s="59">
        <v>0</v>
      </c>
      <c r="I177" s="6">
        <f>(G177-H177)*'16-PlantAdditions'!$E$103</f>
        <v>0</v>
      </c>
      <c r="J177" s="6">
        <f t="shared" si="50"/>
        <v>23708477.899999999</v>
      </c>
      <c r="K177" s="6">
        <f t="shared" si="49"/>
        <v>16031363.199999999</v>
      </c>
    </row>
    <row r="178" spans="1:11" ht="13">
      <c r="A178" s="2">
        <f t="shared" si="46"/>
        <v>131</v>
      </c>
      <c r="B178" s="329" t="s">
        <v>388</v>
      </c>
      <c r="C178" s="330">
        <v>2027</v>
      </c>
      <c r="D178" s="59">
        <v>1430000</v>
      </c>
      <c r="E178" s="6">
        <f>D178*'16-PlantAdditions'!$E$103</f>
        <v>107250</v>
      </c>
      <c r="F178" s="6">
        <f t="shared" si="47"/>
        <v>1537250</v>
      </c>
      <c r="G178" s="59">
        <v>0</v>
      </c>
      <c r="H178" s="59">
        <v>0</v>
      </c>
      <c r="I178" s="6">
        <f>(G178-H178)*'16-PlantAdditions'!$E$103</f>
        <v>0</v>
      </c>
      <c r="J178" s="6">
        <f t="shared" si="50"/>
        <v>25245727.899999999</v>
      </c>
      <c r="K178" s="53">
        <f t="shared" si="49"/>
        <v>17568613.199999999</v>
      </c>
    </row>
    <row r="179" spans="1:11" ht="13">
      <c r="A179" s="2">
        <f t="shared" si="46"/>
        <v>132</v>
      </c>
      <c r="C179" s="351" t="s">
        <v>1095</v>
      </c>
      <c r="K179" s="42">
        <f>AVERAGE(K166:K178)</f>
        <v>10146151.661538463</v>
      </c>
    </row>
    <row r="180" spans="1:11" ht="13">
      <c r="A180" s="2"/>
      <c r="C180" s="351"/>
      <c r="K180" s="42"/>
    </row>
    <row r="181" spans="1:11" ht="13">
      <c r="B181" s="34" t="s">
        <v>1108</v>
      </c>
      <c r="D181" s="1207" t="s">
        <v>1109</v>
      </c>
      <c r="E181" s="1207"/>
    </row>
    <row r="182" spans="1:11" ht="13">
      <c r="A182" s="3"/>
      <c r="B182" s="3"/>
      <c r="C182" s="3"/>
      <c r="D182" s="3" t="s">
        <v>345</v>
      </c>
      <c r="E182" s="3" t="s">
        <v>346</v>
      </c>
      <c r="F182" s="3" t="s">
        <v>347</v>
      </c>
      <c r="G182" s="3" t="s">
        <v>348</v>
      </c>
      <c r="H182" s="3" t="s">
        <v>349</v>
      </c>
      <c r="I182" s="3" t="s">
        <v>350</v>
      </c>
      <c r="J182" s="3" t="s">
        <v>351</v>
      </c>
      <c r="K182" s="3" t="s">
        <v>352</v>
      </c>
    </row>
    <row r="183" spans="1:11" ht="25.5">
      <c r="D183" s="48"/>
      <c r="E183" s="352" t="s">
        <v>1099</v>
      </c>
      <c r="F183" s="239" t="s">
        <v>1100</v>
      </c>
      <c r="G183" s="239"/>
      <c r="H183" s="48"/>
      <c r="I183" s="352" t="s">
        <v>1101</v>
      </c>
      <c r="J183" s="352" t="s">
        <v>1102</v>
      </c>
      <c r="K183" s="352" t="s">
        <v>1103</v>
      </c>
    </row>
    <row r="184" spans="1:11" ht="13">
      <c r="D184" s="48"/>
      <c r="E184" s="352"/>
      <c r="F184" s="239"/>
      <c r="G184" s="4" t="str">
        <f>G51</f>
        <v>Unloaded</v>
      </c>
      <c r="H184" s="48"/>
      <c r="I184" s="352"/>
      <c r="J184" s="352"/>
      <c r="K184" s="352"/>
    </row>
    <row r="185" spans="1:11" ht="13">
      <c r="A185" s="2"/>
      <c r="B185" s="2"/>
      <c r="C185" s="2"/>
      <c r="D185" s="2" t="str">
        <f>D$52</f>
        <v>Forecast</v>
      </c>
      <c r="E185" s="2" t="str">
        <f t="shared" ref="E185:J185" si="51">E$52</f>
        <v>Corporate</v>
      </c>
      <c r="F185" s="2" t="str">
        <f t="shared" si="51"/>
        <v xml:space="preserve">Total </v>
      </c>
      <c r="G185" s="4" t="str">
        <f>G52</f>
        <v>Total</v>
      </c>
      <c r="H185" s="2" t="str">
        <f t="shared" si="51"/>
        <v>Prior Period</v>
      </c>
      <c r="I185" s="2" t="str">
        <f t="shared" si="51"/>
        <v>Over Heads</v>
      </c>
      <c r="J185" s="2" t="str">
        <f t="shared" si="51"/>
        <v>Forecast</v>
      </c>
      <c r="K185" s="2" t="str">
        <f>K$52</f>
        <v>Forecast Period</v>
      </c>
    </row>
    <row r="186" spans="1:11" ht="13">
      <c r="A186" s="30" t="s">
        <v>282</v>
      </c>
      <c r="B186" s="328" t="s">
        <v>380</v>
      </c>
      <c r="C186" s="328" t="s">
        <v>381</v>
      </c>
      <c r="D186" s="3" t="str">
        <f>D$53</f>
        <v>Expenditures</v>
      </c>
      <c r="E186" s="3" t="str">
        <f t="shared" ref="E186:J186" si="52">E$53</f>
        <v>Overheads</v>
      </c>
      <c r="F186" s="3" t="str">
        <f t="shared" si="52"/>
        <v>CWIP Exp</v>
      </c>
      <c r="G186" s="48" t="str">
        <f>G53</f>
        <v>Plant Adds</v>
      </c>
      <c r="H186" s="3" t="str">
        <f t="shared" si="52"/>
        <v>CWIP Closed</v>
      </c>
      <c r="I186" s="3" t="str">
        <f t="shared" si="52"/>
        <v>Closed to PIS</v>
      </c>
      <c r="J186" s="3" t="str">
        <f t="shared" si="52"/>
        <v>Period CWIP</v>
      </c>
      <c r="K186" s="3" t="str">
        <f>K$53</f>
        <v>Incremental CWIP</v>
      </c>
    </row>
    <row r="187" spans="1:11" ht="13">
      <c r="A187" s="2">
        <f>A179+1</f>
        <v>133</v>
      </c>
      <c r="B187" s="329" t="s">
        <v>388</v>
      </c>
      <c r="C187" s="330">
        <v>2025</v>
      </c>
      <c r="D187" s="239" t="s">
        <v>389</v>
      </c>
      <c r="E187" s="239" t="s">
        <v>389</v>
      </c>
      <c r="F187" s="239" t="s">
        <v>389</v>
      </c>
      <c r="G187" s="239" t="s">
        <v>389</v>
      </c>
      <c r="H187" s="239" t="s">
        <v>389</v>
      </c>
      <c r="I187" s="239" t="s">
        <v>389</v>
      </c>
      <c r="J187" s="6">
        <f>H25</f>
        <v>7677191.9699999997</v>
      </c>
      <c r="K187" s="239" t="s">
        <v>389</v>
      </c>
    </row>
    <row r="188" spans="1:11" ht="13">
      <c r="A188" s="2">
        <f>A187+1</f>
        <v>134</v>
      </c>
      <c r="B188" s="329" t="s">
        <v>390</v>
      </c>
      <c r="C188" s="330">
        <v>2026</v>
      </c>
      <c r="D188" s="59">
        <v>8259</v>
      </c>
      <c r="E188" s="6">
        <f>D188*'16-PlantAdditions'!$E$103</f>
        <v>619.42499999999995</v>
      </c>
      <c r="F188" s="6">
        <f>E188+D188</f>
        <v>8878.4249999999993</v>
      </c>
      <c r="G188" s="59">
        <v>7881</v>
      </c>
      <c r="H188" s="59">
        <v>0</v>
      </c>
      <c r="I188" s="6">
        <f>(G188-H188)*'16-PlantAdditions'!$E$103</f>
        <v>591.07499999999993</v>
      </c>
      <c r="J188" s="6">
        <f>J187+F188-G188-I188</f>
        <v>7677598.3199999994</v>
      </c>
      <c r="K188" s="6">
        <f>J188-$J$187</f>
        <v>406.34999999962747</v>
      </c>
    </row>
    <row r="189" spans="1:11" ht="13">
      <c r="A189" s="2">
        <f t="shared" ref="A189:A212" si="53">A188+1</f>
        <v>135</v>
      </c>
      <c r="B189" s="329" t="s">
        <v>391</v>
      </c>
      <c r="C189" s="330">
        <v>2026</v>
      </c>
      <c r="D189" s="59">
        <v>14303</v>
      </c>
      <c r="E189" s="6">
        <f>D189*'16-PlantAdditions'!$E$103</f>
        <v>1072.7249999999999</v>
      </c>
      <c r="F189" s="6">
        <f t="shared" ref="F189:F208" si="54">E189+D189</f>
        <v>15375.725</v>
      </c>
      <c r="G189" s="59">
        <v>14368</v>
      </c>
      <c r="H189" s="59">
        <v>0</v>
      </c>
      <c r="I189" s="6">
        <f>(G189-H189)*'16-PlantAdditions'!$E$103</f>
        <v>1077.5999999999999</v>
      </c>
      <c r="J189" s="6">
        <f t="shared" ref="J189:J208" si="55">J188+F189-G189-I189</f>
        <v>7677528.4449999994</v>
      </c>
      <c r="K189" s="6">
        <f t="shared" ref="K189:K211" si="56">J189-$J$187</f>
        <v>336.47499999962747</v>
      </c>
    </row>
    <row r="190" spans="1:11" ht="13">
      <c r="A190" s="2">
        <f t="shared" si="53"/>
        <v>136</v>
      </c>
      <c r="B190" s="329" t="s">
        <v>392</v>
      </c>
      <c r="C190" s="330">
        <v>2026</v>
      </c>
      <c r="D190" s="59">
        <v>50000</v>
      </c>
      <c r="E190" s="6">
        <f>D190*'16-PlantAdditions'!$E$103</f>
        <v>3750</v>
      </c>
      <c r="F190" s="6">
        <f t="shared" si="54"/>
        <v>53750</v>
      </c>
      <c r="G190" s="59">
        <v>50000</v>
      </c>
      <c r="H190" s="59">
        <v>0</v>
      </c>
      <c r="I190" s="6">
        <f>(G190-H190)*'16-PlantAdditions'!$E$103</f>
        <v>3750</v>
      </c>
      <c r="J190" s="6">
        <f t="shared" si="55"/>
        <v>7677528.4449999994</v>
      </c>
      <c r="K190" s="6">
        <f t="shared" si="56"/>
        <v>336.47499999962747</v>
      </c>
    </row>
    <row r="191" spans="1:11" ht="13">
      <c r="A191" s="2">
        <f t="shared" si="53"/>
        <v>137</v>
      </c>
      <c r="B191" s="329" t="s">
        <v>393</v>
      </c>
      <c r="C191" s="330">
        <v>2026</v>
      </c>
      <c r="D191" s="59">
        <v>50000</v>
      </c>
      <c r="E191" s="6">
        <f>D191*'16-PlantAdditions'!$E$103</f>
        <v>3750</v>
      </c>
      <c r="F191" s="6">
        <f t="shared" si="54"/>
        <v>53750</v>
      </c>
      <c r="G191" s="59">
        <v>50000</v>
      </c>
      <c r="H191" s="59">
        <v>0</v>
      </c>
      <c r="I191" s="6">
        <f>(G191-H191)*'16-PlantAdditions'!$E$103</f>
        <v>3750</v>
      </c>
      <c r="J191" s="6">
        <f t="shared" si="55"/>
        <v>7677528.4449999994</v>
      </c>
      <c r="K191" s="6">
        <f t="shared" si="56"/>
        <v>336.47499999962747</v>
      </c>
    </row>
    <row r="192" spans="1:11" ht="13">
      <c r="A192" s="2">
        <f t="shared" si="53"/>
        <v>138</v>
      </c>
      <c r="B192" s="329" t="s">
        <v>394</v>
      </c>
      <c r="C192" s="330">
        <v>2026</v>
      </c>
      <c r="D192" s="59">
        <v>50000</v>
      </c>
      <c r="E192" s="6">
        <f>D192*'16-PlantAdditions'!$E$103</f>
        <v>3750</v>
      </c>
      <c r="F192" s="6">
        <f t="shared" si="54"/>
        <v>53750</v>
      </c>
      <c r="G192" s="59">
        <v>50000</v>
      </c>
      <c r="H192" s="59">
        <v>0</v>
      </c>
      <c r="I192" s="6">
        <f>(G192-H192)*'16-PlantAdditions'!$E$103</f>
        <v>3750</v>
      </c>
      <c r="J192" s="6">
        <f t="shared" si="55"/>
        <v>7677528.4449999994</v>
      </c>
      <c r="K192" s="6">
        <f t="shared" si="56"/>
        <v>336.47499999962747</v>
      </c>
    </row>
    <row r="193" spans="1:11" ht="13">
      <c r="A193" s="2">
        <f t="shared" si="53"/>
        <v>139</v>
      </c>
      <c r="B193" s="329" t="s">
        <v>608</v>
      </c>
      <c r="C193" s="330">
        <v>2026</v>
      </c>
      <c r="D193" s="59">
        <v>50000</v>
      </c>
      <c r="E193" s="6">
        <f>D193*'16-PlantAdditions'!$E$103</f>
        <v>3750</v>
      </c>
      <c r="F193" s="6">
        <f t="shared" si="54"/>
        <v>53750</v>
      </c>
      <c r="G193" s="59">
        <v>7727504.9699999997</v>
      </c>
      <c r="H193" s="59">
        <v>7677191.9699999997</v>
      </c>
      <c r="I193" s="6">
        <f>(G193-H193)*'16-PlantAdditions'!$E$103</f>
        <v>3773.4749999999999</v>
      </c>
      <c r="J193" s="6">
        <f t="shared" si="55"/>
        <v>-3.7243808037601411E-10</v>
      </c>
      <c r="K193" s="6">
        <f t="shared" si="56"/>
        <v>-7677191.9699999997</v>
      </c>
    </row>
    <row r="194" spans="1:11" ht="13">
      <c r="A194" s="2">
        <f t="shared" si="53"/>
        <v>140</v>
      </c>
      <c r="B194" s="329" t="s">
        <v>396</v>
      </c>
      <c r="C194" s="330">
        <v>2026</v>
      </c>
      <c r="D194" s="59">
        <v>50000</v>
      </c>
      <c r="E194" s="6">
        <f>D194*'16-PlantAdditions'!$E$103</f>
        <v>3750</v>
      </c>
      <c r="F194" s="6">
        <f t="shared" si="54"/>
        <v>53750</v>
      </c>
      <c r="G194" s="59">
        <v>50000</v>
      </c>
      <c r="H194" s="59">
        <v>0</v>
      </c>
      <c r="I194" s="6">
        <f>(G194-H194)*'16-PlantAdditions'!$E$103</f>
        <v>3750</v>
      </c>
      <c r="J194" s="6">
        <f t="shared" si="55"/>
        <v>-3.7107383832335472E-10</v>
      </c>
      <c r="K194" s="6">
        <f t="shared" si="56"/>
        <v>-7677191.9699999997</v>
      </c>
    </row>
    <row r="195" spans="1:11" ht="13">
      <c r="A195" s="2">
        <f t="shared" si="53"/>
        <v>141</v>
      </c>
      <c r="B195" s="329" t="s">
        <v>397</v>
      </c>
      <c r="C195" s="330">
        <v>2026</v>
      </c>
      <c r="D195" s="59">
        <v>50000</v>
      </c>
      <c r="E195" s="6">
        <f>D195*'16-PlantAdditions'!$E$103</f>
        <v>3750</v>
      </c>
      <c r="F195" s="6">
        <f t="shared" si="54"/>
        <v>53750</v>
      </c>
      <c r="G195" s="59">
        <v>50000</v>
      </c>
      <c r="H195" s="59">
        <v>0</v>
      </c>
      <c r="I195" s="6">
        <f>(G195-H195)*'16-PlantAdditions'!$E$103</f>
        <v>3750</v>
      </c>
      <c r="J195" s="6">
        <f t="shared" si="55"/>
        <v>-3.7107383832335472E-10</v>
      </c>
      <c r="K195" s="6">
        <f t="shared" si="56"/>
        <v>-7677191.9699999997</v>
      </c>
    </row>
    <row r="196" spans="1:11" ht="13">
      <c r="A196" s="2">
        <f t="shared" si="53"/>
        <v>142</v>
      </c>
      <c r="B196" s="329" t="s">
        <v>398</v>
      </c>
      <c r="C196" s="330">
        <v>2026</v>
      </c>
      <c r="D196" s="59">
        <v>50000</v>
      </c>
      <c r="E196" s="6">
        <f>D196*'16-PlantAdditions'!$E$103</f>
        <v>3750</v>
      </c>
      <c r="F196" s="6">
        <f t="shared" si="54"/>
        <v>53750</v>
      </c>
      <c r="G196" s="59">
        <v>50000</v>
      </c>
      <c r="H196" s="59">
        <v>0</v>
      </c>
      <c r="I196" s="6">
        <f>(G196-H196)*'16-PlantAdditions'!$E$103</f>
        <v>3750</v>
      </c>
      <c r="J196" s="6">
        <f t="shared" si="55"/>
        <v>-3.7107383832335472E-10</v>
      </c>
      <c r="K196" s="6">
        <f t="shared" si="56"/>
        <v>-7677191.9699999997</v>
      </c>
    </row>
    <row r="197" spans="1:11" ht="13">
      <c r="A197" s="2">
        <f t="shared" si="53"/>
        <v>143</v>
      </c>
      <c r="B197" s="329" t="s">
        <v>399</v>
      </c>
      <c r="C197" s="330">
        <v>2026</v>
      </c>
      <c r="D197" s="59">
        <v>50000</v>
      </c>
      <c r="E197" s="6">
        <f>D197*'16-PlantAdditions'!$E$103</f>
        <v>3750</v>
      </c>
      <c r="F197" s="6">
        <f t="shared" si="54"/>
        <v>53750</v>
      </c>
      <c r="G197" s="59">
        <v>50000</v>
      </c>
      <c r="H197" s="59">
        <v>0</v>
      </c>
      <c r="I197" s="6">
        <f>(G197-H197)*'16-PlantAdditions'!$E$103</f>
        <v>3750</v>
      </c>
      <c r="J197" s="6">
        <f t="shared" si="55"/>
        <v>-3.7107383832335472E-10</v>
      </c>
      <c r="K197" s="6">
        <f t="shared" si="56"/>
        <v>-7677191.9699999997</v>
      </c>
    </row>
    <row r="198" spans="1:11" ht="13">
      <c r="A198" s="2">
        <f t="shared" si="53"/>
        <v>144</v>
      </c>
      <c r="B198" s="329" t="s">
        <v>400</v>
      </c>
      <c r="C198" s="330">
        <v>2026</v>
      </c>
      <c r="D198" s="59">
        <v>50000</v>
      </c>
      <c r="E198" s="6">
        <f>D198*'16-PlantAdditions'!$E$103</f>
        <v>3750</v>
      </c>
      <c r="F198" s="6">
        <f t="shared" si="54"/>
        <v>53750</v>
      </c>
      <c r="G198" s="59">
        <v>50000</v>
      </c>
      <c r="H198" s="59">
        <v>0</v>
      </c>
      <c r="I198" s="6">
        <f>(G198-H198)*'16-PlantAdditions'!$E$103</f>
        <v>3750</v>
      </c>
      <c r="J198" s="6">
        <f t="shared" si="55"/>
        <v>-3.7107383832335472E-10</v>
      </c>
      <c r="K198" s="6">
        <f t="shared" si="56"/>
        <v>-7677191.9699999997</v>
      </c>
    </row>
    <row r="199" spans="1:11" ht="13">
      <c r="A199" s="2">
        <f t="shared" si="53"/>
        <v>145</v>
      </c>
      <c r="B199" s="329" t="s">
        <v>388</v>
      </c>
      <c r="C199" s="330">
        <v>2026</v>
      </c>
      <c r="D199" s="59">
        <v>77751</v>
      </c>
      <c r="E199" s="6">
        <f>D199*'16-PlantAdditions'!$E$103</f>
        <v>5831.3249999999998</v>
      </c>
      <c r="F199" s="6">
        <f t="shared" si="54"/>
        <v>83582.324999999997</v>
      </c>
      <c r="G199" s="59">
        <v>77751</v>
      </c>
      <c r="H199" s="59">
        <v>0</v>
      </c>
      <c r="I199" s="6">
        <f>(G199-H199)*'16-PlantAdditions'!$E$103</f>
        <v>5831.3249999999998</v>
      </c>
      <c r="J199" s="6">
        <f t="shared" si="55"/>
        <v>-3.6652636481449008E-10</v>
      </c>
      <c r="K199" s="6">
        <f t="shared" si="56"/>
        <v>-7677191.9699999997</v>
      </c>
    </row>
    <row r="200" spans="1:11" ht="13">
      <c r="A200" s="2">
        <f t="shared" si="53"/>
        <v>146</v>
      </c>
      <c r="B200" s="329" t="s">
        <v>390</v>
      </c>
      <c r="C200" s="330">
        <v>2027</v>
      </c>
      <c r="D200" s="59">
        <v>0</v>
      </c>
      <c r="E200" s="6">
        <f>D200*'16-PlantAdditions'!$E$103</f>
        <v>0</v>
      </c>
      <c r="F200" s="6">
        <f t="shared" si="54"/>
        <v>0</v>
      </c>
      <c r="G200" s="59">
        <v>0</v>
      </c>
      <c r="H200" s="59">
        <v>0</v>
      </c>
      <c r="I200" s="6">
        <f>(G200-H200)*'16-PlantAdditions'!$E$103</f>
        <v>0</v>
      </c>
      <c r="J200" s="6">
        <f t="shared" si="55"/>
        <v>-3.6652636481449008E-10</v>
      </c>
      <c r="K200" s="6">
        <f t="shared" si="56"/>
        <v>-7677191.9699999997</v>
      </c>
    </row>
    <row r="201" spans="1:11" ht="13">
      <c r="A201" s="2">
        <f t="shared" si="53"/>
        <v>147</v>
      </c>
      <c r="B201" s="329" t="s">
        <v>391</v>
      </c>
      <c r="C201" s="330">
        <v>2027</v>
      </c>
      <c r="D201" s="59">
        <v>0</v>
      </c>
      <c r="E201" s="6">
        <f>D201*'16-PlantAdditions'!$E$103</f>
        <v>0</v>
      </c>
      <c r="F201" s="6">
        <f t="shared" si="54"/>
        <v>0</v>
      </c>
      <c r="G201" s="59">
        <v>0</v>
      </c>
      <c r="H201" s="59">
        <v>0</v>
      </c>
      <c r="I201" s="6">
        <f>(G201-H201)*'16-PlantAdditions'!$E$103</f>
        <v>0</v>
      </c>
      <c r="J201" s="6">
        <f t="shared" si="55"/>
        <v>-3.6652636481449008E-10</v>
      </c>
      <c r="K201" s="6">
        <f t="shared" si="56"/>
        <v>-7677191.9699999997</v>
      </c>
    </row>
    <row r="202" spans="1:11" ht="13">
      <c r="A202" s="2">
        <f t="shared" si="53"/>
        <v>148</v>
      </c>
      <c r="B202" s="329" t="s">
        <v>392</v>
      </c>
      <c r="C202" s="330">
        <v>2027</v>
      </c>
      <c r="D202" s="59">
        <v>0</v>
      </c>
      <c r="E202" s="6">
        <f>D202*'16-PlantAdditions'!$E$103</f>
        <v>0</v>
      </c>
      <c r="F202" s="6">
        <f t="shared" si="54"/>
        <v>0</v>
      </c>
      <c r="G202" s="59">
        <v>0</v>
      </c>
      <c r="H202" s="59">
        <v>0</v>
      </c>
      <c r="I202" s="6">
        <f>(G202-H202)*'16-PlantAdditions'!$E$103</f>
        <v>0</v>
      </c>
      <c r="J202" s="6">
        <f t="shared" si="55"/>
        <v>-3.6652636481449008E-10</v>
      </c>
      <c r="K202" s="6">
        <f t="shared" si="56"/>
        <v>-7677191.9699999997</v>
      </c>
    </row>
    <row r="203" spans="1:11" ht="13">
      <c r="A203" s="2">
        <f t="shared" si="53"/>
        <v>149</v>
      </c>
      <c r="B203" s="329" t="s">
        <v>393</v>
      </c>
      <c r="C203" s="330">
        <v>2027</v>
      </c>
      <c r="D203" s="59">
        <v>0</v>
      </c>
      <c r="E203" s="6">
        <f>D203*'16-PlantAdditions'!$E$103</f>
        <v>0</v>
      </c>
      <c r="F203" s="6">
        <f t="shared" si="54"/>
        <v>0</v>
      </c>
      <c r="G203" s="59">
        <v>0</v>
      </c>
      <c r="H203" s="59">
        <v>0</v>
      </c>
      <c r="I203" s="6">
        <f>(G203-H203)*'16-PlantAdditions'!$E$103</f>
        <v>0</v>
      </c>
      <c r="J203" s="6">
        <f t="shared" si="55"/>
        <v>-3.6652636481449008E-10</v>
      </c>
      <c r="K203" s="6">
        <f t="shared" si="56"/>
        <v>-7677191.9699999997</v>
      </c>
    </row>
    <row r="204" spans="1:11" ht="13">
      <c r="A204" s="2">
        <f t="shared" si="53"/>
        <v>150</v>
      </c>
      <c r="B204" s="329" t="s">
        <v>394</v>
      </c>
      <c r="C204" s="330">
        <v>2027</v>
      </c>
      <c r="D204" s="59">
        <v>0</v>
      </c>
      <c r="E204" s="6">
        <f>D204*'16-PlantAdditions'!$E$103</f>
        <v>0</v>
      </c>
      <c r="F204" s="6">
        <f t="shared" si="54"/>
        <v>0</v>
      </c>
      <c r="G204" s="59">
        <v>0</v>
      </c>
      <c r="H204" s="59">
        <v>0</v>
      </c>
      <c r="I204" s="6">
        <f>(G204-H204)*'16-PlantAdditions'!$E$103</f>
        <v>0</v>
      </c>
      <c r="J204" s="6">
        <f t="shared" si="55"/>
        <v>-3.6652636481449008E-10</v>
      </c>
      <c r="K204" s="6">
        <f t="shared" si="56"/>
        <v>-7677191.9699999997</v>
      </c>
    </row>
    <row r="205" spans="1:11" ht="13">
      <c r="A205" s="2">
        <f t="shared" si="53"/>
        <v>151</v>
      </c>
      <c r="B205" s="329" t="s">
        <v>608</v>
      </c>
      <c r="C205" s="330">
        <v>2027</v>
      </c>
      <c r="D205" s="59">
        <v>0</v>
      </c>
      <c r="E205" s="6">
        <f>D205*'16-PlantAdditions'!$E$103</f>
        <v>0</v>
      </c>
      <c r="F205" s="6">
        <f t="shared" si="54"/>
        <v>0</v>
      </c>
      <c r="G205" s="59">
        <v>0</v>
      </c>
      <c r="H205" s="59">
        <v>0</v>
      </c>
      <c r="I205" s="6">
        <f>(G205-H205)*'16-PlantAdditions'!$E$103</f>
        <v>0</v>
      </c>
      <c r="J205" s="6">
        <f t="shared" si="55"/>
        <v>-3.6652636481449008E-10</v>
      </c>
      <c r="K205" s="6">
        <f t="shared" si="56"/>
        <v>-7677191.9699999997</v>
      </c>
    </row>
    <row r="206" spans="1:11" ht="13">
      <c r="A206" s="2">
        <f t="shared" si="53"/>
        <v>152</v>
      </c>
      <c r="B206" s="329" t="s">
        <v>396</v>
      </c>
      <c r="C206" s="330">
        <v>2027</v>
      </c>
      <c r="D206" s="59">
        <v>0</v>
      </c>
      <c r="E206" s="6">
        <f>D206*'16-PlantAdditions'!$E$103</f>
        <v>0</v>
      </c>
      <c r="F206" s="6">
        <f t="shared" si="54"/>
        <v>0</v>
      </c>
      <c r="G206" s="59">
        <v>0</v>
      </c>
      <c r="H206" s="59">
        <v>0</v>
      </c>
      <c r="I206" s="6">
        <f>(G206-H206)*'16-PlantAdditions'!$E$103</f>
        <v>0</v>
      </c>
      <c r="J206" s="6">
        <f t="shared" si="55"/>
        <v>-3.6652636481449008E-10</v>
      </c>
      <c r="K206" s="6">
        <f t="shared" si="56"/>
        <v>-7677191.9699999997</v>
      </c>
    </row>
    <row r="207" spans="1:11" ht="13">
      <c r="A207" s="2">
        <f t="shared" si="53"/>
        <v>153</v>
      </c>
      <c r="B207" s="329" t="s">
        <v>397</v>
      </c>
      <c r="C207" s="330">
        <v>2027</v>
      </c>
      <c r="D207" s="59">
        <v>0</v>
      </c>
      <c r="E207" s="6">
        <f>D207*'16-PlantAdditions'!$E$103</f>
        <v>0</v>
      </c>
      <c r="F207" s="6">
        <f t="shared" si="54"/>
        <v>0</v>
      </c>
      <c r="G207" s="59">
        <v>0</v>
      </c>
      <c r="H207" s="59">
        <v>0</v>
      </c>
      <c r="I207" s="6">
        <f>(G207-H207)*'16-PlantAdditions'!$E$103</f>
        <v>0</v>
      </c>
      <c r="J207" s="6">
        <f t="shared" si="55"/>
        <v>-3.6652636481449008E-10</v>
      </c>
      <c r="K207" s="6">
        <f t="shared" si="56"/>
        <v>-7677191.9699999997</v>
      </c>
    </row>
    <row r="208" spans="1:11" ht="13">
      <c r="A208" s="2">
        <f t="shared" si="53"/>
        <v>154</v>
      </c>
      <c r="B208" s="329" t="s">
        <v>398</v>
      </c>
      <c r="C208" s="330">
        <v>2027</v>
      </c>
      <c r="D208" s="59">
        <v>0</v>
      </c>
      <c r="E208" s="6">
        <f>D208*'16-PlantAdditions'!$E$103</f>
        <v>0</v>
      </c>
      <c r="F208" s="6">
        <f t="shared" si="54"/>
        <v>0</v>
      </c>
      <c r="G208" s="59">
        <v>0</v>
      </c>
      <c r="H208" s="59">
        <v>0</v>
      </c>
      <c r="I208" s="6">
        <f>(G208-H208)*'16-PlantAdditions'!$E$103</f>
        <v>0</v>
      </c>
      <c r="J208" s="6">
        <f t="shared" si="55"/>
        <v>-3.6652636481449008E-10</v>
      </c>
      <c r="K208" s="6">
        <f t="shared" si="56"/>
        <v>-7677191.9699999997</v>
      </c>
    </row>
    <row r="209" spans="1:11" ht="13">
      <c r="A209" s="2">
        <f t="shared" si="53"/>
        <v>155</v>
      </c>
      <c r="B209" s="329" t="s">
        <v>399</v>
      </c>
      <c r="C209" s="330">
        <v>2027</v>
      </c>
      <c r="D209" s="59">
        <v>0</v>
      </c>
      <c r="E209" s="6">
        <f>D209*'16-PlantAdditions'!$E$103</f>
        <v>0</v>
      </c>
      <c r="F209" s="6">
        <f t="shared" ref="F209:F211" si="57">E209+D209</f>
        <v>0</v>
      </c>
      <c r="G209" s="59">
        <v>0</v>
      </c>
      <c r="H209" s="59">
        <v>0</v>
      </c>
      <c r="I209" s="6">
        <f>(G209-H209)*'16-PlantAdditions'!$E$103</f>
        <v>0</v>
      </c>
      <c r="J209" s="6">
        <f t="shared" ref="J209:J211" si="58">J208+F209-G209-I209</f>
        <v>-3.6652636481449008E-10</v>
      </c>
      <c r="K209" s="6">
        <f t="shared" si="56"/>
        <v>-7677191.9699999997</v>
      </c>
    </row>
    <row r="210" spans="1:11" ht="13">
      <c r="A210" s="2">
        <f t="shared" si="53"/>
        <v>156</v>
      </c>
      <c r="B210" s="329" t="s">
        <v>400</v>
      </c>
      <c r="C210" s="330">
        <v>2027</v>
      </c>
      <c r="D210" s="59">
        <v>0</v>
      </c>
      <c r="E210" s="6">
        <f>D210*'16-PlantAdditions'!$E$103</f>
        <v>0</v>
      </c>
      <c r="F210" s="6">
        <f t="shared" si="57"/>
        <v>0</v>
      </c>
      <c r="G210" s="59">
        <v>0</v>
      </c>
      <c r="H210" s="59">
        <v>0</v>
      </c>
      <c r="I210" s="6">
        <f>(G210-H210)*'16-PlantAdditions'!$E$103</f>
        <v>0</v>
      </c>
      <c r="J210" s="6">
        <f t="shared" si="58"/>
        <v>-3.6652636481449008E-10</v>
      </c>
      <c r="K210" s="6">
        <f t="shared" si="56"/>
        <v>-7677191.9699999997</v>
      </c>
    </row>
    <row r="211" spans="1:11" ht="13">
      <c r="A211" s="2">
        <f t="shared" si="53"/>
        <v>157</v>
      </c>
      <c r="B211" s="329" t="s">
        <v>388</v>
      </c>
      <c r="C211" s="330">
        <v>2027</v>
      </c>
      <c r="D211" s="59">
        <v>0</v>
      </c>
      <c r="E211" s="6">
        <f>D211*'16-PlantAdditions'!$E$103</f>
        <v>0</v>
      </c>
      <c r="F211" s="6">
        <f t="shared" si="57"/>
        <v>0</v>
      </c>
      <c r="G211" s="59">
        <v>0</v>
      </c>
      <c r="H211" s="59">
        <v>0</v>
      </c>
      <c r="I211" s="6">
        <f>(G211-H211)*'16-PlantAdditions'!$E$103</f>
        <v>0</v>
      </c>
      <c r="J211" s="6">
        <f t="shared" si="58"/>
        <v>-3.6652636481449008E-10</v>
      </c>
      <c r="K211" s="53">
        <f t="shared" si="56"/>
        <v>-7677191.9699999997</v>
      </c>
    </row>
    <row r="212" spans="1:11" ht="13">
      <c r="A212" s="2">
        <f t="shared" si="53"/>
        <v>158</v>
      </c>
      <c r="C212" s="351" t="s">
        <v>1095</v>
      </c>
      <c r="K212" s="42">
        <f>AVERAGE(K199:K211)</f>
        <v>-7677191.9699999997</v>
      </c>
    </row>
    <row r="213" spans="1:11" ht="13">
      <c r="A213" s="2"/>
      <c r="C213" s="351"/>
      <c r="K213" s="42"/>
    </row>
    <row r="214" spans="1:11" ht="13">
      <c r="B214" s="34" t="s">
        <v>1110</v>
      </c>
      <c r="D214" s="1207" t="s">
        <v>1064</v>
      </c>
      <c r="E214" s="1207"/>
    </row>
    <row r="215" spans="1:11" ht="13">
      <c r="B215" s="34"/>
      <c r="D215" s="3" t="s">
        <v>345</v>
      </c>
      <c r="E215" s="3" t="s">
        <v>346</v>
      </c>
      <c r="F215" s="3" t="s">
        <v>347</v>
      </c>
      <c r="G215" s="3" t="s">
        <v>348</v>
      </c>
      <c r="H215" s="3" t="s">
        <v>349</v>
      </c>
      <c r="I215" s="3" t="s">
        <v>350</v>
      </c>
      <c r="J215" s="3" t="s">
        <v>351</v>
      </c>
      <c r="K215" s="3" t="s">
        <v>352</v>
      </c>
    </row>
    <row r="216" spans="1:11" ht="25.5">
      <c r="B216" s="34"/>
      <c r="D216" s="48"/>
      <c r="E216" s="352" t="s">
        <v>1099</v>
      </c>
      <c r="F216" s="239" t="s">
        <v>1100</v>
      </c>
      <c r="G216" s="239"/>
      <c r="H216" s="48"/>
      <c r="I216" s="352" t="s">
        <v>1101</v>
      </c>
      <c r="J216" s="352" t="s">
        <v>1102</v>
      </c>
      <c r="K216" s="352" t="s">
        <v>1103</v>
      </c>
    </row>
    <row r="217" spans="1:11" ht="13">
      <c r="D217" s="48"/>
      <c r="E217" s="48"/>
      <c r="F217" s="48"/>
      <c r="G217" s="2" t="str">
        <f>G51</f>
        <v>Unloaded</v>
      </c>
      <c r="H217" s="48"/>
      <c r="I217" s="48"/>
    </row>
    <row r="218" spans="1:11" ht="13">
      <c r="A218" s="2"/>
      <c r="B218" s="2"/>
      <c r="C218" s="2"/>
      <c r="D218" s="2" t="str">
        <f>D$52</f>
        <v>Forecast</v>
      </c>
      <c r="E218" s="2" t="str">
        <f t="shared" ref="E218:J218" si="59">E$52</f>
        <v>Corporate</v>
      </c>
      <c r="F218" s="2" t="str">
        <f t="shared" si="59"/>
        <v xml:space="preserve">Total </v>
      </c>
      <c r="G218" s="2" t="str">
        <f>G52</f>
        <v>Total</v>
      </c>
      <c r="H218" s="2" t="str">
        <f t="shared" si="59"/>
        <v>Prior Period</v>
      </c>
      <c r="I218" s="2" t="str">
        <f t="shared" si="59"/>
        <v>Over Heads</v>
      </c>
      <c r="J218" s="2" t="str">
        <f t="shared" si="59"/>
        <v>Forecast</v>
      </c>
      <c r="K218" s="2" t="str">
        <f>K$52</f>
        <v>Forecast Period</v>
      </c>
    </row>
    <row r="219" spans="1:11" ht="13">
      <c r="A219" s="30" t="s">
        <v>282</v>
      </c>
      <c r="B219" s="328" t="s">
        <v>380</v>
      </c>
      <c r="C219" s="328" t="s">
        <v>381</v>
      </c>
      <c r="D219" s="3" t="str">
        <f>D$53</f>
        <v>Expenditures</v>
      </c>
      <c r="E219" s="3" t="str">
        <f t="shared" ref="E219:J219" si="60">E$53</f>
        <v>Overheads</v>
      </c>
      <c r="F219" s="3" t="str">
        <f t="shared" si="60"/>
        <v>CWIP Exp</v>
      </c>
      <c r="G219" s="3" t="str">
        <f>G53</f>
        <v>Plant Adds</v>
      </c>
      <c r="H219" s="3" t="str">
        <f t="shared" si="60"/>
        <v>CWIP Closed</v>
      </c>
      <c r="I219" s="3" t="str">
        <f t="shared" si="60"/>
        <v>Closed to PIS</v>
      </c>
      <c r="J219" s="3" t="str">
        <f t="shared" si="60"/>
        <v>Period CWIP</v>
      </c>
      <c r="K219" s="3" t="str">
        <f>K$53</f>
        <v>Incremental CWIP</v>
      </c>
    </row>
    <row r="220" spans="1:11" ht="13">
      <c r="A220" s="2">
        <f>A212+1</f>
        <v>159</v>
      </c>
      <c r="B220" s="329" t="s">
        <v>388</v>
      </c>
      <c r="C220" s="330">
        <v>2025</v>
      </c>
      <c r="D220" s="239" t="s">
        <v>389</v>
      </c>
      <c r="E220" s="239" t="s">
        <v>389</v>
      </c>
      <c r="F220" s="239" t="s">
        <v>389</v>
      </c>
      <c r="G220" s="239" t="s">
        <v>389</v>
      </c>
      <c r="H220" s="239" t="s">
        <v>389</v>
      </c>
      <c r="I220" s="239" t="s">
        <v>389</v>
      </c>
      <c r="J220" s="6">
        <f>I25</f>
        <v>0</v>
      </c>
      <c r="K220" s="239" t="s">
        <v>389</v>
      </c>
    </row>
    <row r="221" spans="1:11" ht="13">
      <c r="A221" s="2">
        <f>A220+1</f>
        <v>160</v>
      </c>
      <c r="B221" s="329" t="s">
        <v>390</v>
      </c>
      <c r="C221" s="330">
        <v>2026</v>
      </c>
      <c r="D221" s="59">
        <v>0</v>
      </c>
      <c r="E221" s="6">
        <f>D221*'16-PlantAdditions'!$E$103</f>
        <v>0</v>
      </c>
      <c r="F221" s="6">
        <f>E221+D221</f>
        <v>0</v>
      </c>
      <c r="G221" s="59">
        <v>0</v>
      </c>
      <c r="H221" s="59">
        <v>0</v>
      </c>
      <c r="I221" s="6">
        <f>(G221-H221)*'16-PlantAdditions'!$E$103</f>
        <v>0</v>
      </c>
      <c r="J221" s="6">
        <f>J220+F221-G221-I221</f>
        <v>0</v>
      </c>
      <c r="K221" s="6">
        <f>J221-$J$220</f>
        <v>0</v>
      </c>
    </row>
    <row r="222" spans="1:11" ht="13">
      <c r="A222" s="2">
        <f t="shared" ref="A222:A245" si="61">A221+1</f>
        <v>161</v>
      </c>
      <c r="B222" s="329" t="s">
        <v>391</v>
      </c>
      <c r="C222" s="330">
        <v>2026</v>
      </c>
      <c r="D222" s="59">
        <v>0</v>
      </c>
      <c r="E222" s="6">
        <f>D222*'16-PlantAdditions'!$E$103</f>
        <v>0</v>
      </c>
      <c r="F222" s="6">
        <f t="shared" ref="F222:F241" si="62">E222+D222</f>
        <v>0</v>
      </c>
      <c r="G222" s="59">
        <v>0</v>
      </c>
      <c r="H222" s="59">
        <v>0</v>
      </c>
      <c r="I222" s="6">
        <f>(G222-H222)*'16-PlantAdditions'!$E$103</f>
        <v>0</v>
      </c>
      <c r="J222" s="6">
        <f t="shared" ref="J222:J241" si="63">J221+F222-G222-I222</f>
        <v>0</v>
      </c>
      <c r="K222" s="6">
        <f t="shared" ref="K222:K244" si="64">J222-$J$220</f>
        <v>0</v>
      </c>
    </row>
    <row r="223" spans="1:11" ht="13">
      <c r="A223" s="2">
        <f t="shared" si="61"/>
        <v>162</v>
      </c>
      <c r="B223" s="329" t="s">
        <v>392</v>
      </c>
      <c r="C223" s="330">
        <v>2026</v>
      </c>
      <c r="D223" s="59">
        <v>0</v>
      </c>
      <c r="E223" s="6">
        <f>D223*'16-PlantAdditions'!$E$103</f>
        <v>0</v>
      </c>
      <c r="F223" s="6">
        <f t="shared" si="62"/>
        <v>0</v>
      </c>
      <c r="G223" s="59">
        <v>0</v>
      </c>
      <c r="H223" s="59">
        <v>0</v>
      </c>
      <c r="I223" s="6">
        <f>(G223-H223)*'16-PlantAdditions'!$E$103</f>
        <v>0</v>
      </c>
      <c r="J223" s="6">
        <f t="shared" si="63"/>
        <v>0</v>
      </c>
      <c r="K223" s="6">
        <f t="shared" si="64"/>
        <v>0</v>
      </c>
    </row>
    <row r="224" spans="1:11" ht="13">
      <c r="A224" s="2">
        <f t="shared" si="61"/>
        <v>163</v>
      </c>
      <c r="B224" s="329" t="s">
        <v>393</v>
      </c>
      <c r="C224" s="330">
        <v>2026</v>
      </c>
      <c r="D224" s="59">
        <v>0</v>
      </c>
      <c r="E224" s="6">
        <f>D224*'16-PlantAdditions'!$E$103</f>
        <v>0</v>
      </c>
      <c r="F224" s="6">
        <f t="shared" si="62"/>
        <v>0</v>
      </c>
      <c r="G224" s="59">
        <v>0</v>
      </c>
      <c r="H224" s="59">
        <v>0</v>
      </c>
      <c r="I224" s="6">
        <f>(G224-H224)*'16-PlantAdditions'!$E$103</f>
        <v>0</v>
      </c>
      <c r="J224" s="6">
        <f t="shared" si="63"/>
        <v>0</v>
      </c>
      <c r="K224" s="6">
        <f t="shared" si="64"/>
        <v>0</v>
      </c>
    </row>
    <row r="225" spans="1:11" ht="13">
      <c r="A225" s="2">
        <f t="shared" si="61"/>
        <v>164</v>
      </c>
      <c r="B225" s="329" t="s">
        <v>394</v>
      </c>
      <c r="C225" s="330">
        <v>2026</v>
      </c>
      <c r="D225" s="59">
        <v>0</v>
      </c>
      <c r="E225" s="6">
        <f>D225*'16-PlantAdditions'!$E$103</f>
        <v>0</v>
      </c>
      <c r="F225" s="6">
        <f t="shared" si="62"/>
        <v>0</v>
      </c>
      <c r="G225" s="59">
        <v>0</v>
      </c>
      <c r="H225" s="59">
        <v>0</v>
      </c>
      <c r="I225" s="6">
        <f>(G225-H225)*'16-PlantAdditions'!$E$103</f>
        <v>0</v>
      </c>
      <c r="J225" s="6">
        <f t="shared" si="63"/>
        <v>0</v>
      </c>
      <c r="K225" s="6">
        <f t="shared" si="64"/>
        <v>0</v>
      </c>
    </row>
    <row r="226" spans="1:11" ht="13">
      <c r="A226" s="2">
        <f t="shared" si="61"/>
        <v>165</v>
      </c>
      <c r="B226" s="329" t="s">
        <v>608</v>
      </c>
      <c r="C226" s="330">
        <v>2026</v>
      </c>
      <c r="D226" s="59">
        <v>0</v>
      </c>
      <c r="E226" s="6">
        <f>D226*'16-PlantAdditions'!$E$103</f>
        <v>0</v>
      </c>
      <c r="F226" s="6">
        <f t="shared" si="62"/>
        <v>0</v>
      </c>
      <c r="G226" s="59">
        <v>0</v>
      </c>
      <c r="H226" s="59">
        <v>0</v>
      </c>
      <c r="I226" s="6">
        <f>(G226-H226)*'16-PlantAdditions'!$E$103</f>
        <v>0</v>
      </c>
      <c r="J226" s="6">
        <f t="shared" si="63"/>
        <v>0</v>
      </c>
      <c r="K226" s="6">
        <f t="shared" si="64"/>
        <v>0</v>
      </c>
    </row>
    <row r="227" spans="1:11" ht="13">
      <c r="A227" s="2">
        <f t="shared" si="61"/>
        <v>166</v>
      </c>
      <c r="B227" s="329" t="s">
        <v>396</v>
      </c>
      <c r="C227" s="330">
        <v>2026</v>
      </c>
      <c r="D227" s="59">
        <v>0</v>
      </c>
      <c r="E227" s="6">
        <f>D227*'16-PlantAdditions'!$E$103</f>
        <v>0</v>
      </c>
      <c r="F227" s="6">
        <f t="shared" si="62"/>
        <v>0</v>
      </c>
      <c r="G227" s="59">
        <v>0</v>
      </c>
      <c r="H227" s="59">
        <v>0</v>
      </c>
      <c r="I227" s="6">
        <f>(G227-H227)*'16-PlantAdditions'!$E$103</f>
        <v>0</v>
      </c>
      <c r="J227" s="6">
        <f t="shared" si="63"/>
        <v>0</v>
      </c>
      <c r="K227" s="6">
        <f t="shared" si="64"/>
        <v>0</v>
      </c>
    </row>
    <row r="228" spans="1:11" ht="13">
      <c r="A228" s="2">
        <f t="shared" si="61"/>
        <v>167</v>
      </c>
      <c r="B228" s="329" t="s">
        <v>397</v>
      </c>
      <c r="C228" s="330">
        <v>2026</v>
      </c>
      <c r="D228" s="59">
        <v>0</v>
      </c>
      <c r="E228" s="6">
        <f>D228*'16-PlantAdditions'!$E$103</f>
        <v>0</v>
      </c>
      <c r="F228" s="6">
        <f t="shared" si="62"/>
        <v>0</v>
      </c>
      <c r="G228" s="59">
        <v>0</v>
      </c>
      <c r="H228" s="59">
        <v>0</v>
      </c>
      <c r="I228" s="6">
        <f>(G228-H228)*'16-PlantAdditions'!$E$103</f>
        <v>0</v>
      </c>
      <c r="J228" s="6">
        <f t="shared" si="63"/>
        <v>0</v>
      </c>
      <c r="K228" s="6">
        <f t="shared" si="64"/>
        <v>0</v>
      </c>
    </row>
    <row r="229" spans="1:11" ht="13">
      <c r="A229" s="2">
        <f t="shared" si="61"/>
        <v>168</v>
      </c>
      <c r="B229" s="329" t="s">
        <v>398</v>
      </c>
      <c r="C229" s="330">
        <v>2026</v>
      </c>
      <c r="D229" s="59">
        <v>0</v>
      </c>
      <c r="E229" s="6">
        <f>D229*'16-PlantAdditions'!$E$103</f>
        <v>0</v>
      </c>
      <c r="F229" s="6">
        <f t="shared" si="62"/>
        <v>0</v>
      </c>
      <c r="G229" s="59">
        <v>0</v>
      </c>
      <c r="H229" s="59">
        <v>0</v>
      </c>
      <c r="I229" s="6">
        <f>(G229-H229)*'16-PlantAdditions'!$E$103</f>
        <v>0</v>
      </c>
      <c r="J229" s="6">
        <f t="shared" si="63"/>
        <v>0</v>
      </c>
      <c r="K229" s="6">
        <f t="shared" si="64"/>
        <v>0</v>
      </c>
    </row>
    <row r="230" spans="1:11" ht="13">
      <c r="A230" s="2">
        <f t="shared" si="61"/>
        <v>169</v>
      </c>
      <c r="B230" s="329" t="s">
        <v>399</v>
      </c>
      <c r="C230" s="330">
        <v>2026</v>
      </c>
      <c r="D230" s="59">
        <v>0</v>
      </c>
      <c r="E230" s="6">
        <f>D230*'16-PlantAdditions'!$E$103</f>
        <v>0</v>
      </c>
      <c r="F230" s="6">
        <f t="shared" si="62"/>
        <v>0</v>
      </c>
      <c r="G230" s="59">
        <v>0</v>
      </c>
      <c r="H230" s="59">
        <v>0</v>
      </c>
      <c r="I230" s="6">
        <f>(G230-H230)*'16-PlantAdditions'!$E$103</f>
        <v>0</v>
      </c>
      <c r="J230" s="6">
        <f t="shared" si="63"/>
        <v>0</v>
      </c>
      <c r="K230" s="6">
        <f t="shared" si="64"/>
        <v>0</v>
      </c>
    </row>
    <row r="231" spans="1:11" ht="13">
      <c r="A231" s="2">
        <f t="shared" si="61"/>
        <v>170</v>
      </c>
      <c r="B231" s="329" t="s">
        <v>400</v>
      </c>
      <c r="C231" s="330">
        <v>2026</v>
      </c>
      <c r="D231" s="59">
        <v>0</v>
      </c>
      <c r="E231" s="6">
        <f>D231*'16-PlantAdditions'!$E$103</f>
        <v>0</v>
      </c>
      <c r="F231" s="6">
        <f t="shared" si="62"/>
        <v>0</v>
      </c>
      <c r="G231" s="59">
        <v>0</v>
      </c>
      <c r="H231" s="59">
        <v>0</v>
      </c>
      <c r="I231" s="6">
        <f>(G231-H231)*'16-PlantAdditions'!$E$103</f>
        <v>0</v>
      </c>
      <c r="J231" s="6">
        <f t="shared" si="63"/>
        <v>0</v>
      </c>
      <c r="K231" s="6">
        <f t="shared" si="64"/>
        <v>0</v>
      </c>
    </row>
    <row r="232" spans="1:11" ht="13">
      <c r="A232" s="2">
        <f t="shared" si="61"/>
        <v>171</v>
      </c>
      <c r="B232" s="329" t="s">
        <v>388</v>
      </c>
      <c r="C232" s="330">
        <v>2026</v>
      </c>
      <c r="D232" s="59">
        <v>0</v>
      </c>
      <c r="E232" s="6">
        <f>D232*'16-PlantAdditions'!$E$103</f>
        <v>0</v>
      </c>
      <c r="F232" s="6">
        <f t="shared" si="62"/>
        <v>0</v>
      </c>
      <c r="G232" s="59">
        <v>0</v>
      </c>
      <c r="H232" s="59">
        <v>0</v>
      </c>
      <c r="I232" s="6">
        <f>(G232-H232)*'16-PlantAdditions'!$E$103</f>
        <v>0</v>
      </c>
      <c r="J232" s="6">
        <f t="shared" si="63"/>
        <v>0</v>
      </c>
      <c r="K232" s="6">
        <f t="shared" si="64"/>
        <v>0</v>
      </c>
    </row>
    <row r="233" spans="1:11" ht="13">
      <c r="A233" s="2">
        <f t="shared" si="61"/>
        <v>172</v>
      </c>
      <c r="B233" s="329" t="s">
        <v>390</v>
      </c>
      <c r="C233" s="330">
        <v>2027</v>
      </c>
      <c r="D233" s="59">
        <v>0</v>
      </c>
      <c r="E233" s="6">
        <f>D233*'16-PlantAdditions'!$E$103</f>
        <v>0</v>
      </c>
      <c r="F233" s="6">
        <f t="shared" si="62"/>
        <v>0</v>
      </c>
      <c r="G233" s="59">
        <v>0</v>
      </c>
      <c r="H233" s="59">
        <v>0</v>
      </c>
      <c r="I233" s="6">
        <f>(G233-H233)*'16-PlantAdditions'!$E$103</f>
        <v>0</v>
      </c>
      <c r="J233" s="6">
        <f t="shared" si="63"/>
        <v>0</v>
      </c>
      <c r="K233" s="6">
        <f t="shared" si="64"/>
        <v>0</v>
      </c>
    </row>
    <row r="234" spans="1:11" ht="13">
      <c r="A234" s="2">
        <f t="shared" si="61"/>
        <v>173</v>
      </c>
      <c r="B234" s="329" t="s">
        <v>391</v>
      </c>
      <c r="C234" s="330">
        <v>2027</v>
      </c>
      <c r="D234" s="59">
        <v>0</v>
      </c>
      <c r="E234" s="6">
        <f>D234*'16-PlantAdditions'!$E$103</f>
        <v>0</v>
      </c>
      <c r="F234" s="6">
        <f t="shared" si="62"/>
        <v>0</v>
      </c>
      <c r="G234" s="59">
        <v>0</v>
      </c>
      <c r="H234" s="59">
        <v>0</v>
      </c>
      <c r="I234" s="6">
        <f>(G234-H234)*'16-PlantAdditions'!$E$103</f>
        <v>0</v>
      </c>
      <c r="J234" s="6">
        <f t="shared" si="63"/>
        <v>0</v>
      </c>
      <c r="K234" s="6">
        <f t="shared" si="64"/>
        <v>0</v>
      </c>
    </row>
    <row r="235" spans="1:11" ht="13">
      <c r="A235" s="2">
        <f t="shared" si="61"/>
        <v>174</v>
      </c>
      <c r="B235" s="329" t="s">
        <v>392</v>
      </c>
      <c r="C235" s="330">
        <v>2027</v>
      </c>
      <c r="D235" s="59">
        <v>0</v>
      </c>
      <c r="E235" s="6">
        <f>D235*'16-PlantAdditions'!$E$103</f>
        <v>0</v>
      </c>
      <c r="F235" s="6">
        <f t="shared" si="62"/>
        <v>0</v>
      </c>
      <c r="G235" s="59">
        <v>0</v>
      </c>
      <c r="H235" s="59">
        <v>0</v>
      </c>
      <c r="I235" s="6">
        <f>(G235-H235)*'16-PlantAdditions'!$E$103</f>
        <v>0</v>
      </c>
      <c r="J235" s="6">
        <f t="shared" si="63"/>
        <v>0</v>
      </c>
      <c r="K235" s="6">
        <f t="shared" si="64"/>
        <v>0</v>
      </c>
    </row>
    <row r="236" spans="1:11" ht="13">
      <c r="A236" s="2">
        <f t="shared" si="61"/>
        <v>175</v>
      </c>
      <c r="B236" s="329" t="s">
        <v>393</v>
      </c>
      <c r="C236" s="330">
        <v>2027</v>
      </c>
      <c r="D236" s="59">
        <v>0</v>
      </c>
      <c r="E236" s="6">
        <f>D236*'16-PlantAdditions'!$E$103</f>
        <v>0</v>
      </c>
      <c r="F236" s="6">
        <f t="shared" si="62"/>
        <v>0</v>
      </c>
      <c r="G236" s="59">
        <v>0</v>
      </c>
      <c r="H236" s="59">
        <v>0</v>
      </c>
      <c r="I236" s="6">
        <f>(G236-H236)*'16-PlantAdditions'!$E$103</f>
        <v>0</v>
      </c>
      <c r="J236" s="6">
        <f t="shared" si="63"/>
        <v>0</v>
      </c>
      <c r="K236" s="6">
        <f t="shared" si="64"/>
        <v>0</v>
      </c>
    </row>
    <row r="237" spans="1:11" ht="13">
      <c r="A237" s="2">
        <f t="shared" si="61"/>
        <v>176</v>
      </c>
      <c r="B237" s="329" t="s">
        <v>394</v>
      </c>
      <c r="C237" s="330">
        <v>2027</v>
      </c>
      <c r="D237" s="59">
        <v>0</v>
      </c>
      <c r="E237" s="6">
        <f>D237*'16-PlantAdditions'!$E$103</f>
        <v>0</v>
      </c>
      <c r="F237" s="6">
        <f t="shared" si="62"/>
        <v>0</v>
      </c>
      <c r="G237" s="59">
        <v>0</v>
      </c>
      <c r="H237" s="59">
        <v>0</v>
      </c>
      <c r="I237" s="6">
        <f>(G237-H237)*'16-PlantAdditions'!$E$103</f>
        <v>0</v>
      </c>
      <c r="J237" s="6">
        <f t="shared" si="63"/>
        <v>0</v>
      </c>
      <c r="K237" s="6">
        <f t="shared" si="64"/>
        <v>0</v>
      </c>
    </row>
    <row r="238" spans="1:11" ht="13">
      <c r="A238" s="2">
        <f t="shared" si="61"/>
        <v>177</v>
      </c>
      <c r="B238" s="329" t="s">
        <v>608</v>
      </c>
      <c r="C238" s="330">
        <v>2027</v>
      </c>
      <c r="D238" s="59">
        <v>0</v>
      </c>
      <c r="E238" s="6">
        <f>D238*'16-PlantAdditions'!$E$103</f>
        <v>0</v>
      </c>
      <c r="F238" s="6">
        <f t="shared" si="62"/>
        <v>0</v>
      </c>
      <c r="G238" s="59">
        <v>0</v>
      </c>
      <c r="H238" s="59">
        <v>0</v>
      </c>
      <c r="I238" s="6">
        <f>(G238-H238)*'16-PlantAdditions'!$E$103</f>
        <v>0</v>
      </c>
      <c r="J238" s="6">
        <f t="shared" si="63"/>
        <v>0</v>
      </c>
      <c r="K238" s="6">
        <f t="shared" si="64"/>
        <v>0</v>
      </c>
    </row>
    <row r="239" spans="1:11" ht="13">
      <c r="A239" s="2">
        <f t="shared" si="61"/>
        <v>178</v>
      </c>
      <c r="B239" s="329" t="s">
        <v>396</v>
      </c>
      <c r="C239" s="330">
        <v>2027</v>
      </c>
      <c r="D239" s="59">
        <v>0</v>
      </c>
      <c r="E239" s="6">
        <f>D239*'16-PlantAdditions'!$E$103</f>
        <v>0</v>
      </c>
      <c r="F239" s="6">
        <f t="shared" si="62"/>
        <v>0</v>
      </c>
      <c r="G239" s="59">
        <v>0</v>
      </c>
      <c r="H239" s="59">
        <v>0</v>
      </c>
      <c r="I239" s="6">
        <f>(G239-H239)*'16-PlantAdditions'!$E$103</f>
        <v>0</v>
      </c>
      <c r="J239" s="6">
        <f t="shared" si="63"/>
        <v>0</v>
      </c>
      <c r="K239" s="6">
        <f t="shared" si="64"/>
        <v>0</v>
      </c>
    </row>
    <row r="240" spans="1:11" ht="13">
      <c r="A240" s="2">
        <f t="shared" si="61"/>
        <v>179</v>
      </c>
      <c r="B240" s="329" t="s">
        <v>397</v>
      </c>
      <c r="C240" s="330">
        <v>2027</v>
      </c>
      <c r="D240" s="59">
        <v>0</v>
      </c>
      <c r="E240" s="6">
        <f>D240*'16-PlantAdditions'!$E$103</f>
        <v>0</v>
      </c>
      <c r="F240" s="6">
        <f t="shared" si="62"/>
        <v>0</v>
      </c>
      <c r="G240" s="59">
        <v>0</v>
      </c>
      <c r="H240" s="59">
        <v>0</v>
      </c>
      <c r="I240" s="6">
        <f>(G240-H240)*'16-PlantAdditions'!$E$103</f>
        <v>0</v>
      </c>
      <c r="J240" s="6">
        <f t="shared" si="63"/>
        <v>0</v>
      </c>
      <c r="K240" s="6">
        <f t="shared" si="64"/>
        <v>0</v>
      </c>
    </row>
    <row r="241" spans="1:11" ht="13">
      <c r="A241" s="2">
        <f t="shared" si="61"/>
        <v>180</v>
      </c>
      <c r="B241" s="329" t="s">
        <v>398</v>
      </c>
      <c r="C241" s="330">
        <v>2027</v>
      </c>
      <c r="D241" s="59">
        <v>0</v>
      </c>
      <c r="E241" s="6">
        <f>D241*'16-PlantAdditions'!$E$103</f>
        <v>0</v>
      </c>
      <c r="F241" s="6">
        <f t="shared" si="62"/>
        <v>0</v>
      </c>
      <c r="G241" s="59">
        <v>0</v>
      </c>
      <c r="H241" s="59">
        <v>0</v>
      </c>
      <c r="I241" s="6">
        <f>(G241-H241)*'16-PlantAdditions'!$E$103</f>
        <v>0</v>
      </c>
      <c r="J241" s="6">
        <f t="shared" si="63"/>
        <v>0</v>
      </c>
      <c r="K241" s="6">
        <f t="shared" si="64"/>
        <v>0</v>
      </c>
    </row>
    <row r="242" spans="1:11" ht="13">
      <c r="A242" s="2">
        <f t="shared" si="61"/>
        <v>181</v>
      </c>
      <c r="B242" s="329" t="s">
        <v>399</v>
      </c>
      <c r="C242" s="330">
        <v>2027</v>
      </c>
      <c r="D242" s="59">
        <v>0</v>
      </c>
      <c r="E242" s="6">
        <f>D242*'16-PlantAdditions'!$E$103</f>
        <v>0</v>
      </c>
      <c r="F242" s="6">
        <f t="shared" ref="F242:F244" si="65">E242+D242</f>
        <v>0</v>
      </c>
      <c r="G242" s="59">
        <v>0</v>
      </c>
      <c r="H242" s="59">
        <v>0</v>
      </c>
      <c r="I242" s="6">
        <f>(G242-H242)*'16-PlantAdditions'!$E$103</f>
        <v>0</v>
      </c>
      <c r="J242" s="6">
        <f t="shared" ref="J242:J244" si="66">J241+F242-G242-I242</f>
        <v>0</v>
      </c>
      <c r="K242" s="6">
        <f t="shared" si="64"/>
        <v>0</v>
      </c>
    </row>
    <row r="243" spans="1:11" ht="13">
      <c r="A243" s="2">
        <f t="shared" si="61"/>
        <v>182</v>
      </c>
      <c r="B243" s="329" t="s">
        <v>400</v>
      </c>
      <c r="C243" s="330">
        <v>2027</v>
      </c>
      <c r="D243" s="59">
        <v>0</v>
      </c>
      <c r="E243" s="6">
        <f>D243*'16-PlantAdditions'!$E$103</f>
        <v>0</v>
      </c>
      <c r="F243" s="6">
        <f t="shared" si="65"/>
        <v>0</v>
      </c>
      <c r="G243" s="59">
        <v>0</v>
      </c>
      <c r="H243" s="59">
        <v>0</v>
      </c>
      <c r="I243" s="6">
        <f>(G243-H243)*'16-PlantAdditions'!$E$103</f>
        <v>0</v>
      </c>
      <c r="J243" s="6">
        <f t="shared" si="66"/>
        <v>0</v>
      </c>
      <c r="K243" s="6">
        <f t="shared" si="64"/>
        <v>0</v>
      </c>
    </row>
    <row r="244" spans="1:11" ht="13">
      <c r="A244" s="2">
        <f t="shared" si="61"/>
        <v>183</v>
      </c>
      <c r="B244" s="329" t="s">
        <v>388</v>
      </c>
      <c r="C244" s="330">
        <v>2027</v>
      </c>
      <c r="D244" s="59">
        <v>0</v>
      </c>
      <c r="E244" s="6">
        <f>D244*'16-PlantAdditions'!$E$103</f>
        <v>0</v>
      </c>
      <c r="F244" s="6">
        <f t="shared" si="65"/>
        <v>0</v>
      </c>
      <c r="G244" s="59">
        <v>0</v>
      </c>
      <c r="H244" s="59">
        <v>0</v>
      </c>
      <c r="I244" s="6">
        <f>(G244-H244)*'16-PlantAdditions'!$E$103</f>
        <v>0</v>
      </c>
      <c r="J244" s="6">
        <f t="shared" si="66"/>
        <v>0</v>
      </c>
      <c r="K244" s="53">
        <f t="shared" si="64"/>
        <v>0</v>
      </c>
    </row>
    <row r="245" spans="1:11" ht="13">
      <c r="A245" s="2">
        <f t="shared" si="61"/>
        <v>184</v>
      </c>
      <c r="C245" s="351" t="s">
        <v>1095</v>
      </c>
      <c r="K245" s="42">
        <f>AVERAGE(K232:K244)</f>
        <v>0</v>
      </c>
    </row>
    <row r="246" spans="1:11" ht="13">
      <c r="A246" s="2"/>
      <c r="C246" s="351"/>
      <c r="K246" s="42"/>
    </row>
    <row r="247" spans="1:11" ht="13">
      <c r="B247" s="34" t="s">
        <v>1111</v>
      </c>
      <c r="D247" s="1207" t="s">
        <v>1112</v>
      </c>
      <c r="E247" s="1207"/>
    </row>
    <row r="248" spans="1:11" ht="13">
      <c r="A248" s="3"/>
      <c r="B248" s="3"/>
      <c r="C248" s="3"/>
      <c r="D248" s="3" t="s">
        <v>345</v>
      </c>
      <c r="E248" s="3" t="s">
        <v>346</v>
      </c>
      <c r="F248" s="3" t="s">
        <v>347</v>
      </c>
      <c r="G248" s="3" t="s">
        <v>348</v>
      </c>
      <c r="H248" s="3" t="s">
        <v>349</v>
      </c>
      <c r="I248" s="3" t="s">
        <v>350</v>
      </c>
      <c r="J248" s="3" t="s">
        <v>351</v>
      </c>
      <c r="K248" s="3" t="s">
        <v>352</v>
      </c>
    </row>
    <row r="249" spans="1:11" ht="25.5">
      <c r="D249" s="48"/>
      <c r="E249" s="352" t="s">
        <v>1099</v>
      </c>
      <c r="F249" s="239" t="s">
        <v>1100</v>
      </c>
      <c r="G249" s="239"/>
      <c r="H249" s="48"/>
      <c r="I249" s="352" t="s">
        <v>1101</v>
      </c>
      <c r="J249" s="352" t="s">
        <v>1102</v>
      </c>
      <c r="K249" s="352" t="s">
        <v>1103</v>
      </c>
    </row>
    <row r="250" spans="1:11" ht="13">
      <c r="D250" s="48"/>
      <c r="E250" s="48"/>
      <c r="F250" s="48"/>
      <c r="G250" s="2" t="s">
        <v>1113</v>
      </c>
      <c r="H250" s="48"/>
      <c r="I250" s="48"/>
    </row>
    <row r="251" spans="1:11" ht="13">
      <c r="A251" s="2"/>
      <c r="B251" s="2"/>
      <c r="C251" s="2"/>
      <c r="D251" s="2" t="str">
        <f>D$52</f>
        <v>Forecast</v>
      </c>
      <c r="E251" s="2" t="str">
        <f t="shared" ref="E251:J251" si="67">E$52</f>
        <v>Corporate</v>
      </c>
      <c r="F251" s="2" t="str">
        <f t="shared" si="67"/>
        <v xml:space="preserve">Total </v>
      </c>
      <c r="G251" s="2" t="s">
        <v>252</v>
      </c>
      <c r="H251" s="2" t="str">
        <f t="shared" si="67"/>
        <v>Prior Period</v>
      </c>
      <c r="I251" s="2" t="str">
        <f t="shared" si="67"/>
        <v>Over Heads</v>
      </c>
      <c r="J251" s="2" t="str">
        <f t="shared" si="67"/>
        <v>Forecast</v>
      </c>
      <c r="K251" s="2" t="str">
        <f>K$52</f>
        <v>Forecast Period</v>
      </c>
    </row>
    <row r="252" spans="1:11" ht="13">
      <c r="A252" s="30" t="s">
        <v>282</v>
      </c>
      <c r="B252" s="328" t="s">
        <v>380</v>
      </c>
      <c r="C252" s="328" t="s">
        <v>381</v>
      </c>
      <c r="D252" s="3" t="str">
        <f>D$53</f>
        <v>Expenditures</v>
      </c>
      <c r="E252" s="3" t="str">
        <f t="shared" ref="E252:J252" si="68">E$53</f>
        <v>Overheads</v>
      </c>
      <c r="F252" s="3" t="str">
        <f t="shared" si="68"/>
        <v>CWIP Exp</v>
      </c>
      <c r="G252" s="3" t="s">
        <v>1090</v>
      </c>
      <c r="H252" s="3" t="str">
        <f t="shared" si="68"/>
        <v>CWIP Closed</v>
      </c>
      <c r="I252" s="3" t="str">
        <f t="shared" si="68"/>
        <v>Closed to PIS</v>
      </c>
      <c r="J252" s="3" t="str">
        <f t="shared" si="68"/>
        <v>Period CWIP</v>
      </c>
      <c r="K252" s="3" t="str">
        <f>K$53</f>
        <v>Incremental CWIP</v>
      </c>
    </row>
    <row r="253" spans="1:11" ht="13">
      <c r="A253" s="2">
        <f>A245+1</f>
        <v>185</v>
      </c>
      <c r="B253" s="329" t="s">
        <v>388</v>
      </c>
      <c r="C253" s="330">
        <v>2025</v>
      </c>
      <c r="D253" s="239" t="s">
        <v>389</v>
      </c>
      <c r="E253" s="239" t="s">
        <v>389</v>
      </c>
      <c r="F253" s="239" t="s">
        <v>389</v>
      </c>
      <c r="G253" s="239" t="s">
        <v>389</v>
      </c>
      <c r="H253" s="239" t="s">
        <v>389</v>
      </c>
      <c r="I253" s="239" t="s">
        <v>389</v>
      </c>
      <c r="J253" s="6">
        <f>D45</f>
        <v>0</v>
      </c>
      <c r="K253" s="239" t="s">
        <v>389</v>
      </c>
    </row>
    <row r="254" spans="1:11" ht="13">
      <c r="A254" s="2">
        <f>A253+1</f>
        <v>186</v>
      </c>
      <c r="B254" s="329" t="s">
        <v>390</v>
      </c>
      <c r="C254" s="330">
        <v>2026</v>
      </c>
      <c r="D254" s="59">
        <v>0</v>
      </c>
      <c r="E254" s="6">
        <f>D254*'16-PlantAdditions'!$E$103</f>
        <v>0</v>
      </c>
      <c r="F254" s="6">
        <f>E254+D254</f>
        <v>0</v>
      </c>
      <c r="G254" s="59">
        <v>0</v>
      </c>
      <c r="H254" s="59">
        <v>0</v>
      </c>
      <c r="I254" s="6">
        <f>(G254-H254)*'16-PlantAdditions'!$E$103</f>
        <v>0</v>
      </c>
      <c r="J254" s="6">
        <f>J253+F254-G254-I254</f>
        <v>0</v>
      </c>
      <c r="K254" s="6">
        <f>J254-$J$253</f>
        <v>0</v>
      </c>
    </row>
    <row r="255" spans="1:11" ht="13">
      <c r="A255" s="2">
        <f t="shared" ref="A255:A278" si="69">A254+1</f>
        <v>187</v>
      </c>
      <c r="B255" s="329" t="s">
        <v>391</v>
      </c>
      <c r="C255" s="330">
        <v>2026</v>
      </c>
      <c r="D255" s="59">
        <v>0</v>
      </c>
      <c r="E255" s="6">
        <f>D255*'16-PlantAdditions'!$E$103</f>
        <v>0</v>
      </c>
      <c r="F255" s="6">
        <f t="shared" ref="F255:F274" si="70">E255+D255</f>
        <v>0</v>
      </c>
      <c r="G255" s="59">
        <v>0</v>
      </c>
      <c r="H255" s="59">
        <v>0</v>
      </c>
      <c r="I255" s="6">
        <f>(G255-H255)*'16-PlantAdditions'!$E$103</f>
        <v>0</v>
      </c>
      <c r="J255" s="6">
        <f t="shared" ref="J255:J274" si="71">J254+F255-G255-I255</f>
        <v>0</v>
      </c>
      <c r="K255" s="6">
        <f t="shared" ref="K255:K277" si="72">J255-$J$253</f>
        <v>0</v>
      </c>
    </row>
    <row r="256" spans="1:11" ht="13">
      <c r="A256" s="2">
        <f t="shared" si="69"/>
        <v>188</v>
      </c>
      <c r="B256" s="329" t="s">
        <v>392</v>
      </c>
      <c r="C256" s="330">
        <v>2026</v>
      </c>
      <c r="D256" s="59">
        <v>0</v>
      </c>
      <c r="E256" s="6">
        <f>D256*'16-PlantAdditions'!$E$103</f>
        <v>0</v>
      </c>
      <c r="F256" s="6">
        <f t="shared" si="70"/>
        <v>0</v>
      </c>
      <c r="G256" s="59">
        <v>0</v>
      </c>
      <c r="H256" s="59">
        <v>0</v>
      </c>
      <c r="I256" s="6">
        <f>(G256-H256)*'16-PlantAdditions'!$E$103</f>
        <v>0</v>
      </c>
      <c r="J256" s="6">
        <f t="shared" si="71"/>
        <v>0</v>
      </c>
      <c r="K256" s="6">
        <f t="shared" si="72"/>
        <v>0</v>
      </c>
    </row>
    <row r="257" spans="1:11" ht="13">
      <c r="A257" s="2">
        <f t="shared" si="69"/>
        <v>189</v>
      </c>
      <c r="B257" s="329" t="s">
        <v>393</v>
      </c>
      <c r="C257" s="330">
        <v>2026</v>
      </c>
      <c r="D257" s="59">
        <v>0</v>
      </c>
      <c r="E257" s="6">
        <f>D257*'16-PlantAdditions'!$E$103</f>
        <v>0</v>
      </c>
      <c r="F257" s="6">
        <f t="shared" si="70"/>
        <v>0</v>
      </c>
      <c r="G257" s="59">
        <v>0</v>
      </c>
      <c r="H257" s="59">
        <v>0</v>
      </c>
      <c r="I257" s="6">
        <f>(G257-H257)*'16-PlantAdditions'!$E$103</f>
        <v>0</v>
      </c>
      <c r="J257" s="6">
        <f t="shared" si="71"/>
        <v>0</v>
      </c>
      <c r="K257" s="6">
        <f t="shared" si="72"/>
        <v>0</v>
      </c>
    </row>
    <row r="258" spans="1:11" ht="13">
      <c r="A258" s="2">
        <f t="shared" si="69"/>
        <v>190</v>
      </c>
      <c r="B258" s="329" t="s">
        <v>394</v>
      </c>
      <c r="C258" s="330">
        <v>2026</v>
      </c>
      <c r="D258" s="59">
        <v>0</v>
      </c>
      <c r="E258" s="6">
        <f>D258*'16-PlantAdditions'!$E$103</f>
        <v>0</v>
      </c>
      <c r="F258" s="6">
        <f t="shared" si="70"/>
        <v>0</v>
      </c>
      <c r="G258" s="59">
        <v>0</v>
      </c>
      <c r="H258" s="59">
        <v>0</v>
      </c>
      <c r="I258" s="6">
        <f>(G258-H258)*'16-PlantAdditions'!$E$103</f>
        <v>0</v>
      </c>
      <c r="J258" s="6">
        <f t="shared" si="71"/>
        <v>0</v>
      </c>
      <c r="K258" s="6">
        <f t="shared" si="72"/>
        <v>0</v>
      </c>
    </row>
    <row r="259" spans="1:11" ht="13">
      <c r="A259" s="2">
        <f t="shared" si="69"/>
        <v>191</v>
      </c>
      <c r="B259" s="329" t="s">
        <v>608</v>
      </c>
      <c r="C259" s="330">
        <v>2026</v>
      </c>
      <c r="D259" s="59">
        <v>0</v>
      </c>
      <c r="E259" s="6">
        <f>D259*'16-PlantAdditions'!$E$103</f>
        <v>0</v>
      </c>
      <c r="F259" s="6">
        <f t="shared" si="70"/>
        <v>0</v>
      </c>
      <c r="G259" s="59">
        <v>0</v>
      </c>
      <c r="H259" s="59">
        <v>0</v>
      </c>
      <c r="I259" s="6">
        <f>(G259-H259)*'16-PlantAdditions'!$E$103</f>
        <v>0</v>
      </c>
      <c r="J259" s="6">
        <f>J258+F259-G259-I259</f>
        <v>0</v>
      </c>
      <c r="K259" s="6">
        <f t="shared" si="72"/>
        <v>0</v>
      </c>
    </row>
    <row r="260" spans="1:11" ht="13">
      <c r="A260" s="2">
        <f t="shared" si="69"/>
        <v>192</v>
      </c>
      <c r="B260" s="329" t="s">
        <v>396</v>
      </c>
      <c r="C260" s="330">
        <v>2026</v>
      </c>
      <c r="D260" s="59">
        <v>0</v>
      </c>
      <c r="E260" s="6">
        <f>D260*'16-PlantAdditions'!$E$103</f>
        <v>0</v>
      </c>
      <c r="F260" s="6">
        <f t="shared" si="70"/>
        <v>0</v>
      </c>
      <c r="G260" s="59">
        <v>0</v>
      </c>
      <c r="H260" s="59">
        <v>0</v>
      </c>
      <c r="I260" s="6">
        <f>(G260-H260)*'16-PlantAdditions'!$E$103</f>
        <v>0</v>
      </c>
      <c r="J260" s="6">
        <f t="shared" si="71"/>
        <v>0</v>
      </c>
      <c r="K260" s="6">
        <f t="shared" si="72"/>
        <v>0</v>
      </c>
    </row>
    <row r="261" spans="1:11" ht="13">
      <c r="A261" s="2">
        <f t="shared" si="69"/>
        <v>193</v>
      </c>
      <c r="B261" s="329" t="s">
        <v>397</v>
      </c>
      <c r="C261" s="330">
        <v>2026</v>
      </c>
      <c r="D261" s="59">
        <v>0</v>
      </c>
      <c r="E261" s="6">
        <f>D261*'16-PlantAdditions'!$E$103</f>
        <v>0</v>
      </c>
      <c r="F261" s="6">
        <f t="shared" si="70"/>
        <v>0</v>
      </c>
      <c r="G261" s="59">
        <v>0</v>
      </c>
      <c r="H261" s="59">
        <v>0</v>
      </c>
      <c r="I261" s="6">
        <f>(G261-H261)*'16-PlantAdditions'!$E$103</f>
        <v>0</v>
      </c>
      <c r="J261" s="6">
        <f t="shared" si="71"/>
        <v>0</v>
      </c>
      <c r="K261" s="6">
        <f t="shared" si="72"/>
        <v>0</v>
      </c>
    </row>
    <row r="262" spans="1:11" ht="13">
      <c r="A262" s="2">
        <f t="shared" si="69"/>
        <v>194</v>
      </c>
      <c r="B262" s="329" t="s">
        <v>398</v>
      </c>
      <c r="C262" s="330">
        <v>2026</v>
      </c>
      <c r="D262" s="59">
        <v>0</v>
      </c>
      <c r="E262" s="6">
        <f>D262*'16-PlantAdditions'!$E$103</f>
        <v>0</v>
      </c>
      <c r="F262" s="6">
        <f t="shared" si="70"/>
        <v>0</v>
      </c>
      <c r="G262" s="59">
        <v>0</v>
      </c>
      <c r="H262" s="59">
        <v>0</v>
      </c>
      <c r="I262" s="6">
        <f>(G262-H262)*'16-PlantAdditions'!$E$103</f>
        <v>0</v>
      </c>
      <c r="J262" s="6">
        <f t="shared" si="71"/>
        <v>0</v>
      </c>
      <c r="K262" s="6">
        <f t="shared" si="72"/>
        <v>0</v>
      </c>
    </row>
    <row r="263" spans="1:11" ht="13">
      <c r="A263" s="2">
        <f t="shared" si="69"/>
        <v>195</v>
      </c>
      <c r="B263" s="329" t="s">
        <v>399</v>
      </c>
      <c r="C263" s="330">
        <v>2026</v>
      </c>
      <c r="D263" s="59">
        <v>0</v>
      </c>
      <c r="E263" s="6">
        <f>D263*'16-PlantAdditions'!$E$103</f>
        <v>0</v>
      </c>
      <c r="F263" s="6">
        <f t="shared" si="70"/>
        <v>0</v>
      </c>
      <c r="G263" s="59">
        <v>0</v>
      </c>
      <c r="H263" s="59">
        <v>0</v>
      </c>
      <c r="I263" s="6">
        <f>(G263-H263)*'16-PlantAdditions'!$E$103</f>
        <v>0</v>
      </c>
      <c r="J263" s="6">
        <f t="shared" si="71"/>
        <v>0</v>
      </c>
      <c r="K263" s="6">
        <f t="shared" si="72"/>
        <v>0</v>
      </c>
    </row>
    <row r="264" spans="1:11" ht="13">
      <c r="A264" s="2">
        <f t="shared" si="69"/>
        <v>196</v>
      </c>
      <c r="B264" s="329" t="s">
        <v>400</v>
      </c>
      <c r="C264" s="330">
        <v>2026</v>
      </c>
      <c r="D264" s="59">
        <v>0</v>
      </c>
      <c r="E264" s="6">
        <f>D264*'16-PlantAdditions'!$E$103</f>
        <v>0</v>
      </c>
      <c r="F264" s="6">
        <f t="shared" si="70"/>
        <v>0</v>
      </c>
      <c r="G264" s="59">
        <v>0</v>
      </c>
      <c r="H264" s="59">
        <v>0</v>
      </c>
      <c r="I264" s="6">
        <f>(G264-H264)*'16-PlantAdditions'!$E$103</f>
        <v>0</v>
      </c>
      <c r="J264" s="6">
        <f t="shared" si="71"/>
        <v>0</v>
      </c>
      <c r="K264" s="6">
        <f t="shared" si="72"/>
        <v>0</v>
      </c>
    </row>
    <row r="265" spans="1:11" ht="13">
      <c r="A265" s="2">
        <f t="shared" si="69"/>
        <v>197</v>
      </c>
      <c r="B265" s="329" t="s">
        <v>388</v>
      </c>
      <c r="C265" s="330">
        <v>2026</v>
      </c>
      <c r="D265" s="59">
        <v>0</v>
      </c>
      <c r="E265" s="6">
        <f>D265*'16-PlantAdditions'!$E$103</f>
        <v>0</v>
      </c>
      <c r="F265" s="6">
        <f t="shared" si="70"/>
        <v>0</v>
      </c>
      <c r="G265" s="59">
        <v>0</v>
      </c>
      <c r="H265" s="59">
        <v>0</v>
      </c>
      <c r="I265" s="6">
        <f>(G265-H265)*'16-PlantAdditions'!$E$103</f>
        <v>0</v>
      </c>
      <c r="J265" s="6">
        <f t="shared" si="71"/>
        <v>0</v>
      </c>
      <c r="K265" s="6">
        <f t="shared" si="72"/>
        <v>0</v>
      </c>
    </row>
    <row r="266" spans="1:11" ht="13">
      <c r="A266" s="2">
        <f t="shared" si="69"/>
        <v>198</v>
      </c>
      <c r="B266" s="329" t="s">
        <v>390</v>
      </c>
      <c r="C266" s="330">
        <v>2027</v>
      </c>
      <c r="D266" s="59">
        <v>0</v>
      </c>
      <c r="E266" s="6">
        <f>D266*'16-PlantAdditions'!$E$103</f>
        <v>0</v>
      </c>
      <c r="F266" s="6">
        <f t="shared" si="70"/>
        <v>0</v>
      </c>
      <c r="G266" s="59">
        <v>0</v>
      </c>
      <c r="H266" s="59">
        <v>0</v>
      </c>
      <c r="I266" s="6">
        <f>(G266-H266)*'16-PlantAdditions'!$E$103</f>
        <v>0</v>
      </c>
      <c r="J266" s="6">
        <f t="shared" si="71"/>
        <v>0</v>
      </c>
      <c r="K266" s="6">
        <f t="shared" si="72"/>
        <v>0</v>
      </c>
    </row>
    <row r="267" spans="1:11" ht="13">
      <c r="A267" s="2">
        <f t="shared" si="69"/>
        <v>199</v>
      </c>
      <c r="B267" s="329" t="s">
        <v>391</v>
      </c>
      <c r="C267" s="330">
        <v>2027</v>
      </c>
      <c r="D267" s="59">
        <v>0</v>
      </c>
      <c r="E267" s="6">
        <f>D267*'16-PlantAdditions'!$E$103</f>
        <v>0</v>
      </c>
      <c r="F267" s="6">
        <f t="shared" si="70"/>
        <v>0</v>
      </c>
      <c r="G267" s="59">
        <v>0</v>
      </c>
      <c r="H267" s="59">
        <v>0</v>
      </c>
      <c r="I267" s="6">
        <f>(G267-H267)*'16-PlantAdditions'!$E$103</f>
        <v>0</v>
      </c>
      <c r="J267" s="6">
        <f t="shared" si="71"/>
        <v>0</v>
      </c>
      <c r="K267" s="6">
        <f t="shared" si="72"/>
        <v>0</v>
      </c>
    </row>
    <row r="268" spans="1:11" ht="13">
      <c r="A268" s="2">
        <f t="shared" si="69"/>
        <v>200</v>
      </c>
      <c r="B268" s="329" t="s">
        <v>392</v>
      </c>
      <c r="C268" s="330">
        <v>2027</v>
      </c>
      <c r="D268" s="59">
        <v>0</v>
      </c>
      <c r="E268" s="6">
        <f>D268*'16-PlantAdditions'!$E$103</f>
        <v>0</v>
      </c>
      <c r="F268" s="6">
        <f t="shared" si="70"/>
        <v>0</v>
      </c>
      <c r="G268" s="59">
        <v>0</v>
      </c>
      <c r="H268" s="59">
        <v>0</v>
      </c>
      <c r="I268" s="6">
        <f>(G268-H268)*'16-PlantAdditions'!$E$103</f>
        <v>0</v>
      </c>
      <c r="J268" s="6">
        <f t="shared" si="71"/>
        <v>0</v>
      </c>
      <c r="K268" s="6">
        <f t="shared" si="72"/>
        <v>0</v>
      </c>
    </row>
    <row r="269" spans="1:11" ht="13">
      <c r="A269" s="2">
        <f t="shared" si="69"/>
        <v>201</v>
      </c>
      <c r="B269" s="329" t="s">
        <v>393</v>
      </c>
      <c r="C269" s="330">
        <v>2027</v>
      </c>
      <c r="D269" s="59">
        <v>0</v>
      </c>
      <c r="E269" s="6">
        <f>D269*'16-PlantAdditions'!$E$103</f>
        <v>0</v>
      </c>
      <c r="F269" s="6">
        <f t="shared" si="70"/>
        <v>0</v>
      </c>
      <c r="G269" s="59">
        <v>0</v>
      </c>
      <c r="H269" s="59">
        <v>0</v>
      </c>
      <c r="I269" s="6">
        <f>(G269-H269)*'16-PlantAdditions'!$E$103</f>
        <v>0</v>
      </c>
      <c r="J269" s="6">
        <f t="shared" si="71"/>
        <v>0</v>
      </c>
      <c r="K269" s="6">
        <f t="shared" si="72"/>
        <v>0</v>
      </c>
    </row>
    <row r="270" spans="1:11" ht="13">
      <c r="A270" s="2">
        <f t="shared" si="69"/>
        <v>202</v>
      </c>
      <c r="B270" s="329" t="s">
        <v>394</v>
      </c>
      <c r="C270" s="330">
        <v>2027</v>
      </c>
      <c r="D270" s="59">
        <v>0</v>
      </c>
      <c r="E270" s="6">
        <f>D270*'16-PlantAdditions'!$E$103</f>
        <v>0</v>
      </c>
      <c r="F270" s="6">
        <f t="shared" si="70"/>
        <v>0</v>
      </c>
      <c r="G270" s="59">
        <v>0</v>
      </c>
      <c r="H270" s="59">
        <v>0</v>
      </c>
      <c r="I270" s="6">
        <f>(G270-H270)*'16-PlantAdditions'!$E$103</f>
        <v>0</v>
      </c>
      <c r="J270" s="6">
        <f t="shared" si="71"/>
        <v>0</v>
      </c>
      <c r="K270" s="6">
        <f t="shared" si="72"/>
        <v>0</v>
      </c>
    </row>
    <row r="271" spans="1:11" ht="13">
      <c r="A271" s="2">
        <f t="shared" si="69"/>
        <v>203</v>
      </c>
      <c r="B271" s="329" t="s">
        <v>608</v>
      </c>
      <c r="C271" s="330">
        <v>2027</v>
      </c>
      <c r="D271" s="59">
        <v>0</v>
      </c>
      <c r="E271" s="6">
        <f>D271*'16-PlantAdditions'!$E$103</f>
        <v>0</v>
      </c>
      <c r="F271" s="6">
        <f t="shared" si="70"/>
        <v>0</v>
      </c>
      <c r="G271" s="59">
        <v>0</v>
      </c>
      <c r="H271" s="59">
        <v>0</v>
      </c>
      <c r="I271" s="6">
        <f>(G271-H271)*'16-PlantAdditions'!$E$103</f>
        <v>0</v>
      </c>
      <c r="J271" s="6">
        <f t="shared" si="71"/>
        <v>0</v>
      </c>
      <c r="K271" s="6">
        <f t="shared" si="72"/>
        <v>0</v>
      </c>
    </row>
    <row r="272" spans="1:11" ht="13">
      <c r="A272" s="2">
        <f t="shared" si="69"/>
        <v>204</v>
      </c>
      <c r="B272" s="329" t="s">
        <v>396</v>
      </c>
      <c r="C272" s="330">
        <v>2027</v>
      </c>
      <c r="D272" s="59">
        <v>0</v>
      </c>
      <c r="E272" s="6">
        <f>D272*'16-PlantAdditions'!$E$103</f>
        <v>0</v>
      </c>
      <c r="F272" s="6">
        <f t="shared" si="70"/>
        <v>0</v>
      </c>
      <c r="G272" s="59">
        <v>0</v>
      </c>
      <c r="H272" s="59">
        <v>0</v>
      </c>
      <c r="I272" s="6">
        <f>(G272-H272)*'16-PlantAdditions'!$E$103</f>
        <v>0</v>
      </c>
      <c r="J272" s="6">
        <f t="shared" si="71"/>
        <v>0</v>
      </c>
      <c r="K272" s="6">
        <f t="shared" si="72"/>
        <v>0</v>
      </c>
    </row>
    <row r="273" spans="1:11" ht="13">
      <c r="A273" s="2">
        <f t="shared" si="69"/>
        <v>205</v>
      </c>
      <c r="B273" s="329" t="s">
        <v>397</v>
      </c>
      <c r="C273" s="330">
        <v>2027</v>
      </c>
      <c r="D273" s="59">
        <v>0</v>
      </c>
      <c r="E273" s="6">
        <f>D273*'16-PlantAdditions'!$E$103</f>
        <v>0</v>
      </c>
      <c r="F273" s="6">
        <f t="shared" si="70"/>
        <v>0</v>
      </c>
      <c r="G273" s="59">
        <v>0</v>
      </c>
      <c r="H273" s="59">
        <v>0</v>
      </c>
      <c r="I273" s="6">
        <f>(G273-H273)*'16-PlantAdditions'!$E$103</f>
        <v>0</v>
      </c>
      <c r="J273" s="6">
        <f t="shared" si="71"/>
        <v>0</v>
      </c>
      <c r="K273" s="6">
        <f t="shared" si="72"/>
        <v>0</v>
      </c>
    </row>
    <row r="274" spans="1:11" ht="13">
      <c r="A274" s="2">
        <f t="shared" si="69"/>
        <v>206</v>
      </c>
      <c r="B274" s="329" t="s">
        <v>398</v>
      </c>
      <c r="C274" s="330">
        <v>2027</v>
      </c>
      <c r="D274" s="59">
        <v>0</v>
      </c>
      <c r="E274" s="6">
        <f>D274*'16-PlantAdditions'!$E$103</f>
        <v>0</v>
      </c>
      <c r="F274" s="6">
        <f t="shared" si="70"/>
        <v>0</v>
      </c>
      <c r="G274" s="59">
        <v>0</v>
      </c>
      <c r="H274" s="59">
        <v>0</v>
      </c>
      <c r="I274" s="6">
        <f>(G274-H274)*'16-PlantAdditions'!$E$103</f>
        <v>0</v>
      </c>
      <c r="J274" s="6">
        <f t="shared" si="71"/>
        <v>0</v>
      </c>
      <c r="K274" s="6">
        <f t="shared" si="72"/>
        <v>0</v>
      </c>
    </row>
    <row r="275" spans="1:11" ht="13">
      <c r="A275" s="2">
        <f t="shared" si="69"/>
        <v>207</v>
      </c>
      <c r="B275" s="329" t="s">
        <v>399</v>
      </c>
      <c r="C275" s="330">
        <v>2027</v>
      </c>
      <c r="D275" s="59">
        <v>0</v>
      </c>
      <c r="E275" s="6">
        <f>D275*'16-PlantAdditions'!$E$103</f>
        <v>0</v>
      </c>
      <c r="F275" s="6">
        <f t="shared" ref="F275:F277" si="73">E275+D275</f>
        <v>0</v>
      </c>
      <c r="G275" s="59">
        <v>0</v>
      </c>
      <c r="H275" s="59">
        <v>0</v>
      </c>
      <c r="I275" s="6">
        <f>(G275-H275)*'16-PlantAdditions'!$E$103</f>
        <v>0</v>
      </c>
      <c r="J275" s="6">
        <f t="shared" ref="J275:J277" si="74">J274+F275-G275-I275</f>
        <v>0</v>
      </c>
      <c r="K275" s="6">
        <f t="shared" si="72"/>
        <v>0</v>
      </c>
    </row>
    <row r="276" spans="1:11" ht="13">
      <c r="A276" s="2">
        <f t="shared" si="69"/>
        <v>208</v>
      </c>
      <c r="B276" s="329" t="s">
        <v>400</v>
      </c>
      <c r="C276" s="330">
        <v>2027</v>
      </c>
      <c r="D276" s="59">
        <v>0</v>
      </c>
      <c r="E276" s="6">
        <f>D276*'16-PlantAdditions'!$E$103</f>
        <v>0</v>
      </c>
      <c r="F276" s="6">
        <f t="shared" si="73"/>
        <v>0</v>
      </c>
      <c r="G276" s="59">
        <v>0</v>
      </c>
      <c r="H276" s="59">
        <v>0</v>
      </c>
      <c r="I276" s="6">
        <f>(G276-H276)*'16-PlantAdditions'!$E$103</f>
        <v>0</v>
      </c>
      <c r="J276" s="6">
        <f t="shared" si="74"/>
        <v>0</v>
      </c>
      <c r="K276" s="6">
        <f t="shared" si="72"/>
        <v>0</v>
      </c>
    </row>
    <row r="277" spans="1:11" ht="13">
      <c r="A277" s="2">
        <f t="shared" si="69"/>
        <v>209</v>
      </c>
      <c r="B277" s="329" t="s">
        <v>388</v>
      </c>
      <c r="C277" s="330">
        <v>2027</v>
      </c>
      <c r="D277" s="59">
        <v>0</v>
      </c>
      <c r="E277" s="6">
        <f>D277*'16-PlantAdditions'!$E$103</f>
        <v>0</v>
      </c>
      <c r="F277" s="6">
        <f t="shared" si="73"/>
        <v>0</v>
      </c>
      <c r="G277" s="59">
        <v>0</v>
      </c>
      <c r="H277" s="59">
        <v>0</v>
      </c>
      <c r="I277" s="6">
        <f>(G277-H277)*'16-PlantAdditions'!$E$103</f>
        <v>0</v>
      </c>
      <c r="J277" s="6">
        <f t="shared" si="74"/>
        <v>0</v>
      </c>
      <c r="K277" s="53">
        <f t="shared" si="72"/>
        <v>0</v>
      </c>
    </row>
    <row r="278" spans="1:11" ht="13">
      <c r="A278" s="2">
        <f t="shared" si="69"/>
        <v>210</v>
      </c>
      <c r="C278" s="351" t="s">
        <v>1095</v>
      </c>
      <c r="K278" s="42">
        <f>AVERAGE(K265:K277)</f>
        <v>0</v>
      </c>
    </row>
    <row r="279" spans="1:11" ht="12.75" customHeight="1">
      <c r="A279" s="2"/>
      <c r="C279" s="351"/>
      <c r="K279" s="42"/>
    </row>
    <row r="280" spans="1:11" ht="13">
      <c r="B280" s="34" t="s">
        <v>1114</v>
      </c>
      <c r="D280" s="1207" t="s">
        <v>1115</v>
      </c>
      <c r="E280" s="1207"/>
    </row>
    <row r="281" spans="1:11" ht="13">
      <c r="B281" s="34"/>
      <c r="D281" s="3" t="s">
        <v>345</v>
      </c>
      <c r="E281" s="3" t="s">
        <v>346</v>
      </c>
      <c r="F281" s="3" t="s">
        <v>347</v>
      </c>
      <c r="G281" s="3" t="s">
        <v>348</v>
      </c>
      <c r="H281" s="3" t="s">
        <v>349</v>
      </c>
      <c r="I281" s="3" t="s">
        <v>350</v>
      </c>
      <c r="J281" s="3" t="s">
        <v>351</v>
      </c>
      <c r="K281" s="3" t="s">
        <v>352</v>
      </c>
    </row>
    <row r="282" spans="1:11" ht="25.5">
      <c r="B282" s="34"/>
      <c r="D282" s="48"/>
      <c r="E282" s="352" t="s">
        <v>1099</v>
      </c>
      <c r="F282" s="239" t="s">
        <v>1100</v>
      </c>
      <c r="G282" s="239"/>
      <c r="H282" s="48"/>
      <c r="I282" s="352" t="s">
        <v>1101</v>
      </c>
      <c r="J282" s="352" t="s">
        <v>1102</v>
      </c>
      <c r="K282" s="352" t="s">
        <v>1103</v>
      </c>
    </row>
    <row r="283" spans="1:11" ht="13">
      <c r="D283" s="48"/>
      <c r="E283" s="352"/>
      <c r="F283" s="239"/>
      <c r="G283" s="2" t="str">
        <f>G51</f>
        <v>Unloaded</v>
      </c>
      <c r="H283" s="48"/>
      <c r="I283" s="352"/>
      <c r="J283" s="352"/>
      <c r="K283" s="352"/>
    </row>
    <row r="284" spans="1:11" ht="13">
      <c r="A284" s="2"/>
      <c r="B284" s="2"/>
      <c r="C284" s="2"/>
      <c r="D284" s="2" t="str">
        <f>D$52</f>
        <v>Forecast</v>
      </c>
      <c r="E284" s="2" t="str">
        <f t="shared" ref="E284:J284" si="75">E$52</f>
        <v>Corporate</v>
      </c>
      <c r="F284" s="2" t="str">
        <f t="shared" si="75"/>
        <v xml:space="preserve">Total </v>
      </c>
      <c r="G284" s="2" t="str">
        <f>G52</f>
        <v>Total</v>
      </c>
      <c r="H284" s="2" t="str">
        <f t="shared" si="75"/>
        <v>Prior Period</v>
      </c>
      <c r="I284" s="2" t="str">
        <f t="shared" si="75"/>
        <v>Over Heads</v>
      </c>
      <c r="J284" s="2" t="str">
        <f t="shared" si="75"/>
        <v>Forecast</v>
      </c>
      <c r="K284" s="2" t="str">
        <f>K$52</f>
        <v>Forecast Period</v>
      </c>
    </row>
    <row r="285" spans="1:11" ht="13">
      <c r="A285" s="30" t="s">
        <v>282</v>
      </c>
      <c r="B285" s="328" t="s">
        <v>380</v>
      </c>
      <c r="C285" s="328" t="s">
        <v>381</v>
      </c>
      <c r="D285" s="3" t="str">
        <f>D$53</f>
        <v>Expenditures</v>
      </c>
      <c r="E285" s="3" t="str">
        <f t="shared" ref="E285:J285" si="76">E$53</f>
        <v>Overheads</v>
      </c>
      <c r="F285" s="3" t="str">
        <f t="shared" si="76"/>
        <v>CWIP Exp</v>
      </c>
      <c r="G285" s="3" t="str">
        <f>G53</f>
        <v>Plant Adds</v>
      </c>
      <c r="H285" s="3" t="str">
        <f t="shared" si="76"/>
        <v>CWIP Closed</v>
      </c>
      <c r="I285" s="3" t="str">
        <f t="shared" si="76"/>
        <v>Closed to PIS</v>
      </c>
      <c r="J285" s="3" t="str">
        <f t="shared" si="76"/>
        <v>Period CWIP</v>
      </c>
      <c r="K285" s="3" t="str">
        <f>K$53</f>
        <v>Incremental CWIP</v>
      </c>
    </row>
    <row r="286" spans="1:11" ht="13">
      <c r="A286" s="2">
        <f>A278+1</f>
        <v>211</v>
      </c>
      <c r="B286" s="329" t="s">
        <v>388</v>
      </c>
      <c r="C286" s="330">
        <v>2025</v>
      </c>
      <c r="D286" s="239" t="s">
        <v>389</v>
      </c>
      <c r="E286" s="239" t="s">
        <v>389</v>
      </c>
      <c r="F286" s="239" t="s">
        <v>389</v>
      </c>
      <c r="G286" s="239" t="s">
        <v>389</v>
      </c>
      <c r="H286" s="239" t="s">
        <v>389</v>
      </c>
      <c r="I286" s="239" t="s">
        <v>389</v>
      </c>
      <c r="J286" s="6">
        <f>E45</f>
        <v>0</v>
      </c>
      <c r="K286" s="239" t="s">
        <v>389</v>
      </c>
    </row>
    <row r="287" spans="1:11" ht="13">
      <c r="A287" s="2">
        <f>A286+1</f>
        <v>212</v>
      </c>
      <c r="B287" s="329" t="s">
        <v>390</v>
      </c>
      <c r="C287" s="330">
        <v>2026</v>
      </c>
      <c r="D287" s="59">
        <v>0</v>
      </c>
      <c r="E287" s="6">
        <f>D287*'16-PlantAdditions'!$E$103</f>
        <v>0</v>
      </c>
      <c r="F287" s="6">
        <f>E287+D287</f>
        <v>0</v>
      </c>
      <c r="G287" s="59">
        <v>0</v>
      </c>
      <c r="H287" s="59">
        <v>0</v>
      </c>
      <c r="I287" s="6">
        <f>(G287-H287)*'16-PlantAdditions'!$E$103</f>
        <v>0</v>
      </c>
      <c r="J287" s="6">
        <f>J286+F287-G287-I287</f>
        <v>0</v>
      </c>
      <c r="K287" s="6">
        <f>J287-$J$286</f>
        <v>0</v>
      </c>
    </row>
    <row r="288" spans="1:11" ht="13">
      <c r="A288" s="2">
        <f t="shared" ref="A288:A311" si="77">A287+1</f>
        <v>213</v>
      </c>
      <c r="B288" s="329" t="s">
        <v>391</v>
      </c>
      <c r="C288" s="330">
        <v>2026</v>
      </c>
      <c r="D288" s="59">
        <v>0</v>
      </c>
      <c r="E288" s="6">
        <f>D288*'16-PlantAdditions'!$E$103</f>
        <v>0</v>
      </c>
      <c r="F288" s="6">
        <f t="shared" ref="F288:F307" si="78">E288+D288</f>
        <v>0</v>
      </c>
      <c r="G288" s="59">
        <v>0</v>
      </c>
      <c r="H288" s="59">
        <v>0</v>
      </c>
      <c r="I288" s="6">
        <f>(G288-H288)*'16-PlantAdditions'!$E$103</f>
        <v>0</v>
      </c>
      <c r="J288" s="6">
        <f t="shared" ref="J288:J307" si="79">J287+F288-G288-I288</f>
        <v>0</v>
      </c>
      <c r="K288" s="6">
        <f t="shared" ref="K288:K310" si="80">J288-$J$286</f>
        <v>0</v>
      </c>
    </row>
    <row r="289" spans="1:13" ht="13">
      <c r="A289" s="2">
        <f t="shared" si="77"/>
        <v>214</v>
      </c>
      <c r="B289" s="329" t="s">
        <v>392</v>
      </c>
      <c r="C289" s="330">
        <v>2026</v>
      </c>
      <c r="D289" s="59">
        <v>0</v>
      </c>
      <c r="E289" s="6">
        <f>D289*'16-PlantAdditions'!$E$103</f>
        <v>0</v>
      </c>
      <c r="F289" s="6">
        <f t="shared" si="78"/>
        <v>0</v>
      </c>
      <c r="G289" s="59">
        <v>0</v>
      </c>
      <c r="H289" s="59">
        <v>0</v>
      </c>
      <c r="I289" s="6">
        <f>(G289-H289)*'16-PlantAdditions'!$E$103</f>
        <v>0</v>
      </c>
      <c r="J289" s="6">
        <f t="shared" si="79"/>
        <v>0</v>
      </c>
      <c r="K289" s="6">
        <f t="shared" si="80"/>
        <v>0</v>
      </c>
    </row>
    <row r="290" spans="1:13" ht="13">
      <c r="A290" s="2">
        <f t="shared" si="77"/>
        <v>215</v>
      </c>
      <c r="B290" s="329" t="s">
        <v>393</v>
      </c>
      <c r="C290" s="330">
        <v>2026</v>
      </c>
      <c r="D290" s="59">
        <v>0</v>
      </c>
      <c r="E290" s="6">
        <f>D290*'16-PlantAdditions'!$E$103</f>
        <v>0</v>
      </c>
      <c r="F290" s="6">
        <f t="shared" si="78"/>
        <v>0</v>
      </c>
      <c r="G290" s="59">
        <v>0</v>
      </c>
      <c r="H290" s="59">
        <v>0</v>
      </c>
      <c r="I290" s="6">
        <f>(G290-H290)*'16-PlantAdditions'!$E$103</f>
        <v>0</v>
      </c>
      <c r="J290" s="6">
        <f t="shared" si="79"/>
        <v>0</v>
      </c>
      <c r="K290" s="6">
        <f t="shared" si="80"/>
        <v>0</v>
      </c>
    </row>
    <row r="291" spans="1:13" ht="13">
      <c r="A291" s="2">
        <f t="shared" si="77"/>
        <v>216</v>
      </c>
      <c r="B291" s="329" t="s">
        <v>394</v>
      </c>
      <c r="C291" s="330">
        <v>2026</v>
      </c>
      <c r="D291" s="59">
        <v>0</v>
      </c>
      <c r="E291" s="6">
        <f>D291*'16-PlantAdditions'!$E$103</f>
        <v>0</v>
      </c>
      <c r="F291" s="6">
        <f t="shared" si="78"/>
        <v>0</v>
      </c>
      <c r="G291" s="59">
        <v>0</v>
      </c>
      <c r="H291" s="59">
        <v>0</v>
      </c>
      <c r="I291" s="6">
        <f>(G291-H291)*'16-PlantAdditions'!$E$103</f>
        <v>0</v>
      </c>
      <c r="J291" s="6">
        <f t="shared" si="79"/>
        <v>0</v>
      </c>
      <c r="K291" s="6">
        <f t="shared" si="80"/>
        <v>0</v>
      </c>
      <c r="L291" s="2"/>
      <c r="M291" s="2"/>
    </row>
    <row r="292" spans="1:13" ht="13">
      <c r="A292" s="2">
        <f t="shared" si="77"/>
        <v>217</v>
      </c>
      <c r="B292" s="329" t="s">
        <v>608</v>
      </c>
      <c r="C292" s="330">
        <v>2026</v>
      </c>
      <c r="D292" s="59">
        <v>0</v>
      </c>
      <c r="E292" s="6">
        <f>D292*'16-PlantAdditions'!$E$103</f>
        <v>0</v>
      </c>
      <c r="F292" s="6">
        <f t="shared" si="78"/>
        <v>0</v>
      </c>
      <c r="G292" s="59">
        <v>0</v>
      </c>
      <c r="H292" s="59">
        <v>0</v>
      </c>
      <c r="I292" s="6">
        <f>(G292-H292)*'16-PlantAdditions'!$E$103</f>
        <v>0</v>
      </c>
      <c r="J292" s="6">
        <f t="shared" si="79"/>
        <v>0</v>
      </c>
      <c r="K292" s="6">
        <f t="shared" si="80"/>
        <v>0</v>
      </c>
      <c r="L292" s="3"/>
      <c r="M292" s="3"/>
    </row>
    <row r="293" spans="1:13" ht="13">
      <c r="A293" s="2">
        <f t="shared" si="77"/>
        <v>218</v>
      </c>
      <c r="B293" s="329" t="s">
        <v>396</v>
      </c>
      <c r="C293" s="330">
        <v>2026</v>
      </c>
      <c r="D293" s="59">
        <v>0</v>
      </c>
      <c r="E293" s="6">
        <f>D293*'16-PlantAdditions'!$E$103</f>
        <v>0</v>
      </c>
      <c r="F293" s="6">
        <f t="shared" si="78"/>
        <v>0</v>
      </c>
      <c r="G293" s="59">
        <v>0</v>
      </c>
      <c r="H293" s="59">
        <v>0</v>
      </c>
      <c r="I293" s="6">
        <f>(G293-H293)*'16-PlantAdditions'!$E$103</f>
        <v>0</v>
      </c>
      <c r="J293" s="6">
        <f t="shared" si="79"/>
        <v>0</v>
      </c>
      <c r="K293" s="6">
        <f t="shared" si="80"/>
        <v>0</v>
      </c>
    </row>
    <row r="294" spans="1:13" ht="13">
      <c r="A294" s="2">
        <f t="shared" si="77"/>
        <v>219</v>
      </c>
      <c r="B294" s="329" t="s">
        <v>397</v>
      </c>
      <c r="C294" s="330">
        <v>2026</v>
      </c>
      <c r="D294" s="59">
        <v>0</v>
      </c>
      <c r="E294" s="6">
        <f>D294*'16-PlantAdditions'!$E$103</f>
        <v>0</v>
      </c>
      <c r="F294" s="6">
        <f t="shared" si="78"/>
        <v>0</v>
      </c>
      <c r="G294" s="59">
        <v>0</v>
      </c>
      <c r="H294" s="59">
        <v>0</v>
      </c>
      <c r="I294" s="6">
        <f>(G294-H294)*'16-PlantAdditions'!$E$103</f>
        <v>0</v>
      </c>
      <c r="J294" s="6">
        <f t="shared" si="79"/>
        <v>0</v>
      </c>
      <c r="K294" s="6">
        <f t="shared" si="80"/>
        <v>0</v>
      </c>
    </row>
    <row r="295" spans="1:13" ht="13">
      <c r="A295" s="2">
        <f t="shared" si="77"/>
        <v>220</v>
      </c>
      <c r="B295" s="329" t="s">
        <v>398</v>
      </c>
      <c r="C295" s="330">
        <v>2026</v>
      </c>
      <c r="D295" s="59">
        <v>0</v>
      </c>
      <c r="E295" s="6">
        <f>D295*'16-PlantAdditions'!$E$103</f>
        <v>0</v>
      </c>
      <c r="F295" s="6">
        <f t="shared" si="78"/>
        <v>0</v>
      </c>
      <c r="G295" s="59">
        <v>0</v>
      </c>
      <c r="H295" s="59">
        <v>0</v>
      </c>
      <c r="I295" s="6">
        <f>(G295-H295)*'16-PlantAdditions'!$E$103</f>
        <v>0</v>
      </c>
      <c r="J295" s="6">
        <f t="shared" si="79"/>
        <v>0</v>
      </c>
      <c r="K295" s="6">
        <f t="shared" si="80"/>
        <v>0</v>
      </c>
    </row>
    <row r="296" spans="1:13" ht="13">
      <c r="A296" s="2">
        <f t="shared" si="77"/>
        <v>221</v>
      </c>
      <c r="B296" s="329" t="s">
        <v>399</v>
      </c>
      <c r="C296" s="330">
        <v>2026</v>
      </c>
      <c r="D296" s="59">
        <v>0</v>
      </c>
      <c r="E296" s="6">
        <f>D296*'16-PlantAdditions'!$E$103</f>
        <v>0</v>
      </c>
      <c r="F296" s="6">
        <f t="shared" si="78"/>
        <v>0</v>
      </c>
      <c r="G296" s="59">
        <v>0</v>
      </c>
      <c r="H296" s="59">
        <v>0</v>
      </c>
      <c r="I296" s="6">
        <f>(G296-H296)*'16-PlantAdditions'!$E$103</f>
        <v>0</v>
      </c>
      <c r="J296" s="6">
        <f t="shared" si="79"/>
        <v>0</v>
      </c>
      <c r="K296" s="6">
        <f t="shared" si="80"/>
        <v>0</v>
      </c>
    </row>
    <row r="297" spans="1:13" ht="13">
      <c r="A297" s="2">
        <f t="shared" si="77"/>
        <v>222</v>
      </c>
      <c r="B297" s="329" t="s">
        <v>400</v>
      </c>
      <c r="C297" s="330">
        <v>2026</v>
      </c>
      <c r="D297" s="59">
        <v>0</v>
      </c>
      <c r="E297" s="6">
        <f>D297*'16-PlantAdditions'!$E$103</f>
        <v>0</v>
      </c>
      <c r="F297" s="6">
        <f t="shared" si="78"/>
        <v>0</v>
      </c>
      <c r="G297" s="59">
        <v>0</v>
      </c>
      <c r="H297" s="59">
        <v>0</v>
      </c>
      <c r="I297" s="6">
        <f>(G297-H297)*'16-PlantAdditions'!$E$103</f>
        <v>0</v>
      </c>
      <c r="J297" s="6">
        <f t="shared" si="79"/>
        <v>0</v>
      </c>
      <c r="K297" s="6">
        <f t="shared" si="80"/>
        <v>0</v>
      </c>
    </row>
    <row r="298" spans="1:13" ht="13">
      <c r="A298" s="2">
        <f t="shared" si="77"/>
        <v>223</v>
      </c>
      <c r="B298" s="329" t="s">
        <v>388</v>
      </c>
      <c r="C298" s="330">
        <v>2026</v>
      </c>
      <c r="D298" s="59">
        <v>0</v>
      </c>
      <c r="E298" s="6">
        <f>D298*'16-PlantAdditions'!$E$103</f>
        <v>0</v>
      </c>
      <c r="F298" s="6">
        <f t="shared" si="78"/>
        <v>0</v>
      </c>
      <c r="G298" s="59">
        <v>0</v>
      </c>
      <c r="H298" s="59">
        <v>0</v>
      </c>
      <c r="I298" s="6">
        <f>(G298-H298)*'16-PlantAdditions'!$E$103</f>
        <v>0</v>
      </c>
      <c r="J298" s="6">
        <f t="shared" si="79"/>
        <v>0</v>
      </c>
      <c r="K298" s="6">
        <f t="shared" si="80"/>
        <v>0</v>
      </c>
    </row>
    <row r="299" spans="1:13" ht="13">
      <c r="A299" s="2">
        <f t="shared" si="77"/>
        <v>224</v>
      </c>
      <c r="B299" s="329" t="s">
        <v>390</v>
      </c>
      <c r="C299" s="330">
        <v>2027</v>
      </c>
      <c r="D299" s="59">
        <v>0</v>
      </c>
      <c r="E299" s="6">
        <f>D299*'16-PlantAdditions'!$E$103</f>
        <v>0</v>
      </c>
      <c r="F299" s="6">
        <f t="shared" si="78"/>
        <v>0</v>
      </c>
      <c r="G299" s="59">
        <v>0</v>
      </c>
      <c r="H299" s="59">
        <v>0</v>
      </c>
      <c r="I299" s="6">
        <f>(G299-H299)*'16-PlantAdditions'!$E$103</f>
        <v>0</v>
      </c>
      <c r="J299" s="6">
        <f t="shared" si="79"/>
        <v>0</v>
      </c>
      <c r="K299" s="6">
        <f t="shared" si="80"/>
        <v>0</v>
      </c>
    </row>
    <row r="300" spans="1:13" ht="13">
      <c r="A300" s="2">
        <f t="shared" si="77"/>
        <v>225</v>
      </c>
      <c r="B300" s="329" t="s">
        <v>391</v>
      </c>
      <c r="C300" s="330">
        <v>2027</v>
      </c>
      <c r="D300" s="59">
        <v>0</v>
      </c>
      <c r="E300" s="6">
        <f>D300*'16-PlantAdditions'!$E$103</f>
        <v>0</v>
      </c>
      <c r="F300" s="6">
        <f t="shared" si="78"/>
        <v>0</v>
      </c>
      <c r="G300" s="59">
        <v>0</v>
      </c>
      <c r="H300" s="59">
        <v>0</v>
      </c>
      <c r="I300" s="6">
        <f>(G300-H300)*'16-PlantAdditions'!$E$103</f>
        <v>0</v>
      </c>
      <c r="J300" s="6">
        <f t="shared" si="79"/>
        <v>0</v>
      </c>
      <c r="K300" s="6">
        <f t="shared" si="80"/>
        <v>0</v>
      </c>
    </row>
    <row r="301" spans="1:13" ht="13">
      <c r="A301" s="2">
        <f t="shared" si="77"/>
        <v>226</v>
      </c>
      <c r="B301" s="329" t="s">
        <v>392</v>
      </c>
      <c r="C301" s="330">
        <v>2027</v>
      </c>
      <c r="D301" s="59">
        <v>0</v>
      </c>
      <c r="E301" s="6">
        <f>D301*'16-PlantAdditions'!$E$103</f>
        <v>0</v>
      </c>
      <c r="F301" s="6">
        <f t="shared" si="78"/>
        <v>0</v>
      </c>
      <c r="G301" s="59">
        <v>0</v>
      </c>
      <c r="H301" s="59">
        <v>0</v>
      </c>
      <c r="I301" s="6">
        <f>(G301-H301)*'16-PlantAdditions'!$E$103</f>
        <v>0</v>
      </c>
      <c r="J301" s="6">
        <f t="shared" si="79"/>
        <v>0</v>
      </c>
      <c r="K301" s="6">
        <f t="shared" si="80"/>
        <v>0</v>
      </c>
    </row>
    <row r="302" spans="1:13" ht="13">
      <c r="A302" s="2">
        <f t="shared" si="77"/>
        <v>227</v>
      </c>
      <c r="B302" s="329" t="s">
        <v>393</v>
      </c>
      <c r="C302" s="330">
        <v>2027</v>
      </c>
      <c r="D302" s="59">
        <v>0</v>
      </c>
      <c r="E302" s="6">
        <f>D302*'16-PlantAdditions'!$E$103</f>
        <v>0</v>
      </c>
      <c r="F302" s="6">
        <f t="shared" si="78"/>
        <v>0</v>
      </c>
      <c r="G302" s="59">
        <v>0</v>
      </c>
      <c r="H302" s="59">
        <v>0</v>
      </c>
      <c r="I302" s="6">
        <f>(G302-H302)*'16-PlantAdditions'!$E$103</f>
        <v>0</v>
      </c>
      <c r="J302" s="6">
        <f t="shared" si="79"/>
        <v>0</v>
      </c>
      <c r="K302" s="6">
        <f t="shared" si="80"/>
        <v>0</v>
      </c>
    </row>
    <row r="303" spans="1:13" ht="13">
      <c r="A303" s="2">
        <f t="shared" si="77"/>
        <v>228</v>
      </c>
      <c r="B303" s="329" t="s">
        <v>394</v>
      </c>
      <c r="C303" s="330">
        <v>2027</v>
      </c>
      <c r="D303" s="59">
        <v>0</v>
      </c>
      <c r="E303" s="6">
        <f>D303*'16-PlantAdditions'!$E$103</f>
        <v>0</v>
      </c>
      <c r="F303" s="6">
        <f t="shared" si="78"/>
        <v>0</v>
      </c>
      <c r="G303" s="59">
        <v>0</v>
      </c>
      <c r="H303" s="59">
        <v>0</v>
      </c>
      <c r="I303" s="6">
        <f>(G303-H303)*'16-PlantAdditions'!$E$103</f>
        <v>0</v>
      </c>
      <c r="J303" s="6">
        <f t="shared" si="79"/>
        <v>0</v>
      </c>
      <c r="K303" s="6">
        <f t="shared" si="80"/>
        <v>0</v>
      </c>
    </row>
    <row r="304" spans="1:13" ht="13">
      <c r="A304" s="2">
        <f t="shared" si="77"/>
        <v>229</v>
      </c>
      <c r="B304" s="329" t="s">
        <v>608</v>
      </c>
      <c r="C304" s="330">
        <v>2027</v>
      </c>
      <c r="D304" s="59">
        <v>0</v>
      </c>
      <c r="E304" s="6">
        <f>D304*'16-PlantAdditions'!$E$103</f>
        <v>0</v>
      </c>
      <c r="F304" s="6">
        <f t="shared" si="78"/>
        <v>0</v>
      </c>
      <c r="G304" s="59">
        <v>0</v>
      </c>
      <c r="H304" s="59">
        <v>0</v>
      </c>
      <c r="I304" s="6">
        <f>(G304-H304)*'16-PlantAdditions'!$E$103</f>
        <v>0</v>
      </c>
      <c r="J304" s="6">
        <f t="shared" si="79"/>
        <v>0</v>
      </c>
      <c r="K304" s="6">
        <f t="shared" si="80"/>
        <v>0</v>
      </c>
    </row>
    <row r="305" spans="1:12" ht="13">
      <c r="A305" s="2">
        <f t="shared" si="77"/>
        <v>230</v>
      </c>
      <c r="B305" s="329" t="s">
        <v>396</v>
      </c>
      <c r="C305" s="330">
        <v>2027</v>
      </c>
      <c r="D305" s="59">
        <v>0</v>
      </c>
      <c r="E305" s="6">
        <f>D305*'16-PlantAdditions'!$E$103</f>
        <v>0</v>
      </c>
      <c r="F305" s="6">
        <f t="shared" si="78"/>
        <v>0</v>
      </c>
      <c r="G305" s="59">
        <v>0</v>
      </c>
      <c r="H305" s="59">
        <v>0</v>
      </c>
      <c r="I305" s="6">
        <f>(G305-H305)*'16-PlantAdditions'!$E$103</f>
        <v>0</v>
      </c>
      <c r="J305" s="6">
        <f t="shared" si="79"/>
        <v>0</v>
      </c>
      <c r="K305" s="6">
        <f t="shared" si="80"/>
        <v>0</v>
      </c>
    </row>
    <row r="306" spans="1:12" ht="13">
      <c r="A306" s="2">
        <f t="shared" si="77"/>
        <v>231</v>
      </c>
      <c r="B306" s="329" t="s">
        <v>397</v>
      </c>
      <c r="C306" s="330">
        <v>2027</v>
      </c>
      <c r="D306" s="59">
        <v>0</v>
      </c>
      <c r="E306" s="6">
        <f>D306*'16-PlantAdditions'!$E$103</f>
        <v>0</v>
      </c>
      <c r="F306" s="6">
        <f t="shared" si="78"/>
        <v>0</v>
      </c>
      <c r="G306" s="59">
        <v>0</v>
      </c>
      <c r="H306" s="59">
        <v>0</v>
      </c>
      <c r="I306" s="6">
        <f>(G306-H306)*'16-PlantAdditions'!$E$103</f>
        <v>0</v>
      </c>
      <c r="J306" s="6">
        <f t="shared" si="79"/>
        <v>0</v>
      </c>
      <c r="K306" s="6">
        <f t="shared" si="80"/>
        <v>0</v>
      </c>
    </row>
    <row r="307" spans="1:12" ht="13">
      <c r="A307" s="2">
        <f t="shared" si="77"/>
        <v>232</v>
      </c>
      <c r="B307" s="329" t="s">
        <v>398</v>
      </c>
      <c r="C307" s="330">
        <v>2027</v>
      </c>
      <c r="D307" s="59">
        <v>0</v>
      </c>
      <c r="E307" s="6">
        <f>D307*'16-PlantAdditions'!$E$103</f>
        <v>0</v>
      </c>
      <c r="F307" s="6">
        <f t="shared" si="78"/>
        <v>0</v>
      </c>
      <c r="G307" s="59">
        <v>0</v>
      </c>
      <c r="H307" s="59">
        <v>0</v>
      </c>
      <c r="I307" s="6">
        <f>(G307-H307)*'16-PlantAdditions'!$E$103</f>
        <v>0</v>
      </c>
      <c r="J307" s="6">
        <f t="shared" si="79"/>
        <v>0</v>
      </c>
      <c r="K307" s="6">
        <f t="shared" si="80"/>
        <v>0</v>
      </c>
    </row>
    <row r="308" spans="1:12" ht="13">
      <c r="A308" s="2">
        <f t="shared" si="77"/>
        <v>233</v>
      </c>
      <c r="B308" s="329" t="s">
        <v>399</v>
      </c>
      <c r="C308" s="330">
        <v>2027</v>
      </c>
      <c r="D308" s="59">
        <v>0</v>
      </c>
      <c r="E308" s="6">
        <f>D308*'16-PlantAdditions'!$E$103</f>
        <v>0</v>
      </c>
      <c r="F308" s="6">
        <f t="shared" ref="F308:F310" si="81">E308+D308</f>
        <v>0</v>
      </c>
      <c r="G308" s="59">
        <v>0</v>
      </c>
      <c r="H308" s="59">
        <v>0</v>
      </c>
      <c r="I308" s="6">
        <f>(G308-H308)*'16-PlantAdditions'!$E$103</f>
        <v>0</v>
      </c>
      <c r="J308" s="6">
        <f t="shared" ref="J308:J310" si="82">J307+F308-G308-I308</f>
        <v>0</v>
      </c>
      <c r="K308" s="6">
        <f t="shared" si="80"/>
        <v>0</v>
      </c>
    </row>
    <row r="309" spans="1:12" ht="13">
      <c r="A309" s="2">
        <f t="shared" si="77"/>
        <v>234</v>
      </c>
      <c r="B309" s="329" t="s">
        <v>400</v>
      </c>
      <c r="C309" s="330">
        <v>2027</v>
      </c>
      <c r="D309" s="59">
        <v>0</v>
      </c>
      <c r="E309" s="6">
        <f>D309*'16-PlantAdditions'!$E$103</f>
        <v>0</v>
      </c>
      <c r="F309" s="6">
        <f t="shared" si="81"/>
        <v>0</v>
      </c>
      <c r="G309" s="59">
        <v>0</v>
      </c>
      <c r="H309" s="59">
        <v>0</v>
      </c>
      <c r="I309" s="6">
        <f>(G309-H309)*'16-PlantAdditions'!$E$103</f>
        <v>0</v>
      </c>
      <c r="J309" s="6">
        <f t="shared" si="82"/>
        <v>0</v>
      </c>
      <c r="K309" s="6">
        <f t="shared" si="80"/>
        <v>0</v>
      </c>
    </row>
    <row r="310" spans="1:12" ht="13">
      <c r="A310" s="2">
        <f t="shared" si="77"/>
        <v>235</v>
      </c>
      <c r="B310" s="329" t="s">
        <v>388</v>
      </c>
      <c r="C310" s="330">
        <v>2027</v>
      </c>
      <c r="D310" s="59">
        <v>0</v>
      </c>
      <c r="E310" s="6">
        <f>D310*'16-PlantAdditions'!$E$103</f>
        <v>0</v>
      </c>
      <c r="F310" s="6">
        <f t="shared" si="81"/>
        <v>0</v>
      </c>
      <c r="G310" s="59">
        <v>0</v>
      </c>
      <c r="H310" s="59">
        <v>0</v>
      </c>
      <c r="I310" s="6">
        <f>(G310-H310)*'16-PlantAdditions'!$E$103</f>
        <v>0</v>
      </c>
      <c r="J310" s="6">
        <f t="shared" si="82"/>
        <v>0</v>
      </c>
      <c r="K310" s="53">
        <f t="shared" si="80"/>
        <v>0</v>
      </c>
    </row>
    <row r="311" spans="1:12" ht="13">
      <c r="A311" s="2">
        <f t="shared" si="77"/>
        <v>236</v>
      </c>
      <c r="C311" s="351" t="s">
        <v>1095</v>
      </c>
      <c r="K311" s="42">
        <f>AVERAGE(K298:K310)</f>
        <v>0</v>
      </c>
    </row>
    <row r="312" spans="1:12" ht="13">
      <c r="A312" s="2"/>
      <c r="C312" s="351"/>
      <c r="K312" s="42"/>
    </row>
    <row r="313" spans="1:12" ht="13">
      <c r="B313" s="34" t="s">
        <v>1116</v>
      </c>
      <c r="D313" s="1207" t="s">
        <v>1073</v>
      </c>
      <c r="E313" s="1207"/>
    </row>
    <row r="314" spans="1:12" ht="13">
      <c r="A314" s="3"/>
      <c r="B314" s="3"/>
      <c r="C314" s="3"/>
      <c r="D314" s="3" t="s">
        <v>345</v>
      </c>
      <c r="E314" s="3" t="s">
        <v>346</v>
      </c>
      <c r="F314" s="3" t="s">
        <v>347</v>
      </c>
      <c r="G314" s="3" t="s">
        <v>348</v>
      </c>
      <c r="H314" s="3" t="s">
        <v>349</v>
      </c>
      <c r="I314" s="3" t="s">
        <v>350</v>
      </c>
      <c r="J314" s="3" t="s">
        <v>351</v>
      </c>
      <c r="K314" s="3" t="s">
        <v>352</v>
      </c>
    </row>
    <row r="315" spans="1:12" ht="25.5">
      <c r="D315" s="48"/>
      <c r="E315" s="352" t="s">
        <v>1099</v>
      </c>
      <c r="F315" s="239" t="s">
        <v>1100</v>
      </c>
      <c r="G315" s="239"/>
      <c r="H315" s="48"/>
      <c r="I315" s="352" t="s">
        <v>1101</v>
      </c>
      <c r="J315" s="352" t="s">
        <v>1102</v>
      </c>
      <c r="K315" s="352" t="s">
        <v>1103</v>
      </c>
    </row>
    <row r="316" spans="1:12" ht="13">
      <c r="D316" s="48"/>
      <c r="E316" s="48"/>
      <c r="F316" s="48"/>
      <c r="G316" s="2" t="str">
        <f>G51</f>
        <v>Unloaded</v>
      </c>
      <c r="H316" s="48"/>
      <c r="I316" s="48"/>
    </row>
    <row r="317" spans="1:12" ht="13">
      <c r="A317" s="2"/>
      <c r="B317" s="2"/>
      <c r="C317" s="2"/>
      <c r="D317" s="2" t="str">
        <f>D$52</f>
        <v>Forecast</v>
      </c>
      <c r="E317" s="2" t="str">
        <f t="shared" ref="E317:J317" si="83">E$52</f>
        <v>Corporate</v>
      </c>
      <c r="F317" s="2" t="str">
        <f t="shared" si="83"/>
        <v xml:space="preserve">Total </v>
      </c>
      <c r="G317" s="2" t="str">
        <f>G52</f>
        <v>Total</v>
      </c>
      <c r="H317" s="2" t="str">
        <f t="shared" si="83"/>
        <v>Prior Period</v>
      </c>
      <c r="I317" s="2" t="str">
        <f t="shared" si="83"/>
        <v>Over Heads</v>
      </c>
      <c r="J317" s="2" t="str">
        <f t="shared" si="83"/>
        <v>Forecast</v>
      </c>
      <c r="K317" s="2" t="str">
        <f>K$52</f>
        <v>Forecast Period</v>
      </c>
    </row>
    <row r="318" spans="1:12" ht="13">
      <c r="A318" s="30" t="s">
        <v>282</v>
      </c>
      <c r="B318" s="328" t="s">
        <v>380</v>
      </c>
      <c r="C318" s="328" t="s">
        <v>381</v>
      </c>
      <c r="D318" s="3" t="str">
        <f>D$53</f>
        <v>Expenditures</v>
      </c>
      <c r="E318" s="3" t="str">
        <f t="shared" ref="E318:J318" si="84">E$53</f>
        <v>Overheads</v>
      </c>
      <c r="F318" s="3" t="str">
        <f t="shared" si="84"/>
        <v>CWIP Exp</v>
      </c>
      <c r="G318" s="3" t="str">
        <f>G53</f>
        <v>Plant Adds</v>
      </c>
      <c r="H318" s="3" t="str">
        <f t="shared" si="84"/>
        <v>CWIP Closed</v>
      </c>
      <c r="I318" s="3" t="str">
        <f t="shared" si="84"/>
        <v>Closed to PIS</v>
      </c>
      <c r="J318" s="3" t="str">
        <f t="shared" si="84"/>
        <v>Period CWIP</v>
      </c>
      <c r="K318" s="3" t="str">
        <f>K$53</f>
        <v>Incremental CWIP</v>
      </c>
    </row>
    <row r="319" spans="1:12" ht="13">
      <c r="A319" s="2">
        <f>A311+1</f>
        <v>237</v>
      </c>
      <c r="B319" s="329" t="s">
        <v>388</v>
      </c>
      <c r="C319" s="330">
        <v>2025</v>
      </c>
      <c r="D319" s="239" t="s">
        <v>389</v>
      </c>
      <c r="E319" s="239" t="s">
        <v>389</v>
      </c>
      <c r="F319" s="239" t="s">
        <v>389</v>
      </c>
      <c r="G319" s="239" t="s">
        <v>389</v>
      </c>
      <c r="H319" s="239" t="s">
        <v>389</v>
      </c>
      <c r="I319" s="239" t="s">
        <v>389</v>
      </c>
      <c r="J319" s="6">
        <f>F45</f>
        <v>2395428.88</v>
      </c>
      <c r="K319" s="239" t="s">
        <v>389</v>
      </c>
    </row>
    <row r="320" spans="1:12" ht="13">
      <c r="A320" s="2">
        <f>A319+1</f>
        <v>238</v>
      </c>
      <c r="B320" s="329" t="s">
        <v>390</v>
      </c>
      <c r="C320" s="330">
        <v>2026</v>
      </c>
      <c r="D320" s="59">
        <v>55951.332199999997</v>
      </c>
      <c r="E320" s="6">
        <f>D320*'16-PlantAdditions'!$E$103</f>
        <v>4196.3499149999998</v>
      </c>
      <c r="F320" s="6">
        <f>E320+D320</f>
        <v>60147.682114999996</v>
      </c>
      <c r="G320" s="59">
        <v>49090.332199999997</v>
      </c>
      <c r="H320" s="59">
        <v>0</v>
      </c>
      <c r="I320" s="6">
        <f>(G320-H320)*'16-PlantAdditions'!$E$103</f>
        <v>3681.7749149999995</v>
      </c>
      <c r="J320" s="6">
        <f>J319+F320-G320-I320</f>
        <v>2402804.4550000001</v>
      </c>
      <c r="K320" s="6">
        <f>J320-$J$319</f>
        <v>7375.5750000001863</v>
      </c>
      <c r="L320" s="2"/>
    </row>
    <row r="321" spans="1:12" ht="13">
      <c r="A321" s="2">
        <f t="shared" ref="A321:A344" si="85">A320+1</f>
        <v>239</v>
      </c>
      <c r="B321" s="329" t="s">
        <v>391</v>
      </c>
      <c r="C321" s="330">
        <v>2026</v>
      </c>
      <c r="D321" s="59">
        <v>38446</v>
      </c>
      <c r="E321" s="6">
        <f>D321*'16-PlantAdditions'!$E$103</f>
        <v>2883.45</v>
      </c>
      <c r="F321" s="6">
        <f t="shared" ref="F321:F340" si="86">E321+D321</f>
        <v>41329.449999999997</v>
      </c>
      <c r="G321" s="59">
        <v>22109</v>
      </c>
      <c r="H321" s="59">
        <v>0</v>
      </c>
      <c r="I321" s="6">
        <f>(G321-H321)*'16-PlantAdditions'!$E$103</f>
        <v>1658.175</v>
      </c>
      <c r="J321" s="6">
        <f t="shared" ref="J321:J340" si="87">J320+F321-G321-I321</f>
        <v>2420366.7300000004</v>
      </c>
      <c r="K321" s="6">
        <f t="shared" ref="K321:K343" si="88">J321-$J$319</f>
        <v>24937.850000000559</v>
      </c>
      <c r="L321" s="2"/>
    </row>
    <row r="322" spans="1:12" ht="13">
      <c r="A322" s="2">
        <f t="shared" si="85"/>
        <v>240</v>
      </c>
      <c r="B322" s="329" t="s">
        <v>392</v>
      </c>
      <c r="C322" s="330">
        <v>2026</v>
      </c>
      <c r="D322" s="59">
        <v>55000</v>
      </c>
      <c r="E322" s="6">
        <f>D322*'16-PlantAdditions'!$E$103</f>
        <v>4125</v>
      </c>
      <c r="F322" s="6">
        <f t="shared" si="86"/>
        <v>59125</v>
      </c>
      <c r="G322" s="59">
        <v>35000</v>
      </c>
      <c r="H322" s="59">
        <v>0</v>
      </c>
      <c r="I322" s="6">
        <f>(G322-H322)*'16-PlantAdditions'!$E$103</f>
        <v>2625</v>
      </c>
      <c r="J322" s="6">
        <f t="shared" si="87"/>
        <v>2441866.7300000004</v>
      </c>
      <c r="K322" s="6">
        <f t="shared" si="88"/>
        <v>46437.850000000559</v>
      </c>
      <c r="L322" s="2"/>
    </row>
    <row r="323" spans="1:12" ht="13">
      <c r="A323" s="2">
        <f t="shared" si="85"/>
        <v>241</v>
      </c>
      <c r="B323" s="329" t="s">
        <v>393</v>
      </c>
      <c r="C323" s="330">
        <v>2026</v>
      </c>
      <c r="D323" s="59">
        <v>55000</v>
      </c>
      <c r="E323" s="6">
        <f>D323*'16-PlantAdditions'!$E$103</f>
        <v>4125</v>
      </c>
      <c r="F323" s="6">
        <f t="shared" si="86"/>
        <v>59125</v>
      </c>
      <c r="G323" s="59">
        <v>35000</v>
      </c>
      <c r="H323" s="59">
        <v>0</v>
      </c>
      <c r="I323" s="6">
        <f>(G323-H323)*'16-PlantAdditions'!$E$103</f>
        <v>2625</v>
      </c>
      <c r="J323" s="6">
        <f t="shared" si="87"/>
        <v>2463366.7300000004</v>
      </c>
      <c r="K323" s="6">
        <f t="shared" si="88"/>
        <v>67937.850000000559</v>
      </c>
      <c r="L323" s="3"/>
    </row>
    <row r="324" spans="1:12" ht="13">
      <c r="A324" s="2">
        <f t="shared" si="85"/>
        <v>242</v>
      </c>
      <c r="B324" s="329" t="s">
        <v>394</v>
      </c>
      <c r="C324" s="330">
        <v>2026</v>
      </c>
      <c r="D324" s="59">
        <v>55000</v>
      </c>
      <c r="E324" s="6">
        <f>D324*'16-PlantAdditions'!$E$103</f>
        <v>4125</v>
      </c>
      <c r="F324" s="6">
        <f t="shared" si="86"/>
        <v>59125</v>
      </c>
      <c r="G324" s="59">
        <v>35000</v>
      </c>
      <c r="H324" s="59">
        <v>0</v>
      </c>
      <c r="I324" s="6">
        <f>(G324-H324)*'16-PlantAdditions'!$E$103</f>
        <v>2625</v>
      </c>
      <c r="J324" s="6">
        <f t="shared" si="87"/>
        <v>2484866.7300000004</v>
      </c>
      <c r="K324" s="6">
        <f t="shared" si="88"/>
        <v>89437.850000000559</v>
      </c>
    </row>
    <row r="325" spans="1:12" ht="13">
      <c r="A325" s="2">
        <f t="shared" si="85"/>
        <v>243</v>
      </c>
      <c r="B325" s="329" t="s">
        <v>608</v>
      </c>
      <c r="C325" s="330">
        <v>2026</v>
      </c>
      <c r="D325" s="59">
        <v>55000</v>
      </c>
      <c r="E325" s="6">
        <f>D325*'16-PlantAdditions'!$E$103</f>
        <v>4125</v>
      </c>
      <c r="F325" s="6">
        <f t="shared" si="86"/>
        <v>59125</v>
      </c>
      <c r="G325" s="59">
        <v>35000</v>
      </c>
      <c r="H325" s="59">
        <v>0</v>
      </c>
      <c r="I325" s="6">
        <f>(G325-H325)*'16-PlantAdditions'!$E$103</f>
        <v>2625</v>
      </c>
      <c r="J325" s="6">
        <f t="shared" si="87"/>
        <v>2506366.7300000004</v>
      </c>
      <c r="K325" s="6">
        <f t="shared" si="88"/>
        <v>110937.85000000056</v>
      </c>
    </row>
    <row r="326" spans="1:12" ht="13">
      <c r="A326" s="2">
        <f t="shared" si="85"/>
        <v>244</v>
      </c>
      <c r="B326" s="329" t="s">
        <v>396</v>
      </c>
      <c r="C326" s="330">
        <v>2026</v>
      </c>
      <c r="D326" s="59">
        <v>55000</v>
      </c>
      <c r="E326" s="6">
        <f>D326*'16-PlantAdditions'!$E$103</f>
        <v>4125</v>
      </c>
      <c r="F326" s="6">
        <f t="shared" si="86"/>
        <v>59125</v>
      </c>
      <c r="G326" s="59">
        <v>35000</v>
      </c>
      <c r="H326" s="59">
        <v>0</v>
      </c>
      <c r="I326" s="6">
        <f>(G326-H326)*'16-PlantAdditions'!$E$103</f>
        <v>2625</v>
      </c>
      <c r="J326" s="6">
        <f t="shared" si="87"/>
        <v>2527866.7300000004</v>
      </c>
      <c r="K326" s="6">
        <f t="shared" si="88"/>
        <v>132437.85000000056</v>
      </c>
    </row>
    <row r="327" spans="1:12" ht="13">
      <c r="A327" s="2">
        <f t="shared" si="85"/>
        <v>245</v>
      </c>
      <c r="B327" s="329" t="s">
        <v>397</v>
      </c>
      <c r="C327" s="330">
        <v>2026</v>
      </c>
      <c r="D327" s="59">
        <v>55000</v>
      </c>
      <c r="E327" s="6">
        <f>D327*'16-PlantAdditions'!$E$103</f>
        <v>4125</v>
      </c>
      <c r="F327" s="6">
        <f t="shared" si="86"/>
        <v>59125</v>
      </c>
      <c r="G327" s="59">
        <v>35000</v>
      </c>
      <c r="H327" s="59">
        <v>0</v>
      </c>
      <c r="I327" s="6">
        <f>(G327-H327)*'16-PlantAdditions'!$E$103</f>
        <v>2625</v>
      </c>
      <c r="J327" s="6">
        <f t="shared" si="87"/>
        <v>2549366.7300000004</v>
      </c>
      <c r="K327" s="6">
        <f t="shared" si="88"/>
        <v>153937.85000000056</v>
      </c>
    </row>
    <row r="328" spans="1:12" ht="13">
      <c r="A328" s="2">
        <f t="shared" si="85"/>
        <v>246</v>
      </c>
      <c r="B328" s="329" t="s">
        <v>398</v>
      </c>
      <c r="C328" s="330">
        <v>2026</v>
      </c>
      <c r="D328" s="59">
        <v>55000</v>
      </c>
      <c r="E328" s="6">
        <f>D328*'16-PlantAdditions'!$E$103</f>
        <v>4125</v>
      </c>
      <c r="F328" s="6">
        <f t="shared" si="86"/>
        <v>59125</v>
      </c>
      <c r="G328" s="59">
        <v>35000</v>
      </c>
      <c r="H328" s="59">
        <v>0</v>
      </c>
      <c r="I328" s="6">
        <f>(G328-H328)*'16-PlantAdditions'!$E$103</f>
        <v>2625</v>
      </c>
      <c r="J328" s="6">
        <f t="shared" si="87"/>
        <v>2570866.7300000004</v>
      </c>
      <c r="K328" s="6">
        <f t="shared" si="88"/>
        <v>175437.85000000056</v>
      </c>
    </row>
    <row r="329" spans="1:12" ht="13">
      <c r="A329" s="2">
        <f t="shared" si="85"/>
        <v>247</v>
      </c>
      <c r="B329" s="329" t="s">
        <v>399</v>
      </c>
      <c r="C329" s="330">
        <v>2026</v>
      </c>
      <c r="D329" s="59">
        <v>20000</v>
      </c>
      <c r="E329" s="6">
        <f>D329*'16-PlantAdditions'!$E$103</f>
        <v>1500</v>
      </c>
      <c r="F329" s="6">
        <f t="shared" si="86"/>
        <v>21500</v>
      </c>
      <c r="G329" s="59">
        <v>0</v>
      </c>
      <c r="H329" s="59">
        <v>0</v>
      </c>
      <c r="I329" s="6">
        <f>(G329-H329)*'16-PlantAdditions'!$E$103</f>
        <v>0</v>
      </c>
      <c r="J329" s="6">
        <f t="shared" si="87"/>
        <v>2592366.7300000004</v>
      </c>
      <c r="K329" s="6">
        <f t="shared" si="88"/>
        <v>196937.85000000056</v>
      </c>
    </row>
    <row r="330" spans="1:12" ht="13">
      <c r="A330" s="2">
        <f t="shared" si="85"/>
        <v>248</v>
      </c>
      <c r="B330" s="329" t="s">
        <v>400</v>
      </c>
      <c r="C330" s="330">
        <v>2026</v>
      </c>
      <c r="D330" s="59">
        <v>20000</v>
      </c>
      <c r="E330" s="6">
        <f>D330*'16-PlantAdditions'!$E$103</f>
        <v>1500</v>
      </c>
      <c r="F330" s="6">
        <f t="shared" si="86"/>
        <v>21500</v>
      </c>
      <c r="G330" s="59">
        <v>0</v>
      </c>
      <c r="H330" s="59">
        <v>0</v>
      </c>
      <c r="I330" s="6">
        <f>(G330-H330)*'16-PlantAdditions'!$E$103</f>
        <v>0</v>
      </c>
      <c r="J330" s="6">
        <f t="shared" si="87"/>
        <v>2613866.7300000004</v>
      </c>
      <c r="K330" s="6">
        <f t="shared" si="88"/>
        <v>218437.85000000056</v>
      </c>
    </row>
    <row r="331" spans="1:12" ht="13">
      <c r="A331" s="2">
        <f t="shared" si="85"/>
        <v>249</v>
      </c>
      <c r="B331" s="329" t="s">
        <v>388</v>
      </c>
      <c r="C331" s="330">
        <v>2026</v>
      </c>
      <c r="D331" s="59">
        <v>372612</v>
      </c>
      <c r="E331" s="6">
        <f>D331*'16-PlantAdditions'!$E$103</f>
        <v>27945.899999999998</v>
      </c>
      <c r="F331" s="6">
        <f t="shared" si="86"/>
        <v>400557.9</v>
      </c>
      <c r="G331" s="59">
        <v>25810</v>
      </c>
      <c r="H331" s="59">
        <v>0</v>
      </c>
      <c r="I331" s="6">
        <f>(G331-H331)*'16-PlantAdditions'!$E$103</f>
        <v>1935.75</v>
      </c>
      <c r="J331" s="6">
        <f t="shared" si="87"/>
        <v>2986678.8800000004</v>
      </c>
      <c r="K331" s="6">
        <f t="shared" si="88"/>
        <v>591250.00000000047</v>
      </c>
    </row>
    <row r="332" spans="1:12" ht="13">
      <c r="A332" s="2">
        <f t="shared" si="85"/>
        <v>250</v>
      </c>
      <c r="B332" s="329" t="s">
        <v>390</v>
      </c>
      <c r="C332" s="330">
        <v>2027</v>
      </c>
      <c r="D332" s="59">
        <v>0</v>
      </c>
      <c r="E332" s="6">
        <f>D332*'16-PlantAdditions'!$E$103</f>
        <v>0</v>
      </c>
      <c r="F332" s="6">
        <f t="shared" si="86"/>
        <v>0</v>
      </c>
      <c r="G332" s="59">
        <v>0</v>
      </c>
      <c r="H332" s="59">
        <v>0</v>
      </c>
      <c r="I332" s="6">
        <f>(G332-H332)*'16-PlantAdditions'!$E$103</f>
        <v>0</v>
      </c>
      <c r="J332" s="6">
        <f t="shared" si="87"/>
        <v>2986678.8800000004</v>
      </c>
      <c r="K332" s="6">
        <f t="shared" si="88"/>
        <v>591250.00000000047</v>
      </c>
    </row>
    <row r="333" spans="1:12" ht="13">
      <c r="A333" s="2">
        <f t="shared" si="85"/>
        <v>251</v>
      </c>
      <c r="B333" s="329" t="s">
        <v>391</v>
      </c>
      <c r="C333" s="330">
        <v>2027</v>
      </c>
      <c r="D333" s="59">
        <v>0</v>
      </c>
      <c r="E333" s="6">
        <f>D333*'16-PlantAdditions'!$E$103</f>
        <v>0</v>
      </c>
      <c r="F333" s="6">
        <f t="shared" si="86"/>
        <v>0</v>
      </c>
      <c r="G333" s="59">
        <v>0</v>
      </c>
      <c r="H333" s="59">
        <v>0</v>
      </c>
      <c r="I333" s="6">
        <f>(G333-H333)*'16-PlantAdditions'!$E$103</f>
        <v>0</v>
      </c>
      <c r="J333" s="6">
        <f t="shared" si="87"/>
        <v>2986678.8800000004</v>
      </c>
      <c r="K333" s="6">
        <f t="shared" si="88"/>
        <v>591250.00000000047</v>
      </c>
    </row>
    <row r="334" spans="1:12" ht="13">
      <c r="A334" s="2">
        <f t="shared" si="85"/>
        <v>252</v>
      </c>
      <c r="B334" s="329" t="s">
        <v>392</v>
      </c>
      <c r="C334" s="330">
        <v>2027</v>
      </c>
      <c r="D334" s="59">
        <v>0</v>
      </c>
      <c r="E334" s="6">
        <f>D334*'16-PlantAdditions'!$E$103</f>
        <v>0</v>
      </c>
      <c r="F334" s="6">
        <f t="shared" si="86"/>
        <v>0</v>
      </c>
      <c r="G334" s="59">
        <v>2945428.88</v>
      </c>
      <c r="H334" s="59">
        <v>2395428.88</v>
      </c>
      <c r="I334" s="6">
        <f>(G334-H334)*'16-PlantAdditions'!$E$103</f>
        <v>41250</v>
      </c>
      <c r="J334" s="6">
        <f>J333+F334-G334-I334</f>
        <v>4.6566128730773926E-10</v>
      </c>
      <c r="K334" s="6">
        <f t="shared" si="88"/>
        <v>-2395428.8799999994</v>
      </c>
    </row>
    <row r="335" spans="1:12" ht="13">
      <c r="A335" s="2">
        <f t="shared" si="85"/>
        <v>253</v>
      </c>
      <c r="B335" s="329" t="s">
        <v>393</v>
      </c>
      <c r="C335" s="330">
        <v>2027</v>
      </c>
      <c r="D335" s="59">
        <v>0</v>
      </c>
      <c r="E335" s="6">
        <f>D335*'16-PlantAdditions'!$E$103</f>
        <v>0</v>
      </c>
      <c r="F335" s="6">
        <f t="shared" si="86"/>
        <v>0</v>
      </c>
      <c r="G335" s="59">
        <v>0</v>
      </c>
      <c r="H335" s="59">
        <v>0</v>
      </c>
      <c r="I335" s="6">
        <f>(G335-H335)*'16-PlantAdditions'!$E$103</f>
        <v>0</v>
      </c>
      <c r="J335" s="6">
        <f t="shared" si="87"/>
        <v>4.6566128730773926E-10</v>
      </c>
      <c r="K335" s="6">
        <f t="shared" si="88"/>
        <v>-2395428.8799999994</v>
      </c>
    </row>
    <row r="336" spans="1:12" ht="13">
      <c r="A336" s="2">
        <f t="shared" si="85"/>
        <v>254</v>
      </c>
      <c r="B336" s="329" t="s">
        <v>394</v>
      </c>
      <c r="C336" s="330">
        <v>2027</v>
      </c>
      <c r="D336" s="59">
        <v>0</v>
      </c>
      <c r="E336" s="6">
        <f>D336*'16-PlantAdditions'!$E$103</f>
        <v>0</v>
      </c>
      <c r="F336" s="6">
        <f t="shared" si="86"/>
        <v>0</v>
      </c>
      <c r="G336" s="59">
        <v>0</v>
      </c>
      <c r="H336" s="59">
        <v>0</v>
      </c>
      <c r="I336" s="6">
        <f>(G336-H336)*'16-PlantAdditions'!$E$103</f>
        <v>0</v>
      </c>
      <c r="J336" s="6">
        <f t="shared" si="87"/>
        <v>4.6566128730773926E-10</v>
      </c>
      <c r="K336" s="6">
        <f t="shared" si="88"/>
        <v>-2395428.8799999994</v>
      </c>
    </row>
    <row r="337" spans="1:11" ht="13">
      <c r="A337" s="2">
        <f t="shared" si="85"/>
        <v>255</v>
      </c>
      <c r="B337" s="329" t="s">
        <v>608</v>
      </c>
      <c r="C337" s="330">
        <v>2027</v>
      </c>
      <c r="D337" s="59">
        <v>0</v>
      </c>
      <c r="E337" s="6">
        <f>D337*'16-PlantAdditions'!$E$103</f>
        <v>0</v>
      </c>
      <c r="F337" s="6">
        <f t="shared" si="86"/>
        <v>0</v>
      </c>
      <c r="G337" s="59">
        <v>0</v>
      </c>
      <c r="H337" s="59">
        <v>0</v>
      </c>
      <c r="I337" s="6">
        <f>(G337-H337)*'16-PlantAdditions'!$E$103</f>
        <v>0</v>
      </c>
      <c r="J337" s="6">
        <f t="shared" si="87"/>
        <v>4.6566128730773926E-10</v>
      </c>
      <c r="K337" s="6">
        <f t="shared" si="88"/>
        <v>-2395428.8799999994</v>
      </c>
    </row>
    <row r="338" spans="1:11" ht="13">
      <c r="A338" s="2">
        <f t="shared" si="85"/>
        <v>256</v>
      </c>
      <c r="B338" s="329" t="s">
        <v>396</v>
      </c>
      <c r="C338" s="330">
        <v>2027</v>
      </c>
      <c r="D338" s="59">
        <v>0</v>
      </c>
      <c r="E338" s="6">
        <f>D338*'16-PlantAdditions'!$E$103</f>
        <v>0</v>
      </c>
      <c r="F338" s="6">
        <f t="shared" si="86"/>
        <v>0</v>
      </c>
      <c r="G338" s="59">
        <v>0</v>
      </c>
      <c r="H338" s="59">
        <v>0</v>
      </c>
      <c r="I338" s="6">
        <f>(G338-H338)*'16-PlantAdditions'!$E$103</f>
        <v>0</v>
      </c>
      <c r="J338" s="6">
        <f t="shared" si="87"/>
        <v>4.6566128730773926E-10</v>
      </c>
      <c r="K338" s="6">
        <f t="shared" si="88"/>
        <v>-2395428.8799999994</v>
      </c>
    </row>
    <row r="339" spans="1:11" ht="13">
      <c r="A339" s="2">
        <f t="shared" si="85"/>
        <v>257</v>
      </c>
      <c r="B339" s="329" t="s">
        <v>397</v>
      </c>
      <c r="C339" s="330">
        <v>2027</v>
      </c>
      <c r="D339" s="59">
        <v>0</v>
      </c>
      <c r="E339" s="6">
        <f>D339*'16-PlantAdditions'!$E$103</f>
        <v>0</v>
      </c>
      <c r="F339" s="6">
        <f t="shared" si="86"/>
        <v>0</v>
      </c>
      <c r="G339" s="59">
        <v>0</v>
      </c>
      <c r="H339" s="59">
        <v>0</v>
      </c>
      <c r="I339" s="6">
        <f>(G339-H339)*'16-PlantAdditions'!$E$103</f>
        <v>0</v>
      </c>
      <c r="J339" s="6">
        <f t="shared" si="87"/>
        <v>4.6566128730773926E-10</v>
      </c>
      <c r="K339" s="6">
        <f t="shared" si="88"/>
        <v>-2395428.8799999994</v>
      </c>
    </row>
    <row r="340" spans="1:11" ht="13">
      <c r="A340" s="2">
        <f t="shared" si="85"/>
        <v>258</v>
      </c>
      <c r="B340" s="329" t="s">
        <v>398</v>
      </c>
      <c r="C340" s="330">
        <v>2027</v>
      </c>
      <c r="D340" s="59">
        <v>0</v>
      </c>
      <c r="E340" s="6">
        <f>D340*'16-PlantAdditions'!$E$103</f>
        <v>0</v>
      </c>
      <c r="F340" s="6">
        <f t="shared" si="86"/>
        <v>0</v>
      </c>
      <c r="G340" s="59">
        <v>0</v>
      </c>
      <c r="H340" s="59">
        <v>0</v>
      </c>
      <c r="I340" s="6">
        <f>(G340-H340)*'16-PlantAdditions'!$E$103</f>
        <v>0</v>
      </c>
      <c r="J340" s="6">
        <f t="shared" si="87"/>
        <v>4.6566128730773926E-10</v>
      </c>
      <c r="K340" s="6">
        <f t="shared" si="88"/>
        <v>-2395428.8799999994</v>
      </c>
    </row>
    <row r="341" spans="1:11" ht="13">
      <c r="A341" s="2">
        <f t="shared" si="85"/>
        <v>259</v>
      </c>
      <c r="B341" s="329" t="s">
        <v>399</v>
      </c>
      <c r="C341" s="330">
        <v>2027</v>
      </c>
      <c r="D341" s="59">
        <v>0</v>
      </c>
      <c r="E341" s="6">
        <f>D341*'16-PlantAdditions'!$E$103</f>
        <v>0</v>
      </c>
      <c r="F341" s="6">
        <f t="shared" ref="F341:F343" si="89">E341+D341</f>
        <v>0</v>
      </c>
      <c r="G341" s="59">
        <v>0</v>
      </c>
      <c r="H341" s="59">
        <v>0</v>
      </c>
      <c r="I341" s="6">
        <f>(G341-H341)*'16-PlantAdditions'!$E$103</f>
        <v>0</v>
      </c>
      <c r="J341" s="6">
        <f t="shared" ref="J341:J343" si="90">J340+F341-G341-I341</f>
        <v>4.6566128730773926E-10</v>
      </c>
      <c r="K341" s="6">
        <f t="shared" si="88"/>
        <v>-2395428.8799999994</v>
      </c>
    </row>
    <row r="342" spans="1:11" ht="13">
      <c r="A342" s="2">
        <f t="shared" si="85"/>
        <v>260</v>
      </c>
      <c r="B342" s="329" t="s">
        <v>400</v>
      </c>
      <c r="C342" s="330">
        <v>2027</v>
      </c>
      <c r="D342" s="59">
        <v>0</v>
      </c>
      <c r="E342" s="6">
        <f>D342*'16-PlantAdditions'!$E$103</f>
        <v>0</v>
      </c>
      <c r="F342" s="6">
        <f t="shared" si="89"/>
        <v>0</v>
      </c>
      <c r="G342" s="59">
        <v>0</v>
      </c>
      <c r="H342" s="59">
        <v>0</v>
      </c>
      <c r="I342" s="6">
        <f>(G342-H342)*'16-PlantAdditions'!$E$103</f>
        <v>0</v>
      </c>
      <c r="J342" s="6">
        <f t="shared" si="90"/>
        <v>4.6566128730773926E-10</v>
      </c>
      <c r="K342" s="6">
        <f t="shared" si="88"/>
        <v>-2395428.8799999994</v>
      </c>
    </row>
    <row r="343" spans="1:11" ht="13">
      <c r="A343" s="2">
        <f t="shared" si="85"/>
        <v>261</v>
      </c>
      <c r="B343" s="329" t="s">
        <v>388</v>
      </c>
      <c r="C343" s="330">
        <v>2027</v>
      </c>
      <c r="D343" s="59">
        <v>0</v>
      </c>
      <c r="E343" s="6">
        <f>D343*'16-PlantAdditions'!$E$103</f>
        <v>0</v>
      </c>
      <c r="F343" s="6">
        <f t="shared" si="89"/>
        <v>0</v>
      </c>
      <c r="G343" s="59">
        <v>0</v>
      </c>
      <c r="H343" s="59">
        <v>0</v>
      </c>
      <c r="I343" s="6">
        <f>(G343-H343)*'16-PlantAdditions'!$E$103</f>
        <v>0</v>
      </c>
      <c r="J343" s="6">
        <f t="shared" si="90"/>
        <v>4.6566128730773926E-10</v>
      </c>
      <c r="K343" s="53">
        <f t="shared" si="88"/>
        <v>-2395428.8799999994</v>
      </c>
    </row>
    <row r="344" spans="1:11" ht="13">
      <c r="A344" s="2">
        <f t="shared" si="85"/>
        <v>262</v>
      </c>
      <c r="C344" s="351" t="s">
        <v>1095</v>
      </c>
      <c r="K344" s="42">
        <f>AVERAGE(K331:K343)</f>
        <v>-1706195.2923076914</v>
      </c>
    </row>
    <row r="345" spans="1:11" ht="13">
      <c r="A345" s="2"/>
      <c r="C345" s="351"/>
      <c r="K345" s="42"/>
    </row>
    <row r="346" spans="1:11" ht="13">
      <c r="B346" s="34" t="s">
        <v>1117</v>
      </c>
      <c r="D346" s="1207" t="s">
        <v>1074</v>
      </c>
      <c r="E346" s="1207"/>
    </row>
    <row r="347" spans="1:11" ht="13">
      <c r="B347" s="34"/>
      <c r="D347" s="3" t="s">
        <v>345</v>
      </c>
      <c r="E347" s="3" t="s">
        <v>346</v>
      </c>
      <c r="F347" s="3" t="s">
        <v>347</v>
      </c>
      <c r="G347" s="3" t="s">
        <v>348</v>
      </c>
      <c r="H347" s="3" t="s">
        <v>349</v>
      </c>
      <c r="I347" s="3" t="s">
        <v>350</v>
      </c>
      <c r="J347" s="3" t="s">
        <v>351</v>
      </c>
      <c r="K347" s="3" t="s">
        <v>352</v>
      </c>
    </row>
    <row r="348" spans="1:11" ht="25.5">
      <c r="B348" s="34"/>
      <c r="D348" s="48"/>
      <c r="E348" s="352" t="s">
        <v>1099</v>
      </c>
      <c r="F348" s="239" t="s">
        <v>1100</v>
      </c>
      <c r="G348" s="239"/>
      <c r="H348" s="48"/>
      <c r="I348" s="352" t="s">
        <v>1101</v>
      </c>
      <c r="J348" s="352" t="s">
        <v>1102</v>
      </c>
      <c r="K348" s="352" t="s">
        <v>1103</v>
      </c>
    </row>
    <row r="349" spans="1:11" ht="13">
      <c r="D349" s="48"/>
      <c r="E349" s="48"/>
      <c r="F349" s="48"/>
      <c r="G349" s="2" t="str">
        <f>G51</f>
        <v>Unloaded</v>
      </c>
      <c r="H349" s="48"/>
      <c r="I349" s="48"/>
    </row>
    <row r="350" spans="1:11" ht="13">
      <c r="A350" s="2"/>
      <c r="B350" s="2"/>
      <c r="C350" s="2"/>
      <c r="D350" s="2" t="str">
        <f>D$52</f>
        <v>Forecast</v>
      </c>
      <c r="E350" s="2" t="str">
        <f t="shared" ref="E350:J350" si="91">E$52</f>
        <v>Corporate</v>
      </c>
      <c r="F350" s="2" t="str">
        <f t="shared" si="91"/>
        <v xml:space="preserve">Total </v>
      </c>
      <c r="G350" s="2" t="str">
        <f>G52</f>
        <v>Total</v>
      </c>
      <c r="H350" s="2" t="str">
        <f t="shared" si="91"/>
        <v>Prior Period</v>
      </c>
      <c r="I350" s="2" t="str">
        <f t="shared" si="91"/>
        <v>Over Heads</v>
      </c>
      <c r="J350" s="2" t="str">
        <f t="shared" si="91"/>
        <v>Forecast</v>
      </c>
      <c r="K350" s="2" t="str">
        <f>K$52</f>
        <v>Forecast Period</v>
      </c>
    </row>
    <row r="351" spans="1:11" ht="13">
      <c r="A351" s="30" t="s">
        <v>282</v>
      </c>
      <c r="B351" s="328" t="s">
        <v>380</v>
      </c>
      <c r="C351" s="328" t="s">
        <v>381</v>
      </c>
      <c r="D351" s="3" t="str">
        <f>D$53</f>
        <v>Expenditures</v>
      </c>
      <c r="E351" s="3" t="str">
        <f t="shared" ref="E351:J351" si="92">E$53</f>
        <v>Overheads</v>
      </c>
      <c r="F351" s="3" t="str">
        <f t="shared" si="92"/>
        <v>CWIP Exp</v>
      </c>
      <c r="G351" s="3" t="str">
        <f>G53</f>
        <v>Plant Adds</v>
      </c>
      <c r="H351" s="3" t="str">
        <f t="shared" si="92"/>
        <v>CWIP Closed</v>
      </c>
      <c r="I351" s="3" t="str">
        <f t="shared" si="92"/>
        <v>Closed to PIS</v>
      </c>
      <c r="J351" s="3" t="str">
        <f t="shared" si="92"/>
        <v>Period CWIP</v>
      </c>
      <c r="K351" s="3" t="str">
        <f>K$53</f>
        <v>Incremental CWIP</v>
      </c>
    </row>
    <row r="352" spans="1:11" ht="13">
      <c r="A352" s="2">
        <f>A344+1</f>
        <v>263</v>
      </c>
      <c r="B352" s="329" t="s">
        <v>388</v>
      </c>
      <c r="C352" s="330">
        <v>2025</v>
      </c>
      <c r="D352" s="239" t="s">
        <v>389</v>
      </c>
      <c r="E352" s="239" t="s">
        <v>389</v>
      </c>
      <c r="F352" s="239" t="s">
        <v>389</v>
      </c>
      <c r="G352" s="239" t="s">
        <v>389</v>
      </c>
      <c r="H352" s="239" t="s">
        <v>389</v>
      </c>
      <c r="I352" s="239" t="s">
        <v>389</v>
      </c>
      <c r="J352" s="6">
        <f>G45</f>
        <v>36562002.280000001</v>
      </c>
      <c r="K352" s="239" t="s">
        <v>389</v>
      </c>
    </row>
    <row r="353" spans="1:11" ht="13">
      <c r="A353" s="2">
        <f>A352+1</f>
        <v>264</v>
      </c>
      <c r="B353" s="329" t="s">
        <v>390</v>
      </c>
      <c r="C353" s="330">
        <v>2026</v>
      </c>
      <c r="D353" s="59">
        <v>251202.568</v>
      </c>
      <c r="E353" s="6">
        <f>D353*'16-PlantAdditions'!$E$103</f>
        <v>18840.192599999998</v>
      </c>
      <c r="F353" s="6">
        <f>E353+D353</f>
        <v>270042.76059999998</v>
      </c>
      <c r="G353" s="59">
        <v>0</v>
      </c>
      <c r="H353" s="59">
        <v>0</v>
      </c>
      <c r="I353" s="6">
        <f>(G353-H353)*'16-PlantAdditions'!$E$103</f>
        <v>0</v>
      </c>
      <c r="J353" s="6">
        <f>J352+F353-G353-I353</f>
        <v>36832045.040600002</v>
      </c>
      <c r="K353" s="6">
        <f>J353-$J$352</f>
        <v>270042.76060000062</v>
      </c>
    </row>
    <row r="354" spans="1:11" ht="13">
      <c r="A354" s="2">
        <f t="shared" ref="A354:A377" si="93">A353+1</f>
        <v>265</v>
      </c>
      <c r="B354" s="329" t="s">
        <v>391</v>
      </c>
      <c r="C354" s="330">
        <v>2026</v>
      </c>
      <c r="D354" s="59">
        <v>109184.452</v>
      </c>
      <c r="E354" s="6">
        <f>D354*'16-PlantAdditions'!$E$103</f>
        <v>8188.8338999999996</v>
      </c>
      <c r="F354" s="6">
        <f t="shared" ref="F354:F373" si="94">E354+D354</f>
        <v>117373.2859</v>
      </c>
      <c r="G354" s="59">
        <v>0</v>
      </c>
      <c r="H354" s="59">
        <v>0</v>
      </c>
      <c r="I354" s="6">
        <f>(G354-H354)*'16-PlantAdditions'!$E$103</f>
        <v>0</v>
      </c>
      <c r="J354" s="6">
        <f t="shared" ref="J354:J373" si="95">J353+F354-G354-I354</f>
        <v>36949418.326499999</v>
      </c>
      <c r="K354" s="6">
        <f t="shared" ref="K354:K376" si="96">J354-$J$352</f>
        <v>387416.04649999738</v>
      </c>
    </row>
    <row r="355" spans="1:11" ht="13">
      <c r="A355" s="2">
        <f t="shared" si="93"/>
        <v>266</v>
      </c>
      <c r="B355" s="329" t="s">
        <v>392</v>
      </c>
      <c r="C355" s="330">
        <v>2026</v>
      </c>
      <c r="D355" s="59">
        <v>743931.31999999983</v>
      </c>
      <c r="E355" s="6">
        <f>D355*'16-PlantAdditions'!$E$103</f>
        <v>55794.848999999987</v>
      </c>
      <c r="F355" s="6">
        <f t="shared" si="94"/>
        <v>799726.16899999976</v>
      </c>
      <c r="G355" s="59">
        <v>0</v>
      </c>
      <c r="H355" s="59">
        <v>0</v>
      </c>
      <c r="I355" s="6">
        <f>(G355-H355)*'16-PlantAdditions'!$E$103</f>
        <v>0</v>
      </c>
      <c r="J355" s="6">
        <f t="shared" si="95"/>
        <v>37749144.495499998</v>
      </c>
      <c r="K355" s="6">
        <f t="shared" si="96"/>
        <v>1187142.2154999971</v>
      </c>
    </row>
    <row r="356" spans="1:11" ht="13">
      <c r="A356" s="2">
        <f t="shared" si="93"/>
        <v>267</v>
      </c>
      <c r="B356" s="329" t="s">
        <v>393</v>
      </c>
      <c r="C356" s="330">
        <v>2026</v>
      </c>
      <c r="D356" s="59">
        <v>161190.76000000004</v>
      </c>
      <c r="E356" s="6">
        <f>D356*'16-PlantAdditions'!$E$103</f>
        <v>12089.307000000003</v>
      </c>
      <c r="F356" s="6">
        <f t="shared" si="94"/>
        <v>173280.06700000004</v>
      </c>
      <c r="G356" s="59">
        <v>0</v>
      </c>
      <c r="H356" s="59">
        <v>0</v>
      </c>
      <c r="I356" s="6">
        <f>(G356-H356)*'16-PlantAdditions'!$E$103</f>
        <v>0</v>
      </c>
      <c r="J356" s="6">
        <f t="shared" si="95"/>
        <v>37922424.5625</v>
      </c>
      <c r="K356" s="6">
        <f t="shared" si="96"/>
        <v>1360422.2824999988</v>
      </c>
    </row>
    <row r="357" spans="1:11" ht="13">
      <c r="A357" s="2">
        <f t="shared" si="93"/>
        <v>268</v>
      </c>
      <c r="B357" s="329" t="s">
        <v>394</v>
      </c>
      <c r="C357" s="330">
        <v>2026</v>
      </c>
      <c r="D357" s="59">
        <v>329664.22399999999</v>
      </c>
      <c r="E357" s="6">
        <f>D357*'16-PlantAdditions'!$E$103</f>
        <v>24724.816799999997</v>
      </c>
      <c r="F357" s="6">
        <f t="shared" si="94"/>
        <v>354389.04079999996</v>
      </c>
      <c r="G357" s="59">
        <v>0</v>
      </c>
      <c r="H357" s="59">
        <v>0</v>
      </c>
      <c r="I357" s="6">
        <f>(G357-H357)*'16-PlantAdditions'!$E$103</f>
        <v>0</v>
      </c>
      <c r="J357" s="6">
        <f t="shared" si="95"/>
        <v>38276813.603299998</v>
      </c>
      <c r="K357" s="6">
        <f t="shared" si="96"/>
        <v>1714811.3232999966</v>
      </c>
    </row>
    <row r="358" spans="1:11" ht="13">
      <c r="A358" s="2">
        <f t="shared" si="93"/>
        <v>269</v>
      </c>
      <c r="B358" s="329" t="s">
        <v>608</v>
      </c>
      <c r="C358" s="330">
        <v>2026</v>
      </c>
      <c r="D358" s="59">
        <v>4034508.9919999992</v>
      </c>
      <c r="E358" s="6">
        <f>D358*'16-PlantAdditions'!$E$103</f>
        <v>302588.1743999999</v>
      </c>
      <c r="F358" s="6">
        <f t="shared" si="94"/>
        <v>4337097.1663999986</v>
      </c>
      <c r="G358" s="59">
        <v>0</v>
      </c>
      <c r="H358" s="59">
        <v>0</v>
      </c>
      <c r="I358" s="6">
        <f>(G358-H358)*'16-PlantAdditions'!$E$103</f>
        <v>0</v>
      </c>
      <c r="J358" s="6">
        <f t="shared" si="95"/>
        <v>42613910.769699998</v>
      </c>
      <c r="K358" s="6">
        <f t="shared" si="96"/>
        <v>6051908.489699997</v>
      </c>
    </row>
    <row r="359" spans="1:11" ht="13">
      <c r="A359" s="2">
        <f t="shared" si="93"/>
        <v>270</v>
      </c>
      <c r="B359" s="329" t="s">
        <v>396</v>
      </c>
      <c r="C359" s="330">
        <v>2026</v>
      </c>
      <c r="D359" s="59">
        <v>577132.92000000004</v>
      </c>
      <c r="E359" s="6">
        <f>D359*'16-PlantAdditions'!$E$103</f>
        <v>43284.969000000005</v>
      </c>
      <c r="F359" s="6">
        <f t="shared" si="94"/>
        <v>620417.88900000008</v>
      </c>
      <c r="G359" s="59">
        <v>0</v>
      </c>
      <c r="H359" s="59">
        <v>0</v>
      </c>
      <c r="I359" s="6">
        <f>(G359-H359)*'16-PlantAdditions'!$E$103</f>
        <v>0</v>
      </c>
      <c r="J359" s="6">
        <f t="shared" si="95"/>
        <v>43234328.658699997</v>
      </c>
      <c r="K359" s="6">
        <f t="shared" si="96"/>
        <v>6672326.3786999956</v>
      </c>
    </row>
    <row r="360" spans="1:11" ht="13">
      <c r="A360" s="2">
        <f t="shared" si="93"/>
        <v>271</v>
      </c>
      <c r="B360" s="329" t="s">
        <v>397</v>
      </c>
      <c r="C360" s="330">
        <v>2026</v>
      </c>
      <c r="D360" s="59">
        <v>724793.14799999993</v>
      </c>
      <c r="E360" s="6">
        <f>D360*'16-PlantAdditions'!$E$103</f>
        <v>54359.486099999995</v>
      </c>
      <c r="F360" s="6">
        <f t="shared" si="94"/>
        <v>779152.63409999991</v>
      </c>
      <c r="G360" s="59">
        <v>0</v>
      </c>
      <c r="H360" s="59">
        <v>0</v>
      </c>
      <c r="I360" s="6">
        <f>(G360-H360)*'16-PlantAdditions'!$E$103</f>
        <v>0</v>
      </c>
      <c r="J360" s="6">
        <f t="shared" si="95"/>
        <v>44013481.292799994</v>
      </c>
      <c r="K360" s="6">
        <f t="shared" si="96"/>
        <v>7451479.0127999932</v>
      </c>
    </row>
    <row r="361" spans="1:11" ht="13">
      <c r="A361" s="2">
        <f t="shared" si="93"/>
        <v>272</v>
      </c>
      <c r="B361" s="329" t="s">
        <v>398</v>
      </c>
      <c r="C361" s="330">
        <v>2026</v>
      </c>
      <c r="D361" s="59">
        <v>885658.54</v>
      </c>
      <c r="E361" s="6">
        <f>D361*'16-PlantAdditions'!$E$103</f>
        <v>66424.390499999994</v>
      </c>
      <c r="F361" s="6">
        <f t="shared" si="94"/>
        <v>952082.93050000002</v>
      </c>
      <c r="G361" s="59">
        <v>0</v>
      </c>
      <c r="H361" s="59">
        <v>0</v>
      </c>
      <c r="I361" s="6">
        <f>(G361-H361)*'16-PlantAdditions'!$E$103</f>
        <v>0</v>
      </c>
      <c r="J361" s="6">
        <f t="shared" si="95"/>
        <v>44965564.223299995</v>
      </c>
      <c r="K361" s="6">
        <f t="shared" si="96"/>
        <v>8403561.9432999939</v>
      </c>
    </row>
    <row r="362" spans="1:11" ht="13">
      <c r="A362" s="2">
        <f t="shared" si="93"/>
        <v>273</v>
      </c>
      <c r="B362" s="329" t="s">
        <v>399</v>
      </c>
      <c r="C362" s="330">
        <v>2026</v>
      </c>
      <c r="D362" s="59">
        <v>442969.68399999995</v>
      </c>
      <c r="E362" s="6">
        <f>D362*'16-PlantAdditions'!$E$103</f>
        <v>33222.726299999995</v>
      </c>
      <c r="F362" s="6">
        <f t="shared" si="94"/>
        <v>476192.41029999993</v>
      </c>
      <c r="G362" s="59">
        <v>0</v>
      </c>
      <c r="H362" s="59">
        <v>0</v>
      </c>
      <c r="I362" s="6">
        <f>(G362-H362)*'16-PlantAdditions'!$E$103</f>
        <v>0</v>
      </c>
      <c r="J362" s="6">
        <f t="shared" si="95"/>
        <v>45441756.633599997</v>
      </c>
      <c r="K362" s="6">
        <f t="shared" si="96"/>
        <v>8879754.3535999954</v>
      </c>
    </row>
    <row r="363" spans="1:11" ht="13">
      <c r="A363" s="2">
        <f t="shared" si="93"/>
        <v>274</v>
      </c>
      <c r="B363" s="329" t="s">
        <v>400</v>
      </c>
      <c r="C363" s="330">
        <v>2026</v>
      </c>
      <c r="D363" s="59">
        <v>326188.89999999997</v>
      </c>
      <c r="E363" s="6">
        <f>D363*'16-PlantAdditions'!$E$103</f>
        <v>24464.167499999996</v>
      </c>
      <c r="F363" s="6">
        <f t="shared" si="94"/>
        <v>350653.06749999995</v>
      </c>
      <c r="G363" s="59">
        <v>0</v>
      </c>
      <c r="H363" s="59">
        <v>0</v>
      </c>
      <c r="I363" s="6">
        <f>(G363-H363)*'16-PlantAdditions'!$E$103</f>
        <v>0</v>
      </c>
      <c r="J363" s="6">
        <f t="shared" si="95"/>
        <v>45792409.701099999</v>
      </c>
      <c r="K363" s="6">
        <f t="shared" si="96"/>
        <v>9230407.4210999981</v>
      </c>
    </row>
    <row r="364" spans="1:11" ht="13">
      <c r="A364" s="2">
        <f t="shared" si="93"/>
        <v>275</v>
      </c>
      <c r="B364" s="329" t="s">
        <v>388</v>
      </c>
      <c r="C364" s="330">
        <v>2026</v>
      </c>
      <c r="D364" s="59">
        <v>1063771.6680000001</v>
      </c>
      <c r="E364" s="6">
        <f>D364*'16-PlantAdditions'!$E$103</f>
        <v>79782.875100000005</v>
      </c>
      <c r="F364" s="6">
        <f t="shared" si="94"/>
        <v>1143554.5431000001</v>
      </c>
      <c r="G364" s="59">
        <v>0</v>
      </c>
      <c r="H364" s="59">
        <v>0</v>
      </c>
      <c r="I364" s="6">
        <f>(G364-H364)*'16-PlantAdditions'!$E$103</f>
        <v>0</v>
      </c>
      <c r="J364" s="6">
        <f t="shared" si="95"/>
        <v>46935964.244199999</v>
      </c>
      <c r="K364" s="6">
        <f t="shared" si="96"/>
        <v>10373961.964199997</v>
      </c>
    </row>
    <row r="365" spans="1:11" ht="13">
      <c r="A365" s="2">
        <f t="shared" si="93"/>
        <v>276</v>
      </c>
      <c r="B365" s="329" t="s">
        <v>390</v>
      </c>
      <c r="C365" s="330">
        <v>2027</v>
      </c>
      <c r="D365" s="59">
        <v>0</v>
      </c>
      <c r="E365" s="6">
        <f>D365*'16-PlantAdditions'!$E$103</f>
        <v>0</v>
      </c>
      <c r="F365" s="6">
        <f t="shared" si="94"/>
        <v>0</v>
      </c>
      <c r="G365" s="59">
        <v>0</v>
      </c>
      <c r="H365" s="59">
        <v>0</v>
      </c>
      <c r="I365" s="6">
        <f>(G365-H365)*'16-PlantAdditions'!$E$103</f>
        <v>0</v>
      </c>
      <c r="J365" s="6">
        <f t="shared" si="95"/>
        <v>46935964.244199999</v>
      </c>
      <c r="K365" s="6">
        <f t="shared" si="96"/>
        <v>10373961.964199997</v>
      </c>
    </row>
    <row r="366" spans="1:11" ht="13">
      <c r="A366" s="2">
        <f t="shared" si="93"/>
        <v>277</v>
      </c>
      <c r="B366" s="329" t="s">
        <v>391</v>
      </c>
      <c r="C366" s="330">
        <v>2027</v>
      </c>
      <c r="D366" s="59">
        <v>0</v>
      </c>
      <c r="E366" s="6">
        <f>D366*'16-PlantAdditions'!$E$103</f>
        <v>0</v>
      </c>
      <c r="F366" s="6">
        <f t="shared" si="94"/>
        <v>0</v>
      </c>
      <c r="G366" s="59">
        <v>0</v>
      </c>
      <c r="H366" s="59">
        <v>0</v>
      </c>
      <c r="I366" s="6">
        <f>(G366-H366)*'16-PlantAdditions'!$E$103</f>
        <v>0</v>
      </c>
      <c r="J366" s="6">
        <f t="shared" si="95"/>
        <v>46935964.244199999</v>
      </c>
      <c r="K366" s="6">
        <f t="shared" si="96"/>
        <v>10373961.964199997</v>
      </c>
    </row>
    <row r="367" spans="1:11" ht="13">
      <c r="A367" s="2">
        <f t="shared" si="93"/>
        <v>278</v>
      </c>
      <c r="B367" s="329" t="s">
        <v>392</v>
      </c>
      <c r="C367" s="330">
        <v>2027</v>
      </c>
      <c r="D367" s="59">
        <v>0</v>
      </c>
      <c r="E367" s="6">
        <f>D367*'16-PlantAdditions'!$E$103</f>
        <v>0</v>
      </c>
      <c r="F367" s="6">
        <f t="shared" si="94"/>
        <v>0</v>
      </c>
      <c r="G367" s="59">
        <v>0</v>
      </c>
      <c r="H367" s="59">
        <v>0</v>
      </c>
      <c r="I367" s="6">
        <f>(G367-H367)*'16-PlantAdditions'!$E$103</f>
        <v>0</v>
      </c>
      <c r="J367" s="6">
        <f t="shared" si="95"/>
        <v>46935964.244199999</v>
      </c>
      <c r="K367" s="6">
        <f t="shared" si="96"/>
        <v>10373961.964199997</v>
      </c>
    </row>
    <row r="368" spans="1:11" ht="13">
      <c r="A368" s="2">
        <f t="shared" si="93"/>
        <v>279</v>
      </c>
      <c r="B368" s="329" t="s">
        <v>393</v>
      </c>
      <c r="C368" s="330">
        <v>2027</v>
      </c>
      <c r="D368" s="59">
        <v>0</v>
      </c>
      <c r="E368" s="6">
        <f>D368*'16-PlantAdditions'!$E$103</f>
        <v>0</v>
      </c>
      <c r="F368" s="6">
        <f t="shared" si="94"/>
        <v>0</v>
      </c>
      <c r="G368" s="59">
        <v>0</v>
      </c>
      <c r="H368" s="59">
        <v>0</v>
      </c>
      <c r="I368" s="6">
        <f>(G368-H368)*'16-PlantAdditions'!$E$103</f>
        <v>0</v>
      </c>
      <c r="J368" s="6">
        <f t="shared" si="95"/>
        <v>46935964.244199999</v>
      </c>
      <c r="K368" s="6">
        <f t="shared" si="96"/>
        <v>10373961.964199997</v>
      </c>
    </row>
    <row r="369" spans="1:11" ht="13">
      <c r="A369" s="2">
        <f t="shared" si="93"/>
        <v>280</v>
      </c>
      <c r="B369" s="329" t="s">
        <v>394</v>
      </c>
      <c r="C369" s="330">
        <v>2027</v>
      </c>
      <c r="D369" s="59">
        <v>0</v>
      </c>
      <c r="E369" s="6">
        <f>D369*'16-PlantAdditions'!$E$103</f>
        <v>0</v>
      </c>
      <c r="F369" s="6">
        <f t="shared" si="94"/>
        <v>0</v>
      </c>
      <c r="G369" s="59">
        <v>0</v>
      </c>
      <c r="H369" s="59">
        <v>0</v>
      </c>
      <c r="I369" s="6">
        <f>(G369-H369)*'16-PlantAdditions'!$E$103</f>
        <v>0</v>
      </c>
      <c r="J369" s="6">
        <f t="shared" si="95"/>
        <v>46935964.244199999</v>
      </c>
      <c r="K369" s="6">
        <f t="shared" si="96"/>
        <v>10373961.964199997</v>
      </c>
    </row>
    <row r="370" spans="1:11" ht="13">
      <c r="A370" s="2">
        <f t="shared" si="93"/>
        <v>281</v>
      </c>
      <c r="B370" s="329" t="s">
        <v>608</v>
      </c>
      <c r="C370" s="330">
        <v>2027</v>
      </c>
      <c r="D370" s="59">
        <v>0</v>
      </c>
      <c r="E370" s="6">
        <f>D370*'16-PlantAdditions'!$E$103</f>
        <v>0</v>
      </c>
      <c r="F370" s="6">
        <f t="shared" si="94"/>
        <v>0</v>
      </c>
      <c r="G370" s="59">
        <v>0</v>
      </c>
      <c r="H370" s="59">
        <v>0</v>
      </c>
      <c r="I370" s="6">
        <f>(G370-H370)*'16-PlantAdditions'!$E$103</f>
        <v>0</v>
      </c>
      <c r="J370" s="6">
        <f t="shared" si="95"/>
        <v>46935964.244199999</v>
      </c>
      <c r="K370" s="6">
        <f t="shared" si="96"/>
        <v>10373961.964199997</v>
      </c>
    </row>
    <row r="371" spans="1:11" ht="13">
      <c r="A371" s="2">
        <f t="shared" si="93"/>
        <v>282</v>
      </c>
      <c r="B371" s="329" t="s">
        <v>396</v>
      </c>
      <c r="C371" s="330">
        <v>2027</v>
      </c>
      <c r="D371" s="59">
        <v>0</v>
      </c>
      <c r="E371" s="6">
        <f>D371*'16-PlantAdditions'!$E$103</f>
        <v>0</v>
      </c>
      <c r="F371" s="6">
        <f t="shared" si="94"/>
        <v>0</v>
      </c>
      <c r="G371" s="59">
        <v>0</v>
      </c>
      <c r="H371" s="59">
        <v>0</v>
      </c>
      <c r="I371" s="6">
        <f>(G371-H371)*'16-PlantAdditions'!$E$103</f>
        <v>0</v>
      </c>
      <c r="J371" s="6">
        <f t="shared" si="95"/>
        <v>46935964.244199999</v>
      </c>
      <c r="K371" s="6">
        <f t="shared" si="96"/>
        <v>10373961.964199997</v>
      </c>
    </row>
    <row r="372" spans="1:11" ht="13">
      <c r="A372" s="2">
        <f t="shared" si="93"/>
        <v>283</v>
      </c>
      <c r="B372" s="329" t="s">
        <v>397</v>
      </c>
      <c r="C372" s="330">
        <v>2027</v>
      </c>
      <c r="D372" s="59">
        <v>0</v>
      </c>
      <c r="E372" s="6">
        <f>D372*'16-PlantAdditions'!$E$103</f>
        <v>0</v>
      </c>
      <c r="F372" s="6">
        <f t="shared" si="94"/>
        <v>0</v>
      </c>
      <c r="G372" s="59">
        <v>0</v>
      </c>
      <c r="H372" s="59">
        <v>0</v>
      </c>
      <c r="I372" s="6">
        <f>(G372-H372)*'16-PlantAdditions'!$E$103</f>
        <v>0</v>
      </c>
      <c r="J372" s="6">
        <f t="shared" si="95"/>
        <v>46935964.244199999</v>
      </c>
      <c r="K372" s="6">
        <f t="shared" si="96"/>
        <v>10373961.964199997</v>
      </c>
    </row>
    <row r="373" spans="1:11" ht="13">
      <c r="A373" s="2">
        <f t="shared" si="93"/>
        <v>284</v>
      </c>
      <c r="B373" s="329" t="s">
        <v>398</v>
      </c>
      <c r="C373" s="330">
        <v>2027</v>
      </c>
      <c r="D373" s="59">
        <v>0</v>
      </c>
      <c r="E373" s="6">
        <f>D373*'16-PlantAdditions'!$E$103</f>
        <v>0</v>
      </c>
      <c r="F373" s="6">
        <f t="shared" si="94"/>
        <v>0</v>
      </c>
      <c r="G373" s="59">
        <v>0</v>
      </c>
      <c r="H373" s="59">
        <v>0</v>
      </c>
      <c r="I373" s="6">
        <f>(G373-H373)*'16-PlantAdditions'!$E$103</f>
        <v>0</v>
      </c>
      <c r="J373" s="6">
        <f t="shared" si="95"/>
        <v>46935964.244199999</v>
      </c>
      <c r="K373" s="6">
        <f t="shared" si="96"/>
        <v>10373961.964199997</v>
      </c>
    </row>
    <row r="374" spans="1:11" ht="13">
      <c r="A374" s="2">
        <f t="shared" si="93"/>
        <v>285</v>
      </c>
      <c r="B374" s="329" t="s">
        <v>399</v>
      </c>
      <c r="C374" s="330">
        <v>2027</v>
      </c>
      <c r="D374" s="59">
        <v>0</v>
      </c>
      <c r="E374" s="6">
        <f>D374*'16-PlantAdditions'!$E$103</f>
        <v>0</v>
      </c>
      <c r="F374" s="6">
        <f t="shared" ref="F374:F376" si="97">E374+D374</f>
        <v>0</v>
      </c>
      <c r="G374" s="59">
        <v>0</v>
      </c>
      <c r="H374" s="59">
        <v>0</v>
      </c>
      <c r="I374" s="6">
        <f>(G374-H374)*'16-PlantAdditions'!$E$103</f>
        <v>0</v>
      </c>
      <c r="J374" s="6">
        <f t="shared" ref="J374:J376" si="98">J373+F374-G374-I374</f>
        <v>46935964.244199999</v>
      </c>
      <c r="K374" s="6">
        <f t="shared" si="96"/>
        <v>10373961.964199997</v>
      </c>
    </row>
    <row r="375" spans="1:11" ht="13">
      <c r="A375" s="2">
        <f t="shared" si="93"/>
        <v>286</v>
      </c>
      <c r="B375" s="329" t="s">
        <v>400</v>
      </c>
      <c r="C375" s="330">
        <v>2027</v>
      </c>
      <c r="D375" s="59">
        <v>0</v>
      </c>
      <c r="E375" s="6">
        <f>D375*'16-PlantAdditions'!$E$103</f>
        <v>0</v>
      </c>
      <c r="F375" s="6">
        <f t="shared" si="97"/>
        <v>0</v>
      </c>
      <c r="G375" s="59">
        <v>0</v>
      </c>
      <c r="H375" s="59">
        <v>0</v>
      </c>
      <c r="I375" s="6">
        <f>(G375-H375)*'16-PlantAdditions'!$E$103</f>
        <v>0</v>
      </c>
      <c r="J375" s="6">
        <f t="shared" si="98"/>
        <v>46935964.244199999</v>
      </c>
      <c r="K375" s="6">
        <f t="shared" si="96"/>
        <v>10373961.964199997</v>
      </c>
    </row>
    <row r="376" spans="1:11" ht="13">
      <c r="A376" s="2">
        <f t="shared" si="93"/>
        <v>287</v>
      </c>
      <c r="B376" s="329" t="s">
        <v>388</v>
      </c>
      <c r="C376" s="330">
        <v>2027</v>
      </c>
      <c r="D376" s="59">
        <v>72588028.181999996</v>
      </c>
      <c r="E376" s="6">
        <f>D376*'16-PlantAdditions'!$E$103</f>
        <v>5444102.1136499997</v>
      </c>
      <c r="F376" s="6">
        <f t="shared" si="97"/>
        <v>78032130.29564999</v>
      </c>
      <c r="G376" s="59">
        <v>0</v>
      </c>
      <c r="H376" s="59">
        <v>0</v>
      </c>
      <c r="I376" s="6">
        <f>(G376-H376)*'16-PlantAdditions'!$E$103</f>
        <v>0</v>
      </c>
      <c r="J376" s="6">
        <f t="shared" si="98"/>
        <v>124968094.53985</v>
      </c>
      <c r="K376" s="53">
        <f t="shared" si="96"/>
        <v>88406092.259849995</v>
      </c>
    </row>
    <row r="377" spans="1:11" ht="13">
      <c r="A377" s="2">
        <f t="shared" si="93"/>
        <v>288</v>
      </c>
      <c r="C377" s="351" t="s">
        <v>1095</v>
      </c>
      <c r="K377" s="42">
        <f>AVERAGE(K364:K376)</f>
        <v>16376433.52540384</v>
      </c>
    </row>
    <row r="378" spans="1:11" ht="13">
      <c r="A378" s="2"/>
      <c r="C378" s="351"/>
      <c r="K378" s="42"/>
    </row>
    <row r="379" spans="1:11" ht="13">
      <c r="B379" s="34" t="s">
        <v>1118</v>
      </c>
      <c r="D379" s="1207" t="s">
        <v>1119</v>
      </c>
      <c r="E379" s="1207"/>
      <c r="F379" s="1208"/>
      <c r="G379" s="1208"/>
    </row>
    <row r="380" spans="1:11" ht="13">
      <c r="A380" s="3"/>
      <c r="B380" s="3"/>
      <c r="C380" s="3"/>
      <c r="D380" s="3" t="s">
        <v>345</v>
      </c>
      <c r="E380" s="3" t="s">
        <v>346</v>
      </c>
      <c r="F380" s="3" t="s">
        <v>347</v>
      </c>
      <c r="G380" s="3" t="s">
        <v>348</v>
      </c>
      <c r="H380" s="3" t="s">
        <v>349</v>
      </c>
      <c r="I380" s="3" t="s">
        <v>350</v>
      </c>
      <c r="J380" s="3" t="s">
        <v>351</v>
      </c>
      <c r="K380" s="3" t="s">
        <v>352</v>
      </c>
    </row>
    <row r="381" spans="1:11" ht="25.5">
      <c r="D381" s="48"/>
      <c r="E381" s="352" t="s">
        <v>1099</v>
      </c>
      <c r="F381" s="239" t="s">
        <v>1100</v>
      </c>
      <c r="G381" s="239"/>
      <c r="H381" s="48"/>
      <c r="I381" s="352" t="s">
        <v>1101</v>
      </c>
      <c r="J381" s="352" t="s">
        <v>1102</v>
      </c>
      <c r="K381" s="352" t="s">
        <v>1103</v>
      </c>
    </row>
    <row r="382" spans="1:11" ht="13">
      <c r="D382" s="48"/>
      <c r="E382" s="352"/>
      <c r="F382" s="239"/>
      <c r="G382" s="4" t="str">
        <f>G51</f>
        <v>Unloaded</v>
      </c>
      <c r="H382" s="48"/>
      <c r="I382" s="352"/>
      <c r="J382" s="352"/>
      <c r="K382" s="352"/>
    </row>
    <row r="383" spans="1:11" ht="13">
      <c r="A383" s="2"/>
      <c r="B383" s="2"/>
      <c r="C383" s="2"/>
      <c r="D383" s="2" t="str">
        <f>D$52</f>
        <v>Forecast</v>
      </c>
      <c r="E383" s="2" t="str">
        <f t="shared" ref="E383:J383" si="99">E$52</f>
        <v>Corporate</v>
      </c>
      <c r="F383" s="2" t="str">
        <f t="shared" si="99"/>
        <v xml:space="preserve">Total </v>
      </c>
      <c r="G383" s="4" t="str">
        <f>G52</f>
        <v>Total</v>
      </c>
      <c r="H383" s="2" t="str">
        <f t="shared" si="99"/>
        <v>Prior Period</v>
      </c>
      <c r="I383" s="2" t="str">
        <f t="shared" si="99"/>
        <v>Over Heads</v>
      </c>
      <c r="J383" s="2" t="str">
        <f t="shared" si="99"/>
        <v>Forecast</v>
      </c>
      <c r="K383" s="2" t="str">
        <f>K$52</f>
        <v>Forecast Period</v>
      </c>
    </row>
    <row r="384" spans="1:11" ht="13">
      <c r="A384" s="30" t="s">
        <v>282</v>
      </c>
      <c r="B384" s="328" t="s">
        <v>380</v>
      </c>
      <c r="C384" s="328" t="s">
        <v>381</v>
      </c>
      <c r="D384" s="3" t="str">
        <f>D$53</f>
        <v>Expenditures</v>
      </c>
      <c r="E384" s="3" t="str">
        <f t="shared" ref="E384:J384" si="100">E$53</f>
        <v>Overheads</v>
      </c>
      <c r="F384" s="3" t="str">
        <f t="shared" si="100"/>
        <v>CWIP Exp</v>
      </c>
      <c r="G384" s="48" t="str">
        <f>G53</f>
        <v>Plant Adds</v>
      </c>
      <c r="H384" s="3" t="str">
        <f t="shared" si="100"/>
        <v>CWIP Closed</v>
      </c>
      <c r="I384" s="3" t="str">
        <f t="shared" si="100"/>
        <v>Closed to PIS</v>
      </c>
      <c r="J384" s="3" t="str">
        <f t="shared" si="100"/>
        <v>Period CWIP</v>
      </c>
      <c r="K384" s="3" t="str">
        <f>K$53</f>
        <v>Incremental CWIP</v>
      </c>
    </row>
    <row r="385" spans="1:11" ht="13">
      <c r="A385" s="2">
        <f>A377+1</f>
        <v>289</v>
      </c>
      <c r="B385" s="329" t="s">
        <v>388</v>
      </c>
      <c r="C385" s="330">
        <v>2025</v>
      </c>
      <c r="D385" s="239" t="s">
        <v>389</v>
      </c>
      <c r="E385" s="239" t="s">
        <v>389</v>
      </c>
      <c r="F385" s="239" t="s">
        <v>389</v>
      </c>
      <c r="G385" s="239" t="s">
        <v>389</v>
      </c>
      <c r="H385" s="239" t="s">
        <v>389</v>
      </c>
      <c r="I385" s="239" t="s">
        <v>389</v>
      </c>
      <c r="J385" s="6">
        <f>H45</f>
        <v>25140635.989999998</v>
      </c>
      <c r="K385" s="239" t="s">
        <v>389</v>
      </c>
    </row>
    <row r="386" spans="1:11" ht="13">
      <c r="A386" s="2">
        <f>A385+1</f>
        <v>290</v>
      </c>
      <c r="B386" s="329" t="s">
        <v>390</v>
      </c>
      <c r="C386" s="330">
        <v>2026</v>
      </c>
      <c r="D386" s="59">
        <v>221833.00000000003</v>
      </c>
      <c r="E386" s="6">
        <f>D386*'16-PlantAdditions'!$E$103</f>
        <v>16637.475000000002</v>
      </c>
      <c r="F386" s="6">
        <f>E386+D386</f>
        <v>238470.47500000003</v>
      </c>
      <c r="G386" s="59">
        <v>109583.00000000001</v>
      </c>
      <c r="H386" s="59">
        <v>0</v>
      </c>
      <c r="I386" s="6">
        <f>(G386-H386)*'16-PlantAdditions'!$E$103</f>
        <v>8218.7250000000004</v>
      </c>
      <c r="J386" s="6">
        <f>J385+F386-G386-I386</f>
        <v>25261304.739999998</v>
      </c>
      <c r="K386" s="6">
        <f>J386-$J$385</f>
        <v>120668.75</v>
      </c>
    </row>
    <row r="387" spans="1:11" ht="13">
      <c r="A387" s="2">
        <f t="shared" ref="A387:A410" si="101">A386+1</f>
        <v>291</v>
      </c>
      <c r="B387" s="329" t="s">
        <v>391</v>
      </c>
      <c r="C387" s="330">
        <v>2026</v>
      </c>
      <c r="D387" s="59">
        <v>142450.00000000003</v>
      </c>
      <c r="E387" s="6">
        <f>D387*'16-PlantAdditions'!$E$103</f>
        <v>10683.750000000002</v>
      </c>
      <c r="F387" s="6">
        <f>E387+D387</f>
        <v>153133.75000000003</v>
      </c>
      <c r="G387" s="59">
        <v>78835.000000000015</v>
      </c>
      <c r="H387" s="59">
        <v>0</v>
      </c>
      <c r="I387" s="6">
        <f>(G387-H387)*'16-PlantAdditions'!$E$103</f>
        <v>5912.6250000000009</v>
      </c>
      <c r="J387" s="6">
        <f>J386+F387-G387-I387</f>
        <v>25329690.864999998</v>
      </c>
      <c r="K387" s="6">
        <f t="shared" ref="K387:K409" si="102">J387-$J$385</f>
        <v>189054.875</v>
      </c>
    </row>
    <row r="388" spans="1:11" ht="13">
      <c r="A388" s="2">
        <f t="shared" si="101"/>
        <v>292</v>
      </c>
      <c r="B388" s="329" t="s">
        <v>392</v>
      </c>
      <c r="C388" s="330">
        <v>2026</v>
      </c>
      <c r="D388" s="59">
        <v>11363000</v>
      </c>
      <c r="E388" s="6">
        <f>D388*'16-PlantAdditions'!$E$103</f>
        <v>852225</v>
      </c>
      <c r="F388" s="6">
        <f t="shared" ref="F388:F406" si="103">E388+D388</f>
        <v>12215225</v>
      </c>
      <c r="G388" s="59">
        <v>63000</v>
      </c>
      <c r="H388" s="59">
        <v>0</v>
      </c>
      <c r="I388" s="6">
        <f>(G388-H388)*'16-PlantAdditions'!$E$103</f>
        <v>4725</v>
      </c>
      <c r="J388" s="6">
        <f t="shared" ref="J388:J406" si="104">J387+F388-G388-I388</f>
        <v>37477190.864999995</v>
      </c>
      <c r="K388" s="6">
        <f t="shared" si="102"/>
        <v>12336554.874999996</v>
      </c>
    </row>
    <row r="389" spans="1:11" ht="13">
      <c r="A389" s="2">
        <f t="shared" si="101"/>
        <v>293</v>
      </c>
      <c r="B389" s="329" t="s">
        <v>393</v>
      </c>
      <c r="C389" s="330">
        <v>2026</v>
      </c>
      <c r="D389" s="59">
        <v>4908000</v>
      </c>
      <c r="E389" s="6">
        <f>D389*'16-PlantAdditions'!$E$103</f>
        <v>368100</v>
      </c>
      <c r="F389" s="6">
        <f t="shared" si="103"/>
        <v>5276100</v>
      </c>
      <c r="G389" s="59">
        <v>4758000</v>
      </c>
      <c r="H389" s="59">
        <v>0</v>
      </c>
      <c r="I389" s="6">
        <f>(G389-H389)*'16-PlantAdditions'!$E$103</f>
        <v>356850</v>
      </c>
      <c r="J389" s="6">
        <f t="shared" si="104"/>
        <v>37638440.864999995</v>
      </c>
      <c r="K389" s="6">
        <f t="shared" si="102"/>
        <v>12497804.874999996</v>
      </c>
    </row>
    <row r="390" spans="1:11" ht="13">
      <c r="A390" s="2">
        <f t="shared" si="101"/>
        <v>294</v>
      </c>
      <c r="B390" s="329" t="s">
        <v>394</v>
      </c>
      <c r="C390" s="330">
        <v>2026</v>
      </c>
      <c r="D390" s="59">
        <v>213000</v>
      </c>
      <c r="E390" s="6">
        <f>D390*'16-PlantAdditions'!$E$103</f>
        <v>15975</v>
      </c>
      <c r="F390" s="6">
        <f t="shared" si="103"/>
        <v>228975</v>
      </c>
      <c r="G390" s="59">
        <v>63000</v>
      </c>
      <c r="H390" s="59">
        <v>0</v>
      </c>
      <c r="I390" s="6">
        <f>(G390-H390)*'16-PlantAdditions'!$E$103</f>
        <v>4725</v>
      </c>
      <c r="J390" s="6">
        <f t="shared" si="104"/>
        <v>37799690.864999995</v>
      </c>
      <c r="K390" s="6">
        <f t="shared" si="102"/>
        <v>12659054.874999996</v>
      </c>
    </row>
    <row r="391" spans="1:11" ht="13">
      <c r="A391" s="2">
        <f t="shared" si="101"/>
        <v>295</v>
      </c>
      <c r="B391" s="329" t="s">
        <v>608</v>
      </c>
      <c r="C391" s="330">
        <v>2026</v>
      </c>
      <c r="D391" s="59">
        <v>214000</v>
      </c>
      <c r="E391" s="6">
        <f>D391*'16-PlantAdditions'!$E$103</f>
        <v>16050</v>
      </c>
      <c r="F391" s="6">
        <f t="shared" si="103"/>
        <v>230050</v>
      </c>
      <c r="G391" s="59">
        <v>37130500.990000002</v>
      </c>
      <c r="H391" s="59">
        <v>25140635.989999998</v>
      </c>
      <c r="I391" s="6">
        <f>(G391-H391)*'16-PlantAdditions'!$E$103</f>
        <v>899239.87500000023</v>
      </c>
      <c r="J391" s="6">
        <f t="shared" si="104"/>
        <v>-7.6834112405776978E-9</v>
      </c>
      <c r="K391" s="6">
        <f t="shared" si="102"/>
        <v>-25140635.990000006</v>
      </c>
    </row>
    <row r="392" spans="1:11" ht="13">
      <c r="A392" s="2">
        <f t="shared" si="101"/>
        <v>296</v>
      </c>
      <c r="B392" s="329" t="s">
        <v>396</v>
      </c>
      <c r="C392" s="330">
        <v>2026</v>
      </c>
      <c r="D392" s="59">
        <v>214000</v>
      </c>
      <c r="E392" s="6">
        <f>D392*'16-PlantAdditions'!$E$103</f>
        <v>16050</v>
      </c>
      <c r="F392" s="6">
        <f t="shared" si="103"/>
        <v>230050</v>
      </c>
      <c r="G392" s="59">
        <v>214000</v>
      </c>
      <c r="H392" s="59">
        <v>0</v>
      </c>
      <c r="I392" s="6">
        <f>(G392-H392)*'16-PlantAdditions'!$E$103</f>
        <v>16050</v>
      </c>
      <c r="J392" s="6">
        <f t="shared" si="104"/>
        <v>-7.6834112405776978E-9</v>
      </c>
      <c r="K392" s="6">
        <f t="shared" si="102"/>
        <v>-25140635.990000006</v>
      </c>
    </row>
    <row r="393" spans="1:11" ht="13">
      <c r="A393" s="2">
        <f t="shared" si="101"/>
        <v>297</v>
      </c>
      <c r="B393" s="329" t="s">
        <v>397</v>
      </c>
      <c r="C393" s="330">
        <v>2026</v>
      </c>
      <c r="D393" s="59">
        <v>212000</v>
      </c>
      <c r="E393" s="6">
        <f>D393*'16-PlantAdditions'!$E$103</f>
        <v>15900</v>
      </c>
      <c r="F393" s="6">
        <f t="shared" si="103"/>
        <v>227900</v>
      </c>
      <c r="G393" s="59">
        <v>212000</v>
      </c>
      <c r="H393" s="59">
        <v>0</v>
      </c>
      <c r="I393" s="6">
        <f>(G393-H393)*'16-PlantAdditions'!$E$103</f>
        <v>15900</v>
      </c>
      <c r="J393" s="6">
        <f t="shared" si="104"/>
        <v>-7.6834112405776978E-9</v>
      </c>
      <c r="K393" s="6">
        <f t="shared" si="102"/>
        <v>-25140635.990000006</v>
      </c>
    </row>
    <row r="394" spans="1:11" ht="13">
      <c r="A394" s="2">
        <f t="shared" si="101"/>
        <v>298</v>
      </c>
      <c r="B394" s="329" t="s">
        <v>398</v>
      </c>
      <c r="C394" s="330">
        <v>2026</v>
      </c>
      <c r="D394" s="59">
        <v>213000</v>
      </c>
      <c r="E394" s="6">
        <f>D394*'16-PlantAdditions'!$E$103</f>
        <v>15975</v>
      </c>
      <c r="F394" s="6">
        <f t="shared" si="103"/>
        <v>228975</v>
      </c>
      <c r="G394" s="59">
        <v>213000</v>
      </c>
      <c r="H394" s="59">
        <v>0</v>
      </c>
      <c r="I394" s="6">
        <f>(G394-H394)*'16-PlantAdditions'!$E$103</f>
        <v>15975</v>
      </c>
      <c r="J394" s="6">
        <f t="shared" si="104"/>
        <v>-7.6834112405776978E-9</v>
      </c>
      <c r="K394" s="6">
        <f t="shared" si="102"/>
        <v>-25140635.990000006</v>
      </c>
    </row>
    <row r="395" spans="1:11" ht="13">
      <c r="A395" s="2">
        <f t="shared" si="101"/>
        <v>299</v>
      </c>
      <c r="B395" s="329" t="s">
        <v>399</v>
      </c>
      <c r="C395" s="330">
        <v>2026</v>
      </c>
      <c r="D395" s="59">
        <v>257000</v>
      </c>
      <c r="E395" s="6">
        <f>D395*'16-PlantAdditions'!$E$103</f>
        <v>19275</v>
      </c>
      <c r="F395" s="6">
        <f t="shared" si="103"/>
        <v>276275</v>
      </c>
      <c r="G395" s="59">
        <v>257000</v>
      </c>
      <c r="H395" s="59">
        <v>0</v>
      </c>
      <c r="I395" s="6">
        <f>(G395-H395)*'16-PlantAdditions'!$E$103</f>
        <v>19275</v>
      </c>
      <c r="J395" s="6">
        <f t="shared" si="104"/>
        <v>-7.6834112405776978E-9</v>
      </c>
      <c r="K395" s="6">
        <f t="shared" si="102"/>
        <v>-25140635.990000006</v>
      </c>
    </row>
    <row r="396" spans="1:11" ht="13">
      <c r="A396" s="2">
        <f t="shared" si="101"/>
        <v>300</v>
      </c>
      <c r="B396" s="329" t="s">
        <v>400</v>
      </c>
      <c r="C396" s="330">
        <v>2026</v>
      </c>
      <c r="D396" s="59">
        <v>340000</v>
      </c>
      <c r="E396" s="6">
        <f>D396*'16-PlantAdditions'!$E$103</f>
        <v>25500</v>
      </c>
      <c r="F396" s="6">
        <f t="shared" si="103"/>
        <v>365500</v>
      </c>
      <c r="G396" s="59">
        <v>340000</v>
      </c>
      <c r="H396" s="59">
        <v>0</v>
      </c>
      <c r="I396" s="6">
        <f>(G396-H396)*'16-PlantAdditions'!$E$103</f>
        <v>25500</v>
      </c>
      <c r="J396" s="6">
        <f t="shared" si="104"/>
        <v>-7.6834112405776978E-9</v>
      </c>
      <c r="K396" s="6">
        <f t="shared" si="102"/>
        <v>-25140635.990000006</v>
      </c>
    </row>
    <row r="397" spans="1:11" ht="13">
      <c r="A397" s="2">
        <f t="shared" si="101"/>
        <v>301</v>
      </c>
      <c r="B397" s="329" t="s">
        <v>388</v>
      </c>
      <c r="C397" s="330">
        <v>2026</v>
      </c>
      <c r="D397" s="59">
        <v>2868717</v>
      </c>
      <c r="E397" s="6">
        <f>D397*'16-PlantAdditions'!$E$103</f>
        <v>215153.77499999999</v>
      </c>
      <c r="F397" s="6">
        <f t="shared" si="103"/>
        <v>3083870.7749999999</v>
      </c>
      <c r="G397" s="59">
        <v>2868717</v>
      </c>
      <c r="H397" s="59">
        <v>0</v>
      </c>
      <c r="I397" s="6">
        <f>(G397-H397)*'16-PlantAdditions'!$E$103</f>
        <v>215153.77499999999</v>
      </c>
      <c r="J397" s="6">
        <f t="shared" si="104"/>
        <v>-8.0035533756017685E-9</v>
      </c>
      <c r="K397" s="6">
        <f t="shared" si="102"/>
        <v>-25140635.990000006</v>
      </c>
    </row>
    <row r="398" spans="1:11" ht="13">
      <c r="A398" s="2">
        <f t="shared" si="101"/>
        <v>302</v>
      </c>
      <c r="B398" s="329" t="s">
        <v>390</v>
      </c>
      <c r="C398" s="330">
        <v>2027</v>
      </c>
      <c r="D398" s="59">
        <v>10000</v>
      </c>
      <c r="E398" s="6">
        <f>D398*'16-PlantAdditions'!$E$103</f>
        <v>750</v>
      </c>
      <c r="F398" s="6">
        <f t="shared" si="103"/>
        <v>10750</v>
      </c>
      <c r="G398" s="59">
        <v>10000</v>
      </c>
      <c r="H398" s="59">
        <v>0</v>
      </c>
      <c r="I398" s="6">
        <f>(G398-H398)*'16-PlantAdditions'!$E$103</f>
        <v>750</v>
      </c>
      <c r="J398" s="6">
        <f t="shared" si="104"/>
        <v>-8.0035533756017685E-9</v>
      </c>
      <c r="K398" s="6">
        <f t="shared" si="102"/>
        <v>-25140635.990000006</v>
      </c>
    </row>
    <row r="399" spans="1:11" ht="13">
      <c r="A399" s="2">
        <f t="shared" si="101"/>
        <v>303</v>
      </c>
      <c r="B399" s="329" t="s">
        <v>391</v>
      </c>
      <c r="C399" s="330">
        <v>2027</v>
      </c>
      <c r="D399" s="59">
        <v>10000</v>
      </c>
      <c r="E399" s="6">
        <f>D399*'16-PlantAdditions'!$E$103</f>
        <v>750</v>
      </c>
      <c r="F399" s="6">
        <f t="shared" si="103"/>
        <v>10750</v>
      </c>
      <c r="G399" s="59">
        <v>10000</v>
      </c>
      <c r="H399" s="59">
        <v>0</v>
      </c>
      <c r="I399" s="6">
        <f>(G399-H399)*'16-PlantAdditions'!$E$103</f>
        <v>750</v>
      </c>
      <c r="J399" s="6">
        <f t="shared" si="104"/>
        <v>-8.0035533756017685E-9</v>
      </c>
      <c r="K399" s="6">
        <f t="shared" si="102"/>
        <v>-25140635.990000006</v>
      </c>
    </row>
    <row r="400" spans="1:11" ht="13">
      <c r="A400" s="2">
        <f t="shared" si="101"/>
        <v>304</v>
      </c>
      <c r="B400" s="329" t="s">
        <v>392</v>
      </c>
      <c r="C400" s="330">
        <v>2027</v>
      </c>
      <c r="D400" s="59">
        <v>10000</v>
      </c>
      <c r="E400" s="6">
        <f>D400*'16-PlantAdditions'!$E$103</f>
        <v>750</v>
      </c>
      <c r="F400" s="6">
        <f t="shared" si="103"/>
        <v>10750</v>
      </c>
      <c r="G400" s="59">
        <v>10000</v>
      </c>
      <c r="H400" s="59">
        <v>0</v>
      </c>
      <c r="I400" s="6">
        <f>(G400-H400)*'16-PlantAdditions'!$E$103</f>
        <v>750</v>
      </c>
      <c r="J400" s="6">
        <f t="shared" si="104"/>
        <v>-8.0035533756017685E-9</v>
      </c>
      <c r="K400" s="6">
        <f t="shared" si="102"/>
        <v>-25140635.990000006</v>
      </c>
    </row>
    <row r="401" spans="1:11" ht="13">
      <c r="A401" s="2">
        <f t="shared" si="101"/>
        <v>305</v>
      </c>
      <c r="B401" s="329" t="s">
        <v>393</v>
      </c>
      <c r="C401" s="330">
        <v>2027</v>
      </c>
      <c r="D401" s="59">
        <v>10000</v>
      </c>
      <c r="E401" s="6">
        <f>D401*'16-PlantAdditions'!$E$103</f>
        <v>750</v>
      </c>
      <c r="F401" s="6">
        <f t="shared" si="103"/>
        <v>10750</v>
      </c>
      <c r="G401" s="59">
        <v>10000</v>
      </c>
      <c r="H401" s="59">
        <v>0</v>
      </c>
      <c r="I401" s="6">
        <f>(G401-H401)*'16-PlantAdditions'!$E$103</f>
        <v>750</v>
      </c>
      <c r="J401" s="6">
        <f t="shared" si="104"/>
        <v>-8.0035533756017685E-9</v>
      </c>
      <c r="K401" s="6">
        <f t="shared" si="102"/>
        <v>-25140635.990000006</v>
      </c>
    </row>
    <row r="402" spans="1:11" ht="13">
      <c r="A402" s="2">
        <f t="shared" si="101"/>
        <v>306</v>
      </c>
      <c r="B402" s="329" t="s">
        <v>394</v>
      </c>
      <c r="C402" s="330">
        <v>2027</v>
      </c>
      <c r="D402" s="59">
        <v>10000</v>
      </c>
      <c r="E402" s="6">
        <f>D402*'16-PlantAdditions'!$E$103</f>
        <v>750</v>
      </c>
      <c r="F402" s="6">
        <f t="shared" si="103"/>
        <v>10750</v>
      </c>
      <c r="G402" s="59">
        <v>10000</v>
      </c>
      <c r="H402" s="59">
        <v>0</v>
      </c>
      <c r="I402" s="6">
        <f>(G402-H402)*'16-PlantAdditions'!$E$103</f>
        <v>750</v>
      </c>
      <c r="J402" s="6">
        <f t="shared" si="104"/>
        <v>-8.0035533756017685E-9</v>
      </c>
      <c r="K402" s="6">
        <f t="shared" si="102"/>
        <v>-25140635.990000006</v>
      </c>
    </row>
    <row r="403" spans="1:11" ht="13">
      <c r="A403" s="2">
        <f t="shared" si="101"/>
        <v>307</v>
      </c>
      <c r="B403" s="329" t="s">
        <v>608</v>
      </c>
      <c r="C403" s="330">
        <v>2027</v>
      </c>
      <c r="D403" s="59">
        <v>15000</v>
      </c>
      <c r="E403" s="6">
        <f>D403*'16-PlantAdditions'!$E$103</f>
        <v>1125</v>
      </c>
      <c r="F403" s="6">
        <f t="shared" si="103"/>
        <v>16125</v>
      </c>
      <c r="G403" s="59">
        <v>15000</v>
      </c>
      <c r="H403" s="59">
        <v>0</v>
      </c>
      <c r="I403" s="6">
        <f>(G403-H403)*'16-PlantAdditions'!$E$103</f>
        <v>1125</v>
      </c>
      <c r="J403" s="6">
        <f t="shared" si="104"/>
        <v>-8.0035533756017685E-9</v>
      </c>
      <c r="K403" s="6">
        <f t="shared" si="102"/>
        <v>-25140635.990000006</v>
      </c>
    </row>
    <row r="404" spans="1:11" ht="13">
      <c r="A404" s="2">
        <f t="shared" si="101"/>
        <v>308</v>
      </c>
      <c r="B404" s="329" t="s">
        <v>396</v>
      </c>
      <c r="C404" s="330">
        <v>2027</v>
      </c>
      <c r="D404" s="59">
        <v>15000</v>
      </c>
      <c r="E404" s="6">
        <f>D404*'16-PlantAdditions'!$E$103</f>
        <v>1125</v>
      </c>
      <c r="F404" s="6">
        <f t="shared" si="103"/>
        <v>16125</v>
      </c>
      <c r="G404" s="59">
        <v>15000</v>
      </c>
      <c r="H404" s="59">
        <v>0</v>
      </c>
      <c r="I404" s="6">
        <f>(G404-H404)*'16-PlantAdditions'!$E$103</f>
        <v>1125</v>
      </c>
      <c r="J404" s="6">
        <f t="shared" si="104"/>
        <v>-8.0035533756017685E-9</v>
      </c>
      <c r="K404" s="6">
        <f t="shared" si="102"/>
        <v>-25140635.990000006</v>
      </c>
    </row>
    <row r="405" spans="1:11" ht="13">
      <c r="A405" s="2">
        <f t="shared" si="101"/>
        <v>309</v>
      </c>
      <c r="B405" s="329" t="s">
        <v>397</v>
      </c>
      <c r="C405" s="330">
        <v>2027</v>
      </c>
      <c r="D405" s="59">
        <v>15000</v>
      </c>
      <c r="E405" s="6">
        <f>D405*'16-PlantAdditions'!$E$103</f>
        <v>1125</v>
      </c>
      <c r="F405" s="6">
        <f t="shared" si="103"/>
        <v>16125</v>
      </c>
      <c r="G405" s="59">
        <v>15000</v>
      </c>
      <c r="H405" s="59">
        <v>0</v>
      </c>
      <c r="I405" s="6">
        <f>(G405-H405)*'16-PlantAdditions'!$E$103</f>
        <v>1125</v>
      </c>
      <c r="J405" s="6">
        <f t="shared" si="104"/>
        <v>-8.0035533756017685E-9</v>
      </c>
      <c r="K405" s="6">
        <f t="shared" si="102"/>
        <v>-25140635.990000006</v>
      </c>
    </row>
    <row r="406" spans="1:11" ht="13">
      <c r="A406" s="2">
        <f t="shared" si="101"/>
        <v>310</v>
      </c>
      <c r="B406" s="329" t="s">
        <v>398</v>
      </c>
      <c r="C406" s="330">
        <v>2027</v>
      </c>
      <c r="D406" s="59">
        <v>15000</v>
      </c>
      <c r="E406" s="6">
        <f>D406*'16-PlantAdditions'!$E$103</f>
        <v>1125</v>
      </c>
      <c r="F406" s="6">
        <f t="shared" si="103"/>
        <v>16125</v>
      </c>
      <c r="G406" s="59">
        <v>15000</v>
      </c>
      <c r="H406" s="59">
        <v>0</v>
      </c>
      <c r="I406" s="6">
        <f>(G406-H406)*'16-PlantAdditions'!$E$103</f>
        <v>1125</v>
      </c>
      <c r="J406" s="6">
        <f t="shared" si="104"/>
        <v>-8.0035533756017685E-9</v>
      </c>
      <c r="K406" s="6">
        <f t="shared" si="102"/>
        <v>-25140635.990000006</v>
      </c>
    </row>
    <row r="407" spans="1:11" ht="13">
      <c r="A407" s="2">
        <f t="shared" si="101"/>
        <v>311</v>
      </c>
      <c r="B407" s="329" t="s">
        <v>399</v>
      </c>
      <c r="C407" s="330">
        <v>2027</v>
      </c>
      <c r="D407" s="59">
        <v>15000</v>
      </c>
      <c r="E407" s="6">
        <f>D407*'16-PlantAdditions'!$E$103</f>
        <v>1125</v>
      </c>
      <c r="F407" s="6">
        <f t="shared" ref="F407:F409" si="105">E407+D407</f>
        <v>16125</v>
      </c>
      <c r="G407" s="59">
        <v>15000</v>
      </c>
      <c r="H407" s="59">
        <v>0</v>
      </c>
      <c r="I407" s="6">
        <f>(G407-H407)*'16-PlantAdditions'!$E$103</f>
        <v>1125</v>
      </c>
      <c r="J407" s="6">
        <f t="shared" ref="J407:J408" si="106">J406+F407-G407-I407</f>
        <v>-8.0035533756017685E-9</v>
      </c>
      <c r="K407" s="6">
        <f t="shared" si="102"/>
        <v>-25140635.990000006</v>
      </c>
    </row>
    <row r="408" spans="1:11" ht="13">
      <c r="A408" s="2">
        <f t="shared" si="101"/>
        <v>312</v>
      </c>
      <c r="B408" s="329" t="s">
        <v>400</v>
      </c>
      <c r="C408" s="330">
        <v>2027</v>
      </c>
      <c r="D408" s="59">
        <v>19000</v>
      </c>
      <c r="E408" s="6">
        <f>D408*'16-PlantAdditions'!$E$103</f>
        <v>1425</v>
      </c>
      <c r="F408" s="6">
        <f t="shared" si="105"/>
        <v>20425</v>
      </c>
      <c r="G408" s="59">
        <v>19000</v>
      </c>
      <c r="H408" s="59">
        <v>0</v>
      </c>
      <c r="I408" s="6">
        <f>(G408-H408)*'16-PlantAdditions'!$E$103</f>
        <v>1425</v>
      </c>
      <c r="J408" s="6">
        <f t="shared" si="106"/>
        <v>-8.0035533756017685E-9</v>
      </c>
      <c r="K408" s="6">
        <f t="shared" si="102"/>
        <v>-25140635.990000006</v>
      </c>
    </row>
    <row r="409" spans="1:11" ht="13">
      <c r="A409" s="2">
        <f t="shared" si="101"/>
        <v>313</v>
      </c>
      <c r="B409" s="329" t="s">
        <v>388</v>
      </c>
      <c r="C409" s="330">
        <v>2027</v>
      </c>
      <c r="D409" s="59">
        <v>9318000</v>
      </c>
      <c r="E409" s="6">
        <f>D409*'16-PlantAdditions'!$E$103</f>
        <v>698850</v>
      </c>
      <c r="F409" s="6">
        <f t="shared" si="105"/>
        <v>10016850</v>
      </c>
      <c r="G409" s="59">
        <v>9318000</v>
      </c>
      <c r="H409" s="59">
        <v>0</v>
      </c>
      <c r="I409" s="6">
        <f>(G409-H409)*'16-PlantAdditions'!$E$103</f>
        <v>698850</v>
      </c>
      <c r="J409" s="6">
        <f>J408+F409-G409-I409</f>
        <v>-7.4505805969238281E-9</v>
      </c>
      <c r="K409" s="53">
        <f t="shared" si="102"/>
        <v>-25140635.990000006</v>
      </c>
    </row>
    <row r="410" spans="1:11" ht="13">
      <c r="A410" s="2">
        <f t="shared" si="101"/>
        <v>314</v>
      </c>
      <c r="C410" s="351" t="s">
        <v>1095</v>
      </c>
      <c r="H410" s="239"/>
      <c r="I410" s="239"/>
      <c r="K410" s="42">
        <f>AVERAGE(K397:K409)</f>
        <v>-25140635.990000006</v>
      </c>
    </row>
    <row r="411" spans="1:11" ht="13">
      <c r="A411" s="2"/>
      <c r="C411" s="351"/>
      <c r="H411" s="239"/>
      <c r="I411" s="239"/>
      <c r="K411" s="42"/>
    </row>
    <row r="412" spans="1:11" ht="13">
      <c r="B412" s="34" t="s">
        <v>1120</v>
      </c>
      <c r="D412" s="1207" t="s">
        <v>1076</v>
      </c>
      <c r="E412" s="1207"/>
    </row>
    <row r="413" spans="1:11" ht="13">
      <c r="A413" s="3"/>
      <c r="B413" s="3"/>
      <c r="C413" s="3"/>
      <c r="D413" s="3" t="s">
        <v>345</v>
      </c>
      <c r="E413" s="3" t="s">
        <v>346</v>
      </c>
      <c r="F413" s="3" t="s">
        <v>347</v>
      </c>
      <c r="G413" s="3" t="s">
        <v>348</v>
      </c>
      <c r="H413" s="3" t="s">
        <v>349</v>
      </c>
      <c r="I413" s="3" t="s">
        <v>350</v>
      </c>
      <c r="J413" s="3" t="s">
        <v>351</v>
      </c>
      <c r="K413" s="3" t="s">
        <v>352</v>
      </c>
    </row>
    <row r="414" spans="1:11" ht="25.5">
      <c r="D414" s="48"/>
      <c r="E414" s="352" t="s">
        <v>1099</v>
      </c>
      <c r="F414" s="239" t="s">
        <v>1100</v>
      </c>
      <c r="G414" s="239"/>
      <c r="H414" s="48"/>
      <c r="I414" s="352" t="s">
        <v>1101</v>
      </c>
      <c r="J414" s="352" t="s">
        <v>1102</v>
      </c>
      <c r="K414" s="352" t="s">
        <v>1103</v>
      </c>
    </row>
    <row r="415" spans="1:11" ht="13">
      <c r="D415" s="48"/>
      <c r="E415" s="352"/>
      <c r="F415" s="239"/>
      <c r="G415" s="4" t="str">
        <f>G85</f>
        <v>Unloaded</v>
      </c>
      <c r="H415" s="48"/>
      <c r="I415" s="352"/>
      <c r="J415" s="352"/>
      <c r="K415" s="352"/>
    </row>
    <row r="416" spans="1:11" ht="13">
      <c r="A416" s="2"/>
      <c r="B416" s="2"/>
      <c r="C416" s="2"/>
      <c r="D416" s="2" t="str">
        <f>D$52</f>
        <v>Forecast</v>
      </c>
      <c r="E416" s="2" t="str">
        <f t="shared" ref="E416:J416" si="107">E$52</f>
        <v>Corporate</v>
      </c>
      <c r="F416" s="2" t="str">
        <f t="shared" si="107"/>
        <v xml:space="preserve">Total </v>
      </c>
      <c r="G416" s="4" t="str">
        <f>G86</f>
        <v>Total</v>
      </c>
      <c r="H416" s="2" t="str">
        <f t="shared" si="107"/>
        <v>Prior Period</v>
      </c>
      <c r="I416" s="2" t="str">
        <f t="shared" si="107"/>
        <v>Over Heads</v>
      </c>
      <c r="J416" s="2" t="str">
        <f t="shared" si="107"/>
        <v>Forecast</v>
      </c>
      <c r="K416" s="2" t="str">
        <f>K$52</f>
        <v>Forecast Period</v>
      </c>
    </row>
    <row r="417" spans="1:12" ht="13">
      <c r="A417" s="30" t="s">
        <v>282</v>
      </c>
      <c r="B417" s="328" t="s">
        <v>380</v>
      </c>
      <c r="C417" s="328" t="s">
        <v>381</v>
      </c>
      <c r="D417" s="3" t="str">
        <f>D$53</f>
        <v>Expenditures</v>
      </c>
      <c r="E417" s="3" t="str">
        <f t="shared" ref="E417:J417" si="108">E$53</f>
        <v>Overheads</v>
      </c>
      <c r="F417" s="3" t="str">
        <f t="shared" si="108"/>
        <v>CWIP Exp</v>
      </c>
      <c r="G417" s="48" t="str">
        <f>G87</f>
        <v>Plant Adds</v>
      </c>
      <c r="H417" s="3" t="str">
        <f t="shared" si="108"/>
        <v>CWIP Closed</v>
      </c>
      <c r="I417" s="3" t="str">
        <f t="shared" si="108"/>
        <v>Closed to PIS</v>
      </c>
      <c r="J417" s="3" t="str">
        <f t="shared" si="108"/>
        <v>Period CWIP</v>
      </c>
      <c r="K417" s="3" t="str">
        <f>K$53</f>
        <v>Incremental CWIP</v>
      </c>
    </row>
    <row r="418" spans="1:12" ht="13">
      <c r="A418" s="2">
        <f>A410+1</f>
        <v>315</v>
      </c>
      <c r="B418" s="329" t="s">
        <v>388</v>
      </c>
      <c r="C418" s="330">
        <v>2025</v>
      </c>
      <c r="D418" s="239" t="s">
        <v>389</v>
      </c>
      <c r="E418" s="239" t="s">
        <v>389</v>
      </c>
      <c r="F418" s="239" t="s">
        <v>389</v>
      </c>
      <c r="G418" s="239" t="s">
        <v>389</v>
      </c>
      <c r="H418" s="239" t="s">
        <v>389</v>
      </c>
      <c r="I418" s="239" t="s">
        <v>389</v>
      </c>
      <c r="J418" s="6">
        <f>I45</f>
        <v>105498042.8</v>
      </c>
      <c r="K418" s="239" t="s">
        <v>389</v>
      </c>
    </row>
    <row r="419" spans="1:12" ht="13">
      <c r="A419" s="2">
        <f>A418+1</f>
        <v>316</v>
      </c>
      <c r="B419" s="329" t="s">
        <v>390</v>
      </c>
      <c r="C419" s="330">
        <v>2026</v>
      </c>
      <c r="D419" s="59">
        <v>10957287</v>
      </c>
      <c r="E419" s="6">
        <f>D419*'16-PlantAdditions'!$E$103</f>
        <v>821796.52500000002</v>
      </c>
      <c r="F419" s="6">
        <f>E419+D419</f>
        <v>11779083.525</v>
      </c>
      <c r="G419" s="59">
        <v>0</v>
      </c>
      <c r="H419" s="59">
        <v>0</v>
      </c>
      <c r="I419" s="6">
        <f>(G419-H419)*'16-PlantAdditions'!$E$103</f>
        <v>0</v>
      </c>
      <c r="J419" s="6">
        <f t="shared" ref="J419:J442" si="109">J418+F419-G419-I419</f>
        <v>117277126.325</v>
      </c>
      <c r="K419" s="6">
        <f>J419-$J$418</f>
        <v>11779083.525000006</v>
      </c>
      <c r="L419" s="6"/>
    </row>
    <row r="420" spans="1:12" ht="13">
      <c r="A420" s="2">
        <f t="shared" ref="A420:A443" si="110">A419+1</f>
        <v>317</v>
      </c>
      <c r="B420" s="329" t="s">
        <v>391</v>
      </c>
      <c r="C420" s="330">
        <v>2026</v>
      </c>
      <c r="D420" s="59">
        <v>12818046.999999998</v>
      </c>
      <c r="E420" s="6">
        <f>D420*'16-PlantAdditions'!$E$103</f>
        <v>961353.52499999979</v>
      </c>
      <c r="F420" s="6">
        <f t="shared" ref="F420:F442" si="111">E420+D420</f>
        <v>13779400.524999999</v>
      </c>
      <c r="G420" s="59">
        <v>0</v>
      </c>
      <c r="H420" s="59">
        <v>0</v>
      </c>
      <c r="I420" s="6">
        <f>(G420-H420)*'16-PlantAdditions'!$E$103</f>
        <v>0</v>
      </c>
      <c r="J420" s="6">
        <f t="shared" si="109"/>
        <v>131056526.84999999</v>
      </c>
      <c r="K420" s="6">
        <f t="shared" ref="K420:K442" si="112">J420-$J$418</f>
        <v>25558484.049999997</v>
      </c>
      <c r="L420" s="6"/>
    </row>
    <row r="421" spans="1:12" ht="13">
      <c r="A421" s="2">
        <f t="shared" si="110"/>
        <v>318</v>
      </c>
      <c r="B421" s="329" t="s">
        <v>392</v>
      </c>
      <c r="C421" s="330">
        <v>2026</v>
      </c>
      <c r="D421" s="59">
        <v>10765616.000000002</v>
      </c>
      <c r="E421" s="6">
        <f>D421*'16-PlantAdditions'!$E$103</f>
        <v>807421.20000000007</v>
      </c>
      <c r="F421" s="6">
        <f t="shared" si="111"/>
        <v>11573037.200000001</v>
      </c>
      <c r="G421" s="59">
        <v>0</v>
      </c>
      <c r="H421" s="59">
        <v>0</v>
      </c>
      <c r="I421" s="6">
        <f>(G421-H421)*'16-PlantAdditions'!$E$103</f>
        <v>0</v>
      </c>
      <c r="J421" s="6">
        <f t="shared" si="109"/>
        <v>142629564.04999998</v>
      </c>
      <c r="K421" s="6">
        <f t="shared" si="112"/>
        <v>37131521.249999985</v>
      </c>
    </row>
    <row r="422" spans="1:12" ht="13">
      <c r="A422" s="2">
        <f t="shared" si="110"/>
        <v>319</v>
      </c>
      <c r="B422" s="329" t="s">
        <v>393</v>
      </c>
      <c r="C422" s="330">
        <v>2026</v>
      </c>
      <c r="D422" s="59">
        <v>9420090.9999999981</v>
      </c>
      <c r="E422" s="6">
        <f>D422*'16-PlantAdditions'!$E$103</f>
        <v>706506.82499999984</v>
      </c>
      <c r="F422" s="6">
        <f t="shared" si="111"/>
        <v>10126597.824999997</v>
      </c>
      <c r="G422" s="59">
        <v>0</v>
      </c>
      <c r="H422" s="59">
        <v>0</v>
      </c>
      <c r="I422" s="6">
        <f>(G422-H422)*'16-PlantAdditions'!$E$103</f>
        <v>0</v>
      </c>
      <c r="J422" s="6">
        <f t="shared" si="109"/>
        <v>152756161.87499997</v>
      </c>
      <c r="K422" s="6">
        <f t="shared" si="112"/>
        <v>47258119.074999973</v>
      </c>
    </row>
    <row r="423" spans="1:12" ht="13">
      <c r="A423" s="2">
        <f t="shared" si="110"/>
        <v>320</v>
      </c>
      <c r="B423" s="329" t="s">
        <v>394</v>
      </c>
      <c r="C423" s="330">
        <v>2026</v>
      </c>
      <c r="D423" s="59">
        <v>12313657</v>
      </c>
      <c r="E423" s="6">
        <f>D423*'16-PlantAdditions'!$E$103</f>
        <v>923524.27500000002</v>
      </c>
      <c r="F423" s="6">
        <f t="shared" si="111"/>
        <v>13237181.275</v>
      </c>
      <c r="G423" s="59">
        <v>0</v>
      </c>
      <c r="H423" s="59">
        <v>0</v>
      </c>
      <c r="I423" s="6">
        <f>(G423-H423)*'16-PlantAdditions'!$E$103</f>
        <v>0</v>
      </c>
      <c r="J423" s="6">
        <f t="shared" si="109"/>
        <v>165993343.14999998</v>
      </c>
      <c r="K423" s="6">
        <f t="shared" si="112"/>
        <v>60495300.349999979</v>
      </c>
    </row>
    <row r="424" spans="1:12" ht="13">
      <c r="A424" s="2">
        <f t="shared" si="110"/>
        <v>321</v>
      </c>
      <c r="B424" s="329" t="s">
        <v>608</v>
      </c>
      <c r="C424" s="330">
        <v>2026</v>
      </c>
      <c r="D424" s="59">
        <v>16099381</v>
      </c>
      <c r="E424" s="6">
        <f>D424*'16-PlantAdditions'!$E$103</f>
        <v>1207453.575</v>
      </c>
      <c r="F424" s="6">
        <f t="shared" si="111"/>
        <v>17306834.574999999</v>
      </c>
      <c r="G424" s="59">
        <v>0</v>
      </c>
      <c r="H424" s="59">
        <v>0</v>
      </c>
      <c r="I424" s="6">
        <f>(G424-H424)*'16-PlantAdditions'!$E$103</f>
        <v>0</v>
      </c>
      <c r="J424" s="6">
        <f t="shared" si="109"/>
        <v>183300177.72499996</v>
      </c>
      <c r="K424" s="6">
        <f t="shared" si="112"/>
        <v>77802134.924999967</v>
      </c>
    </row>
    <row r="425" spans="1:12" ht="13">
      <c r="A425" s="2">
        <f t="shared" si="110"/>
        <v>322</v>
      </c>
      <c r="B425" s="329" t="s">
        <v>396</v>
      </c>
      <c r="C425" s="330">
        <v>2026</v>
      </c>
      <c r="D425" s="59">
        <v>18192097</v>
      </c>
      <c r="E425" s="6">
        <f>D425*'16-PlantAdditions'!$E$103</f>
        <v>1364407.2749999999</v>
      </c>
      <c r="F425" s="6">
        <f t="shared" si="111"/>
        <v>19556504.274999999</v>
      </c>
      <c r="G425" s="59">
        <v>0</v>
      </c>
      <c r="H425" s="59">
        <v>0</v>
      </c>
      <c r="I425" s="6">
        <f>(G425-H425)*'16-PlantAdditions'!$E$103</f>
        <v>0</v>
      </c>
      <c r="J425" s="6">
        <f t="shared" si="109"/>
        <v>202856681.99999997</v>
      </c>
      <c r="K425" s="6">
        <f t="shared" si="112"/>
        <v>97358639.199999973</v>
      </c>
    </row>
    <row r="426" spans="1:12" ht="13">
      <c r="A426" s="2">
        <f t="shared" si="110"/>
        <v>323</v>
      </c>
      <c r="B426" s="329" t="s">
        <v>397</v>
      </c>
      <c r="C426" s="330">
        <v>2026</v>
      </c>
      <c r="D426" s="59">
        <v>30879697</v>
      </c>
      <c r="E426" s="6">
        <f>D426*'16-PlantAdditions'!$E$103</f>
        <v>2315977.2749999999</v>
      </c>
      <c r="F426" s="6">
        <f t="shared" si="111"/>
        <v>33195674.274999999</v>
      </c>
      <c r="G426" s="59">
        <v>0</v>
      </c>
      <c r="H426" s="59">
        <v>0</v>
      </c>
      <c r="I426" s="6">
        <f>(G426-H426)*'16-PlantAdditions'!$E$103</f>
        <v>0</v>
      </c>
      <c r="J426" s="6">
        <f t="shared" si="109"/>
        <v>236052356.27499998</v>
      </c>
      <c r="K426" s="6">
        <f t="shared" si="112"/>
        <v>130554313.47499998</v>
      </c>
    </row>
    <row r="427" spans="1:12" ht="13">
      <c r="A427" s="2">
        <f t="shared" si="110"/>
        <v>324</v>
      </c>
      <c r="B427" s="329" t="s">
        <v>398</v>
      </c>
      <c r="C427" s="330">
        <v>2026</v>
      </c>
      <c r="D427" s="59">
        <v>23280776</v>
      </c>
      <c r="E427" s="6">
        <f>D427*'16-PlantAdditions'!$E$103</f>
        <v>1746058.2</v>
      </c>
      <c r="F427" s="6">
        <f t="shared" si="111"/>
        <v>25026834.199999999</v>
      </c>
      <c r="G427" s="59">
        <v>0</v>
      </c>
      <c r="H427" s="59">
        <v>0</v>
      </c>
      <c r="I427" s="6">
        <f>(G427-H427)*'16-PlantAdditions'!$E$103</f>
        <v>0</v>
      </c>
      <c r="J427" s="6">
        <f t="shared" si="109"/>
        <v>261079190.47499996</v>
      </c>
      <c r="K427" s="6">
        <f t="shared" si="112"/>
        <v>155581147.67499995</v>
      </c>
    </row>
    <row r="428" spans="1:12" ht="13">
      <c r="A428" s="2">
        <f t="shared" si="110"/>
        <v>325</v>
      </c>
      <c r="B428" s="329" t="s">
        <v>399</v>
      </c>
      <c r="C428" s="330">
        <v>2026</v>
      </c>
      <c r="D428" s="59">
        <v>25074253.000000004</v>
      </c>
      <c r="E428" s="6">
        <f>D428*'16-PlantAdditions'!$E$103</f>
        <v>1880568.9750000003</v>
      </c>
      <c r="F428" s="6">
        <f t="shared" si="111"/>
        <v>26954821.975000005</v>
      </c>
      <c r="G428" s="59">
        <v>0</v>
      </c>
      <c r="H428" s="59">
        <v>0</v>
      </c>
      <c r="I428" s="6">
        <f>(G428-H428)*'16-PlantAdditions'!$E$103</f>
        <v>0</v>
      </c>
      <c r="J428" s="6">
        <f t="shared" si="109"/>
        <v>288034012.44999999</v>
      </c>
      <c r="K428" s="6">
        <f t="shared" si="112"/>
        <v>182535969.64999998</v>
      </c>
    </row>
    <row r="429" spans="1:12" ht="13">
      <c r="A429" s="2">
        <f t="shared" si="110"/>
        <v>326</v>
      </c>
      <c r="B429" s="329" t="s">
        <v>400</v>
      </c>
      <c r="C429" s="330">
        <v>2026</v>
      </c>
      <c r="D429" s="59">
        <v>14725051.000000002</v>
      </c>
      <c r="E429" s="6">
        <f>D429*'16-PlantAdditions'!$E$103</f>
        <v>1104378.8250000002</v>
      </c>
      <c r="F429" s="6">
        <f t="shared" si="111"/>
        <v>15829429.825000003</v>
      </c>
      <c r="G429" s="59">
        <v>0</v>
      </c>
      <c r="H429" s="59">
        <v>0</v>
      </c>
      <c r="I429" s="6">
        <f>(G429-H429)*'16-PlantAdditions'!$E$103</f>
        <v>0</v>
      </c>
      <c r="J429" s="6">
        <f t="shared" si="109"/>
        <v>303863442.27499998</v>
      </c>
      <c r="K429" s="6">
        <f t="shared" si="112"/>
        <v>198365399.47499996</v>
      </c>
    </row>
    <row r="430" spans="1:12" ht="13">
      <c r="A430" s="2">
        <f t="shared" si="110"/>
        <v>327</v>
      </c>
      <c r="B430" s="329" t="s">
        <v>388</v>
      </c>
      <c r="C430" s="330">
        <v>2026</v>
      </c>
      <c r="D430" s="59">
        <v>14925306</v>
      </c>
      <c r="E430" s="6">
        <f>D430*'16-PlantAdditions'!$E$103</f>
        <v>1119397.95</v>
      </c>
      <c r="F430" s="6">
        <f t="shared" si="111"/>
        <v>16044703.949999999</v>
      </c>
      <c r="G430" s="59">
        <v>0</v>
      </c>
      <c r="H430" s="59">
        <v>0</v>
      </c>
      <c r="I430" s="6">
        <f>(G430-H430)*'16-PlantAdditions'!$E$103</f>
        <v>0</v>
      </c>
      <c r="J430" s="6">
        <f t="shared" si="109"/>
        <v>319908146.22499996</v>
      </c>
      <c r="K430" s="6">
        <f t="shared" si="112"/>
        <v>214410103.42499995</v>
      </c>
    </row>
    <row r="431" spans="1:12" ht="13">
      <c r="A431" s="2">
        <f t="shared" si="110"/>
        <v>328</v>
      </c>
      <c r="B431" s="329" t="s">
        <v>390</v>
      </c>
      <c r="C431" s="330">
        <v>2027</v>
      </c>
      <c r="D431" s="59">
        <v>5569112.9999999991</v>
      </c>
      <c r="E431" s="6">
        <f>D431*'16-PlantAdditions'!$E$103</f>
        <v>417683.47499999992</v>
      </c>
      <c r="F431" s="6">
        <f t="shared" si="111"/>
        <v>5986796.4749999987</v>
      </c>
      <c r="G431" s="59">
        <v>0</v>
      </c>
      <c r="H431" s="59">
        <v>0</v>
      </c>
      <c r="I431" s="6">
        <f>(G431-H431)*'16-PlantAdditions'!$E$103</f>
        <v>0</v>
      </c>
      <c r="J431" s="6">
        <f t="shared" si="109"/>
        <v>325894942.69999999</v>
      </c>
      <c r="K431" s="6">
        <f t="shared" si="112"/>
        <v>220396899.89999998</v>
      </c>
    </row>
    <row r="432" spans="1:12" ht="13">
      <c r="A432" s="2">
        <f t="shared" si="110"/>
        <v>329</v>
      </c>
      <c r="B432" s="329" t="s">
        <v>391</v>
      </c>
      <c r="C432" s="330">
        <v>2027</v>
      </c>
      <c r="D432" s="59">
        <v>5569109</v>
      </c>
      <c r="E432" s="6">
        <f>D432*'16-PlantAdditions'!$E$103</f>
        <v>417683.17499999999</v>
      </c>
      <c r="F432" s="6">
        <f t="shared" si="111"/>
        <v>5986792.1749999998</v>
      </c>
      <c r="G432" s="59">
        <v>0</v>
      </c>
      <c r="H432" s="59">
        <v>0</v>
      </c>
      <c r="I432" s="6">
        <f>(G432-H432)*'16-PlantAdditions'!$E$103</f>
        <v>0</v>
      </c>
      <c r="J432" s="6">
        <f t="shared" si="109"/>
        <v>331881734.875</v>
      </c>
      <c r="K432" s="6">
        <f t="shared" si="112"/>
        <v>226383692.07499999</v>
      </c>
    </row>
    <row r="433" spans="1:11" ht="13">
      <c r="A433" s="2">
        <f t="shared" si="110"/>
        <v>330</v>
      </c>
      <c r="B433" s="329" t="s">
        <v>392</v>
      </c>
      <c r="C433" s="330">
        <v>2027</v>
      </c>
      <c r="D433" s="59">
        <v>5569109</v>
      </c>
      <c r="E433" s="6">
        <f>D433*'16-PlantAdditions'!$E$103</f>
        <v>417683.17499999999</v>
      </c>
      <c r="F433" s="6">
        <f t="shared" si="111"/>
        <v>5986792.1749999998</v>
      </c>
      <c r="G433" s="59">
        <v>0</v>
      </c>
      <c r="H433" s="59">
        <v>0</v>
      </c>
      <c r="I433" s="6">
        <f>(G433-H433)*'16-PlantAdditions'!$E$103</f>
        <v>0</v>
      </c>
      <c r="J433" s="6">
        <f t="shared" si="109"/>
        <v>337868527.05000001</v>
      </c>
      <c r="K433" s="6">
        <f t="shared" si="112"/>
        <v>232370484.25</v>
      </c>
    </row>
    <row r="434" spans="1:11" ht="13">
      <c r="A434" s="2">
        <f t="shared" si="110"/>
        <v>331</v>
      </c>
      <c r="B434" s="329" t="s">
        <v>393</v>
      </c>
      <c r="C434" s="330">
        <v>2027</v>
      </c>
      <c r="D434" s="59">
        <v>5569109</v>
      </c>
      <c r="E434" s="6">
        <f>D434*'16-PlantAdditions'!$E$103</f>
        <v>417683.17499999999</v>
      </c>
      <c r="F434" s="6">
        <f t="shared" si="111"/>
        <v>5986792.1749999998</v>
      </c>
      <c r="G434" s="59">
        <v>0</v>
      </c>
      <c r="H434" s="59">
        <v>0</v>
      </c>
      <c r="I434" s="6">
        <f>(G434-H434)*'16-PlantAdditions'!$E$103</f>
        <v>0</v>
      </c>
      <c r="J434" s="6">
        <f t="shared" si="109"/>
        <v>343855319.22500002</v>
      </c>
      <c r="K434" s="6">
        <f t="shared" si="112"/>
        <v>238357276.42500001</v>
      </c>
    </row>
    <row r="435" spans="1:11" ht="13">
      <c r="A435" s="2">
        <f t="shared" si="110"/>
        <v>332</v>
      </c>
      <c r="B435" s="329" t="s">
        <v>394</v>
      </c>
      <c r="C435" s="330">
        <v>2027</v>
      </c>
      <c r="D435" s="59">
        <v>5569109</v>
      </c>
      <c r="E435" s="6">
        <f>D435*'16-PlantAdditions'!$E$103</f>
        <v>417683.17499999999</v>
      </c>
      <c r="F435" s="6">
        <f t="shared" si="111"/>
        <v>5986792.1749999998</v>
      </c>
      <c r="G435" s="59">
        <v>0</v>
      </c>
      <c r="H435" s="59">
        <v>0</v>
      </c>
      <c r="I435" s="6">
        <f>(G435-H435)*'16-PlantAdditions'!$E$103</f>
        <v>0</v>
      </c>
      <c r="J435" s="6">
        <f t="shared" si="109"/>
        <v>349842111.40000004</v>
      </c>
      <c r="K435" s="6">
        <f t="shared" si="112"/>
        <v>244344068.60000002</v>
      </c>
    </row>
    <row r="436" spans="1:11" ht="13">
      <c r="A436" s="2">
        <f t="shared" si="110"/>
        <v>333</v>
      </c>
      <c r="B436" s="329" t="s">
        <v>608</v>
      </c>
      <c r="C436" s="330">
        <v>2027</v>
      </c>
      <c r="D436" s="59">
        <v>5569109</v>
      </c>
      <c r="E436" s="6">
        <f>D436*'16-PlantAdditions'!$E$103</f>
        <v>417683.17499999999</v>
      </c>
      <c r="F436" s="6">
        <f t="shared" si="111"/>
        <v>5986792.1749999998</v>
      </c>
      <c r="G436" s="59">
        <v>0</v>
      </c>
      <c r="H436" s="59">
        <v>0</v>
      </c>
      <c r="I436" s="6">
        <f>(G436-H436)*'16-PlantAdditions'!$E$103</f>
        <v>0</v>
      </c>
      <c r="J436" s="6">
        <f t="shared" si="109"/>
        <v>355828903.57500005</v>
      </c>
      <c r="K436" s="6">
        <f t="shared" si="112"/>
        <v>250330860.77500004</v>
      </c>
    </row>
    <row r="437" spans="1:11" ht="13">
      <c r="A437" s="2">
        <f t="shared" si="110"/>
        <v>334</v>
      </c>
      <c r="B437" s="329" t="s">
        <v>396</v>
      </c>
      <c r="C437" s="330">
        <v>2027</v>
      </c>
      <c r="D437" s="59">
        <v>5569109</v>
      </c>
      <c r="E437" s="6">
        <f>D437*'16-PlantAdditions'!$E$103</f>
        <v>417683.17499999999</v>
      </c>
      <c r="F437" s="6">
        <f t="shared" si="111"/>
        <v>5986792.1749999998</v>
      </c>
      <c r="G437" s="59">
        <v>0</v>
      </c>
      <c r="H437" s="59">
        <v>0</v>
      </c>
      <c r="I437" s="6">
        <f>(G437-H437)*'16-PlantAdditions'!$E$103</f>
        <v>0</v>
      </c>
      <c r="J437" s="6">
        <f t="shared" si="109"/>
        <v>361815695.75000006</v>
      </c>
      <c r="K437" s="6">
        <f t="shared" si="112"/>
        <v>256317652.95000005</v>
      </c>
    </row>
    <row r="438" spans="1:11" ht="13">
      <c r="A438" s="2">
        <f t="shared" si="110"/>
        <v>335</v>
      </c>
      <c r="B438" s="329" t="s">
        <v>397</v>
      </c>
      <c r="C438" s="330">
        <v>2027</v>
      </c>
      <c r="D438" s="59">
        <v>5569109</v>
      </c>
      <c r="E438" s="6">
        <f>D438*'16-PlantAdditions'!$E$103</f>
        <v>417683.17499999999</v>
      </c>
      <c r="F438" s="6">
        <f t="shared" si="111"/>
        <v>5986792.1749999998</v>
      </c>
      <c r="G438" s="59">
        <v>0</v>
      </c>
      <c r="H438" s="59">
        <v>0</v>
      </c>
      <c r="I438" s="6">
        <f>(G438-H438)*'16-PlantAdditions'!$E$103</f>
        <v>0</v>
      </c>
      <c r="J438" s="6">
        <f t="shared" si="109"/>
        <v>367802487.92500007</v>
      </c>
      <c r="K438" s="6">
        <f t="shared" si="112"/>
        <v>262304445.12500006</v>
      </c>
    </row>
    <row r="439" spans="1:11" ht="13">
      <c r="A439" s="2">
        <f t="shared" si="110"/>
        <v>336</v>
      </c>
      <c r="B439" s="329" t="s">
        <v>398</v>
      </c>
      <c r="C439" s="330">
        <v>2027</v>
      </c>
      <c r="D439" s="59">
        <v>5569109</v>
      </c>
      <c r="E439" s="6">
        <f>D439*'16-PlantAdditions'!$E$103</f>
        <v>417683.17499999999</v>
      </c>
      <c r="F439" s="6">
        <f t="shared" si="111"/>
        <v>5986792.1749999998</v>
      </c>
      <c r="G439" s="59">
        <v>0</v>
      </c>
      <c r="H439" s="59">
        <v>0</v>
      </c>
      <c r="I439" s="6">
        <f>(G439-H439)*'16-PlantAdditions'!$E$103</f>
        <v>0</v>
      </c>
      <c r="J439" s="6">
        <f t="shared" si="109"/>
        <v>373789280.10000008</v>
      </c>
      <c r="K439" s="6">
        <f t="shared" si="112"/>
        <v>268291237.30000007</v>
      </c>
    </row>
    <row r="440" spans="1:11" ht="13">
      <c r="A440" s="2">
        <f t="shared" si="110"/>
        <v>337</v>
      </c>
      <c r="B440" s="329" t="s">
        <v>399</v>
      </c>
      <c r="C440" s="330">
        <v>2027</v>
      </c>
      <c r="D440" s="59">
        <v>5569109</v>
      </c>
      <c r="E440" s="6">
        <f>D440*'16-PlantAdditions'!$E$103</f>
        <v>417683.17499999999</v>
      </c>
      <c r="F440" s="6">
        <f t="shared" si="111"/>
        <v>5986792.1749999998</v>
      </c>
      <c r="G440" s="59">
        <v>150946.57</v>
      </c>
      <c r="H440" s="59">
        <v>10946.57</v>
      </c>
      <c r="I440" s="6">
        <f>(G440-H440)*'16-PlantAdditions'!$E$103</f>
        <v>10500</v>
      </c>
      <c r="J440" s="6">
        <f t="shared" si="109"/>
        <v>379614625.7050001</v>
      </c>
      <c r="K440" s="6">
        <f t="shared" si="112"/>
        <v>274116582.90500009</v>
      </c>
    </row>
    <row r="441" spans="1:11" ht="13">
      <c r="A441" s="2">
        <f t="shared" si="110"/>
        <v>338</v>
      </c>
      <c r="B441" s="329" t="s">
        <v>400</v>
      </c>
      <c r="C441" s="330">
        <v>2027</v>
      </c>
      <c r="D441" s="59">
        <v>5569109</v>
      </c>
      <c r="E441" s="6">
        <f>D441*'16-PlantAdditions'!$E$103</f>
        <v>417683.17499999999</v>
      </c>
      <c r="F441" s="6">
        <f t="shared" si="111"/>
        <v>5986792.1749999998</v>
      </c>
      <c r="G441" s="59">
        <v>0</v>
      </c>
      <c r="H441" s="59">
        <v>0</v>
      </c>
      <c r="I441" s="6">
        <f>(G441-H441)*'16-PlantAdditions'!$E$103</f>
        <v>0</v>
      </c>
      <c r="J441" s="6">
        <f t="shared" si="109"/>
        <v>385601417.88000011</v>
      </c>
      <c r="K441" s="6">
        <f t="shared" si="112"/>
        <v>280103375.0800001</v>
      </c>
    </row>
    <row r="442" spans="1:11" ht="13">
      <c r="A442" s="2">
        <f t="shared" si="110"/>
        <v>339</v>
      </c>
      <c r="B442" s="329" t="s">
        <v>388</v>
      </c>
      <c r="C442" s="330">
        <v>2027</v>
      </c>
      <c r="D442" s="59">
        <v>5434109</v>
      </c>
      <c r="E442" s="6">
        <f>D442*'16-PlantAdditions'!$E$103</f>
        <v>407558.17499999999</v>
      </c>
      <c r="F442" s="6">
        <f t="shared" si="111"/>
        <v>5841667.1749999998</v>
      </c>
      <c r="G442" s="59">
        <v>0</v>
      </c>
      <c r="H442" s="59">
        <v>0</v>
      </c>
      <c r="I442" s="6">
        <f>(G442-H442)*'16-PlantAdditions'!$E$103</f>
        <v>0</v>
      </c>
      <c r="J442" s="6">
        <f t="shared" si="109"/>
        <v>391443085.05500013</v>
      </c>
      <c r="K442" s="53">
        <f t="shared" si="112"/>
        <v>285945042.25500011</v>
      </c>
    </row>
    <row r="443" spans="1:11" ht="13">
      <c r="A443" s="2">
        <f t="shared" si="110"/>
        <v>340</v>
      </c>
      <c r="C443" s="351" t="s">
        <v>1095</v>
      </c>
      <c r="H443" s="239"/>
      <c r="I443" s="239"/>
      <c r="K443" s="42">
        <f>AVERAGE(K430:K442)</f>
        <v>250282440.08192307</v>
      </c>
    </row>
    <row r="445" spans="1:11" ht="13">
      <c r="B445" s="34" t="s">
        <v>1121</v>
      </c>
      <c r="D445" s="1207" t="s">
        <v>1077</v>
      </c>
      <c r="E445" s="1207"/>
    </row>
    <row r="446" spans="1:11" ht="13">
      <c r="A446" s="3"/>
      <c r="B446" s="3"/>
      <c r="C446" s="3"/>
      <c r="D446" s="3" t="s">
        <v>345</v>
      </c>
      <c r="E446" s="3" t="s">
        <v>346</v>
      </c>
      <c r="F446" s="3" t="s">
        <v>347</v>
      </c>
      <c r="G446" s="3" t="s">
        <v>348</v>
      </c>
      <c r="H446" s="3" t="s">
        <v>349</v>
      </c>
      <c r="I446" s="3" t="s">
        <v>350</v>
      </c>
      <c r="J446" s="3" t="s">
        <v>351</v>
      </c>
      <c r="K446" s="3" t="s">
        <v>352</v>
      </c>
    </row>
    <row r="447" spans="1:11" ht="25.5">
      <c r="D447" s="48"/>
      <c r="E447" s="352" t="s">
        <v>1099</v>
      </c>
      <c r="F447" s="239" t="s">
        <v>1100</v>
      </c>
      <c r="G447" s="239"/>
      <c r="H447" s="48"/>
      <c r="I447" s="352" t="s">
        <v>1101</v>
      </c>
      <c r="J447" s="352" t="s">
        <v>1102</v>
      </c>
      <c r="K447" s="352" t="s">
        <v>1103</v>
      </c>
    </row>
    <row r="448" spans="1:11" ht="13">
      <c r="D448" s="48"/>
      <c r="E448" s="352"/>
      <c r="F448" s="239"/>
      <c r="G448" s="4" t="str">
        <f>G118</f>
        <v>Unloaded</v>
      </c>
      <c r="H448" s="48"/>
      <c r="I448" s="352"/>
      <c r="J448" s="352"/>
      <c r="K448" s="352"/>
    </row>
    <row r="449" spans="1:11" ht="13">
      <c r="A449" s="2"/>
      <c r="B449" s="2"/>
      <c r="C449" s="2"/>
      <c r="D449" s="2" t="str">
        <f>D$52</f>
        <v>Forecast</v>
      </c>
      <c r="E449" s="2" t="str">
        <f t="shared" ref="E449:J449" si="113">E$52</f>
        <v>Corporate</v>
      </c>
      <c r="F449" s="2" t="str">
        <f t="shared" si="113"/>
        <v xml:space="preserve">Total </v>
      </c>
      <c r="G449" s="4" t="str">
        <f>G119</f>
        <v>Total</v>
      </c>
      <c r="H449" s="2" t="str">
        <f t="shared" si="113"/>
        <v>Prior Period</v>
      </c>
      <c r="I449" s="2" t="str">
        <f t="shared" si="113"/>
        <v>Over Heads</v>
      </c>
      <c r="J449" s="2" t="str">
        <f t="shared" si="113"/>
        <v>Forecast</v>
      </c>
      <c r="K449" s="2" t="str">
        <f>K$52</f>
        <v>Forecast Period</v>
      </c>
    </row>
    <row r="450" spans="1:11" ht="13">
      <c r="A450" s="30" t="s">
        <v>282</v>
      </c>
      <c r="B450" s="328" t="s">
        <v>380</v>
      </c>
      <c r="C450" s="328" t="s">
        <v>381</v>
      </c>
      <c r="D450" s="3" t="str">
        <f>D$53</f>
        <v>Expenditures</v>
      </c>
      <c r="E450" s="3" t="str">
        <f t="shared" ref="E450:J450" si="114">E$53</f>
        <v>Overheads</v>
      </c>
      <c r="F450" s="3" t="str">
        <f t="shared" si="114"/>
        <v>CWIP Exp</v>
      </c>
      <c r="G450" s="48" t="str">
        <f>G120</f>
        <v>Plant Adds</v>
      </c>
      <c r="H450" s="3" t="str">
        <f t="shared" si="114"/>
        <v>CWIP Closed</v>
      </c>
      <c r="I450" s="3" t="str">
        <f t="shared" si="114"/>
        <v>Closed to PIS</v>
      </c>
      <c r="J450" s="3" t="str">
        <f t="shared" si="114"/>
        <v>Period CWIP</v>
      </c>
      <c r="K450" s="3" t="str">
        <f>K$53</f>
        <v>Incremental CWIP</v>
      </c>
    </row>
    <row r="451" spans="1:11" ht="13">
      <c r="A451" s="2">
        <f>A443+1</f>
        <v>341</v>
      </c>
      <c r="B451" s="329" t="s">
        <v>388</v>
      </c>
      <c r="C451" s="330">
        <v>2025</v>
      </c>
      <c r="D451" s="239" t="s">
        <v>389</v>
      </c>
      <c r="E451" s="239" t="s">
        <v>389</v>
      </c>
      <c r="F451" s="239" t="s">
        <v>389</v>
      </c>
      <c r="G451" s="239" t="s">
        <v>389</v>
      </c>
      <c r="H451" s="239" t="s">
        <v>389</v>
      </c>
      <c r="I451" s="239" t="s">
        <v>389</v>
      </c>
      <c r="J451" s="6">
        <f>J45</f>
        <v>3773552.79</v>
      </c>
      <c r="K451" s="239" t="s">
        <v>389</v>
      </c>
    </row>
    <row r="452" spans="1:11" ht="13">
      <c r="A452" s="2">
        <f>A451+1</f>
        <v>342</v>
      </c>
      <c r="B452" s="329" t="s">
        <v>390</v>
      </c>
      <c r="C452" s="330">
        <v>2026</v>
      </c>
      <c r="D452" s="59">
        <v>12448</v>
      </c>
      <c r="E452" s="6">
        <f>D452*'16-PlantAdditions'!$E$103</f>
        <v>933.59999999999991</v>
      </c>
      <c r="F452" s="6">
        <f>E452+D452</f>
        <v>13381.6</v>
      </c>
      <c r="G452" s="59">
        <v>0</v>
      </c>
      <c r="H452" s="59">
        <v>0</v>
      </c>
      <c r="I452" s="6">
        <f>(G452-H452)*'16-PlantAdditions'!$E$103</f>
        <v>0</v>
      </c>
      <c r="J452" s="6">
        <f>J451+F452-G452-I452</f>
        <v>3786934.39</v>
      </c>
      <c r="K452" s="6">
        <f>J452-$J$451</f>
        <v>13381.600000000093</v>
      </c>
    </row>
    <row r="453" spans="1:11" ht="13">
      <c r="A453" s="2">
        <f t="shared" ref="A453:A476" si="115">A452+1</f>
        <v>343</v>
      </c>
      <c r="B453" s="329" t="s">
        <v>391</v>
      </c>
      <c r="C453" s="330">
        <v>2026</v>
      </c>
      <c r="D453" s="59">
        <v>5388</v>
      </c>
      <c r="E453" s="6">
        <f>D453*'16-PlantAdditions'!$E$103</f>
        <v>404.09999999999997</v>
      </c>
      <c r="F453" s="6">
        <f t="shared" ref="F453:F475" si="116">E453+D453</f>
        <v>5792.1</v>
      </c>
      <c r="G453" s="59">
        <v>0</v>
      </c>
      <c r="H453" s="59">
        <v>0</v>
      </c>
      <c r="I453" s="6">
        <f>(G453-H453)*'16-PlantAdditions'!$E$103</f>
        <v>0</v>
      </c>
      <c r="J453" s="6">
        <f t="shared" ref="J453:J475" si="117">J452+F453-G453-I453</f>
        <v>3792726.49</v>
      </c>
      <c r="K453" s="6">
        <f>J453-$J$451</f>
        <v>19173.700000000186</v>
      </c>
    </row>
    <row r="454" spans="1:11" ht="13">
      <c r="A454" s="2">
        <f t="shared" si="115"/>
        <v>344</v>
      </c>
      <c r="B454" s="329" t="s">
        <v>392</v>
      </c>
      <c r="C454" s="330">
        <v>2026</v>
      </c>
      <c r="D454" s="59">
        <v>20000</v>
      </c>
      <c r="E454" s="6">
        <f>D454*'16-PlantAdditions'!$E$103</f>
        <v>1500</v>
      </c>
      <c r="F454" s="6">
        <f t="shared" si="116"/>
        <v>21500</v>
      </c>
      <c r="G454" s="59">
        <v>0</v>
      </c>
      <c r="H454" s="59">
        <v>0</v>
      </c>
      <c r="I454" s="6">
        <f>(G454-H454)*'16-PlantAdditions'!$E$103</f>
        <v>0</v>
      </c>
      <c r="J454" s="6">
        <f t="shared" si="117"/>
        <v>3814226.49</v>
      </c>
      <c r="K454" s="6">
        <f>J454-$J$451</f>
        <v>40673.700000000186</v>
      </c>
    </row>
    <row r="455" spans="1:11" ht="13">
      <c r="A455" s="2">
        <f t="shared" si="115"/>
        <v>345</v>
      </c>
      <c r="B455" s="329" t="s">
        <v>393</v>
      </c>
      <c r="C455" s="330">
        <v>2026</v>
      </c>
      <c r="D455" s="59">
        <v>50000</v>
      </c>
      <c r="E455" s="6">
        <f>D455*'16-PlantAdditions'!$E$103</f>
        <v>3750</v>
      </c>
      <c r="F455" s="6">
        <f t="shared" si="116"/>
        <v>53750</v>
      </c>
      <c r="G455" s="59">
        <v>0</v>
      </c>
      <c r="H455" s="59">
        <v>0</v>
      </c>
      <c r="I455" s="6">
        <f>(G455-H455)*'16-PlantAdditions'!$E$103</f>
        <v>0</v>
      </c>
      <c r="J455" s="6">
        <f t="shared" si="117"/>
        <v>3867976.49</v>
      </c>
      <c r="K455" s="6">
        <f t="shared" ref="K455:K475" si="118">J455-$J$451</f>
        <v>94423.700000000186</v>
      </c>
    </row>
    <row r="456" spans="1:11" ht="13">
      <c r="A456" s="2">
        <f t="shared" si="115"/>
        <v>346</v>
      </c>
      <c r="B456" s="329" t="s">
        <v>394</v>
      </c>
      <c r="C456" s="330">
        <v>2026</v>
      </c>
      <c r="D456" s="59">
        <v>50000</v>
      </c>
      <c r="E456" s="6">
        <f>D456*'16-PlantAdditions'!$E$103</f>
        <v>3750</v>
      </c>
      <c r="F456" s="6">
        <f t="shared" si="116"/>
        <v>53750</v>
      </c>
      <c r="G456" s="59">
        <v>0</v>
      </c>
      <c r="H456" s="59">
        <v>0</v>
      </c>
      <c r="I456" s="6">
        <f>(G456-H456)*'16-PlantAdditions'!$E$103</f>
        <v>0</v>
      </c>
      <c r="J456" s="6">
        <f t="shared" si="117"/>
        <v>3921726.49</v>
      </c>
      <c r="K456" s="6">
        <f t="shared" si="118"/>
        <v>148173.70000000019</v>
      </c>
    </row>
    <row r="457" spans="1:11" ht="13">
      <c r="A457" s="2">
        <f t="shared" si="115"/>
        <v>347</v>
      </c>
      <c r="B457" s="329" t="s">
        <v>608</v>
      </c>
      <c r="C457" s="330">
        <v>2026</v>
      </c>
      <c r="D457" s="59">
        <v>50000</v>
      </c>
      <c r="E457" s="6">
        <f>D457*'16-PlantAdditions'!$E$103</f>
        <v>3750</v>
      </c>
      <c r="F457" s="6">
        <f t="shared" si="116"/>
        <v>53750</v>
      </c>
      <c r="G457" s="59">
        <v>0</v>
      </c>
      <c r="H457" s="59">
        <v>0</v>
      </c>
      <c r="I457" s="6">
        <f>(G457-H457)*'16-PlantAdditions'!$E$103</f>
        <v>0</v>
      </c>
      <c r="J457" s="6">
        <f t="shared" si="117"/>
        <v>3975476.49</v>
      </c>
      <c r="K457" s="6">
        <f t="shared" si="118"/>
        <v>201923.70000000019</v>
      </c>
    </row>
    <row r="458" spans="1:11" ht="13">
      <c r="A458" s="2">
        <f t="shared" si="115"/>
        <v>348</v>
      </c>
      <c r="B458" s="329" t="s">
        <v>396</v>
      </c>
      <c r="C458" s="330">
        <v>2026</v>
      </c>
      <c r="D458" s="59">
        <v>0</v>
      </c>
      <c r="E458" s="6">
        <f>D458*'16-PlantAdditions'!$E$103</f>
        <v>0</v>
      </c>
      <c r="F458" s="6">
        <f t="shared" si="116"/>
        <v>0</v>
      </c>
      <c r="G458" s="59">
        <v>0</v>
      </c>
      <c r="H458" s="59">
        <v>0</v>
      </c>
      <c r="I458" s="6">
        <f>(G458-H458)*'16-PlantAdditions'!$E$103</f>
        <v>0</v>
      </c>
      <c r="J458" s="6">
        <f t="shared" si="117"/>
        <v>3975476.49</v>
      </c>
      <c r="K458" s="6">
        <f t="shared" si="118"/>
        <v>201923.70000000019</v>
      </c>
    </row>
    <row r="459" spans="1:11" ht="13">
      <c r="A459" s="2">
        <f t="shared" si="115"/>
        <v>349</v>
      </c>
      <c r="B459" s="329" t="s">
        <v>397</v>
      </c>
      <c r="C459" s="330">
        <v>2026</v>
      </c>
      <c r="D459" s="59">
        <v>0</v>
      </c>
      <c r="E459" s="6">
        <f>D459*'16-PlantAdditions'!$E$103</f>
        <v>0</v>
      </c>
      <c r="F459" s="6">
        <f t="shared" si="116"/>
        <v>0</v>
      </c>
      <c r="G459" s="59">
        <v>0</v>
      </c>
      <c r="H459" s="59">
        <v>0</v>
      </c>
      <c r="I459" s="6">
        <f>(G459-H459)*'16-PlantAdditions'!$E$103</f>
        <v>0</v>
      </c>
      <c r="J459" s="6">
        <f t="shared" si="117"/>
        <v>3975476.49</v>
      </c>
      <c r="K459" s="6">
        <f t="shared" si="118"/>
        <v>201923.70000000019</v>
      </c>
    </row>
    <row r="460" spans="1:11" ht="13">
      <c r="A460" s="2">
        <f t="shared" si="115"/>
        <v>350</v>
      </c>
      <c r="B460" s="329" t="s">
        <v>398</v>
      </c>
      <c r="C460" s="330">
        <v>2026</v>
      </c>
      <c r="D460" s="59">
        <v>0</v>
      </c>
      <c r="E460" s="6">
        <f>D460*'16-PlantAdditions'!$E$103</f>
        <v>0</v>
      </c>
      <c r="F460" s="6">
        <f t="shared" si="116"/>
        <v>0</v>
      </c>
      <c r="G460" s="59">
        <v>0</v>
      </c>
      <c r="H460" s="59">
        <v>0</v>
      </c>
      <c r="I460" s="6">
        <f>(G460-H460)*'16-PlantAdditions'!$E$103</f>
        <v>0</v>
      </c>
      <c r="J460" s="6">
        <f t="shared" si="117"/>
        <v>3975476.49</v>
      </c>
      <c r="K460" s="6">
        <f t="shared" si="118"/>
        <v>201923.70000000019</v>
      </c>
    </row>
    <row r="461" spans="1:11" ht="13">
      <c r="A461" s="2">
        <f t="shared" si="115"/>
        <v>351</v>
      </c>
      <c r="B461" s="329" t="s">
        <v>399</v>
      </c>
      <c r="C461" s="330">
        <v>2026</v>
      </c>
      <c r="D461" s="59">
        <v>0</v>
      </c>
      <c r="E461" s="6">
        <f>D461*'16-PlantAdditions'!$E$103</f>
        <v>0</v>
      </c>
      <c r="F461" s="6">
        <f t="shared" si="116"/>
        <v>0</v>
      </c>
      <c r="G461" s="59">
        <v>0</v>
      </c>
      <c r="H461" s="59">
        <v>0</v>
      </c>
      <c r="I461" s="6">
        <f>(G461-H461)*'16-PlantAdditions'!$E$103</f>
        <v>0</v>
      </c>
      <c r="J461" s="6">
        <f t="shared" si="117"/>
        <v>3975476.49</v>
      </c>
      <c r="K461" s="6">
        <f t="shared" si="118"/>
        <v>201923.70000000019</v>
      </c>
    </row>
    <row r="462" spans="1:11" ht="13">
      <c r="A462" s="2">
        <f t="shared" si="115"/>
        <v>352</v>
      </c>
      <c r="B462" s="329" t="s">
        <v>400</v>
      </c>
      <c r="C462" s="330">
        <v>2026</v>
      </c>
      <c r="D462" s="59">
        <v>0</v>
      </c>
      <c r="E462" s="6">
        <f>D462*'16-PlantAdditions'!$E$103</f>
        <v>0</v>
      </c>
      <c r="F462" s="6">
        <f t="shared" si="116"/>
        <v>0</v>
      </c>
      <c r="G462" s="59">
        <v>0</v>
      </c>
      <c r="H462" s="59">
        <v>0</v>
      </c>
      <c r="I462" s="6">
        <f>(G462-H462)*'16-PlantAdditions'!$E$103</f>
        <v>0</v>
      </c>
      <c r="J462" s="6">
        <f t="shared" si="117"/>
        <v>3975476.49</v>
      </c>
      <c r="K462" s="6">
        <f t="shared" si="118"/>
        <v>201923.70000000019</v>
      </c>
    </row>
    <row r="463" spans="1:11" ht="13">
      <c r="A463" s="2">
        <f t="shared" si="115"/>
        <v>353</v>
      </c>
      <c r="B463" s="329" t="s">
        <v>388</v>
      </c>
      <c r="C463" s="330">
        <v>2026</v>
      </c>
      <c r="D463" s="59">
        <v>0</v>
      </c>
      <c r="E463" s="6">
        <f>D463*'16-PlantAdditions'!$E$103</f>
        <v>0</v>
      </c>
      <c r="F463" s="6">
        <f t="shared" si="116"/>
        <v>0</v>
      </c>
      <c r="G463" s="59">
        <v>0</v>
      </c>
      <c r="H463" s="59">
        <v>0</v>
      </c>
      <c r="I463" s="6">
        <f>(G463-H463)*'16-PlantAdditions'!$E$103</f>
        <v>0</v>
      </c>
      <c r="J463" s="6">
        <f t="shared" si="117"/>
        <v>3975476.49</v>
      </c>
      <c r="K463" s="6">
        <f t="shared" si="118"/>
        <v>201923.70000000019</v>
      </c>
    </row>
    <row r="464" spans="1:11" ht="13">
      <c r="A464" s="2">
        <f t="shared" si="115"/>
        <v>354</v>
      </c>
      <c r="B464" s="329" t="s">
        <v>390</v>
      </c>
      <c r="C464" s="330">
        <v>2027</v>
      </c>
      <c r="D464" s="59">
        <v>0</v>
      </c>
      <c r="E464" s="6">
        <f>D464*'16-PlantAdditions'!$E$103</f>
        <v>0</v>
      </c>
      <c r="F464" s="6">
        <f t="shared" si="116"/>
        <v>0</v>
      </c>
      <c r="G464" s="59">
        <v>0</v>
      </c>
      <c r="H464" s="59">
        <v>0</v>
      </c>
      <c r="I464" s="6">
        <f>(G464-H464)*'16-PlantAdditions'!$E$103</f>
        <v>0</v>
      </c>
      <c r="J464" s="6">
        <f t="shared" si="117"/>
        <v>3975476.49</v>
      </c>
      <c r="K464" s="6">
        <f t="shared" si="118"/>
        <v>201923.70000000019</v>
      </c>
    </row>
    <row r="465" spans="1:12" ht="13">
      <c r="A465" s="2">
        <f t="shared" si="115"/>
        <v>355</v>
      </c>
      <c r="B465" s="329" t="s">
        <v>391</v>
      </c>
      <c r="C465" s="330">
        <v>2027</v>
      </c>
      <c r="D465" s="59">
        <v>0</v>
      </c>
      <c r="E465" s="6">
        <f>D465*'16-PlantAdditions'!$E$103</f>
        <v>0</v>
      </c>
      <c r="F465" s="6">
        <f t="shared" si="116"/>
        <v>0</v>
      </c>
      <c r="G465" s="59">
        <v>0</v>
      </c>
      <c r="H465" s="59">
        <v>0</v>
      </c>
      <c r="I465" s="6">
        <f>(G465-H465)*'16-PlantAdditions'!$E$103</f>
        <v>0</v>
      </c>
      <c r="J465" s="6">
        <f t="shared" si="117"/>
        <v>3975476.49</v>
      </c>
      <c r="K465" s="6">
        <f t="shared" si="118"/>
        <v>201923.70000000019</v>
      </c>
    </row>
    <row r="466" spans="1:12" ht="13">
      <c r="A466" s="2">
        <f t="shared" si="115"/>
        <v>356</v>
      </c>
      <c r="B466" s="329" t="s">
        <v>392</v>
      </c>
      <c r="C466" s="330">
        <v>2027</v>
      </c>
      <c r="D466" s="59">
        <v>0</v>
      </c>
      <c r="E466" s="6">
        <f>D466*'16-PlantAdditions'!$E$103</f>
        <v>0</v>
      </c>
      <c r="F466" s="6">
        <f t="shared" si="116"/>
        <v>0</v>
      </c>
      <c r="G466" s="59">
        <v>0</v>
      </c>
      <c r="H466" s="59">
        <v>0</v>
      </c>
      <c r="I466" s="6">
        <f>(G466-H466)*'16-PlantAdditions'!$E$103</f>
        <v>0</v>
      </c>
      <c r="J466" s="6">
        <f t="shared" si="117"/>
        <v>3975476.49</v>
      </c>
      <c r="K466" s="6">
        <f t="shared" si="118"/>
        <v>201923.70000000019</v>
      </c>
    </row>
    <row r="467" spans="1:12" ht="13">
      <c r="A467" s="2">
        <f t="shared" si="115"/>
        <v>357</v>
      </c>
      <c r="B467" s="329" t="s">
        <v>393</v>
      </c>
      <c r="C467" s="330">
        <v>2027</v>
      </c>
      <c r="D467" s="59">
        <v>0</v>
      </c>
      <c r="E467" s="6">
        <f>D467*'16-PlantAdditions'!$E$103</f>
        <v>0</v>
      </c>
      <c r="F467" s="6">
        <f t="shared" si="116"/>
        <v>0</v>
      </c>
      <c r="G467" s="59">
        <v>0</v>
      </c>
      <c r="H467" s="59">
        <v>0</v>
      </c>
      <c r="I467" s="6">
        <f>(G467-H467)*'16-PlantAdditions'!$E$103</f>
        <v>0</v>
      </c>
      <c r="J467" s="6">
        <f t="shared" si="117"/>
        <v>3975476.49</v>
      </c>
      <c r="K467" s="6">
        <f t="shared" si="118"/>
        <v>201923.70000000019</v>
      </c>
    </row>
    <row r="468" spans="1:12" ht="13">
      <c r="A468" s="2">
        <f t="shared" si="115"/>
        <v>358</v>
      </c>
      <c r="B468" s="329" t="s">
        <v>394</v>
      </c>
      <c r="C468" s="330">
        <v>2027</v>
      </c>
      <c r="D468" s="59">
        <v>0</v>
      </c>
      <c r="E468" s="6">
        <f>D468*'16-PlantAdditions'!$E$103</f>
        <v>0</v>
      </c>
      <c r="F468" s="6">
        <f t="shared" si="116"/>
        <v>0</v>
      </c>
      <c r="G468" s="59">
        <v>0</v>
      </c>
      <c r="H468" s="59">
        <v>0</v>
      </c>
      <c r="I468" s="6">
        <f>(G468-H468)*'16-PlantAdditions'!$E$103</f>
        <v>0</v>
      </c>
      <c r="J468" s="6">
        <f t="shared" si="117"/>
        <v>3975476.49</v>
      </c>
      <c r="K468" s="6">
        <f t="shared" si="118"/>
        <v>201923.70000000019</v>
      </c>
    </row>
    <row r="469" spans="1:12" ht="13">
      <c r="A469" s="2">
        <f t="shared" si="115"/>
        <v>359</v>
      </c>
      <c r="B469" s="329" t="s">
        <v>608</v>
      </c>
      <c r="C469" s="330">
        <v>2027</v>
      </c>
      <c r="D469" s="59">
        <v>0</v>
      </c>
      <c r="E469" s="6">
        <f>D469*'16-PlantAdditions'!$E$103</f>
        <v>0</v>
      </c>
      <c r="F469" s="6">
        <f t="shared" si="116"/>
        <v>0</v>
      </c>
      <c r="G469" s="59">
        <v>0</v>
      </c>
      <c r="H469" s="59">
        <v>0</v>
      </c>
      <c r="I469" s="6">
        <f>(G469-H469)*'16-PlantAdditions'!$E$103</f>
        <v>0</v>
      </c>
      <c r="J469" s="6">
        <f t="shared" si="117"/>
        <v>3975476.49</v>
      </c>
      <c r="K469" s="6">
        <f t="shared" si="118"/>
        <v>201923.70000000019</v>
      </c>
    </row>
    <row r="470" spans="1:12" ht="13">
      <c r="A470" s="2">
        <f t="shared" si="115"/>
        <v>360</v>
      </c>
      <c r="B470" s="329" t="s">
        <v>396</v>
      </c>
      <c r="C470" s="330">
        <v>2027</v>
      </c>
      <c r="D470" s="59">
        <v>0</v>
      </c>
      <c r="E470" s="6">
        <f>D470*'16-PlantAdditions'!$E$103</f>
        <v>0</v>
      </c>
      <c r="F470" s="6">
        <f t="shared" si="116"/>
        <v>0</v>
      </c>
      <c r="G470" s="59">
        <v>0</v>
      </c>
      <c r="H470" s="59">
        <v>0</v>
      </c>
      <c r="I470" s="6">
        <f>(G470-H470)*'16-PlantAdditions'!$E$103</f>
        <v>0</v>
      </c>
      <c r="J470" s="6">
        <f t="shared" si="117"/>
        <v>3975476.49</v>
      </c>
      <c r="K470" s="6">
        <f t="shared" si="118"/>
        <v>201923.70000000019</v>
      </c>
    </row>
    <row r="471" spans="1:12" ht="13">
      <c r="A471" s="2">
        <f t="shared" si="115"/>
        <v>361</v>
      </c>
      <c r="B471" s="329" t="s">
        <v>397</v>
      </c>
      <c r="C471" s="330">
        <v>2027</v>
      </c>
      <c r="D471" s="59">
        <v>0</v>
      </c>
      <c r="E471" s="6">
        <f>D471*'16-PlantAdditions'!$E$103</f>
        <v>0</v>
      </c>
      <c r="F471" s="6">
        <f t="shared" si="116"/>
        <v>0</v>
      </c>
      <c r="G471" s="59">
        <v>0</v>
      </c>
      <c r="H471" s="59">
        <v>0</v>
      </c>
      <c r="I471" s="6">
        <f>(G471-H471)*'16-PlantAdditions'!$E$103</f>
        <v>0</v>
      </c>
      <c r="J471" s="6">
        <f t="shared" si="117"/>
        <v>3975476.49</v>
      </c>
      <c r="K471" s="6">
        <f t="shared" si="118"/>
        <v>201923.70000000019</v>
      </c>
    </row>
    <row r="472" spans="1:12" ht="13">
      <c r="A472" s="2">
        <f t="shared" si="115"/>
        <v>362</v>
      </c>
      <c r="B472" s="329" t="s">
        <v>398</v>
      </c>
      <c r="C472" s="330">
        <v>2027</v>
      </c>
      <c r="D472" s="59">
        <v>0</v>
      </c>
      <c r="E472" s="6">
        <f>D472*'16-PlantAdditions'!$E$103</f>
        <v>0</v>
      </c>
      <c r="F472" s="6">
        <f t="shared" si="116"/>
        <v>0</v>
      </c>
      <c r="G472" s="59">
        <v>0</v>
      </c>
      <c r="H472" s="59">
        <v>0</v>
      </c>
      <c r="I472" s="6">
        <f>(G472-H472)*'16-PlantAdditions'!$E$103</f>
        <v>0</v>
      </c>
      <c r="J472" s="6">
        <f t="shared" si="117"/>
        <v>3975476.49</v>
      </c>
      <c r="K472" s="6">
        <f t="shared" si="118"/>
        <v>201923.70000000019</v>
      </c>
    </row>
    <row r="473" spans="1:12" ht="13">
      <c r="A473" s="2">
        <f t="shared" si="115"/>
        <v>363</v>
      </c>
      <c r="B473" s="329" t="s">
        <v>399</v>
      </c>
      <c r="C473" s="330">
        <v>2027</v>
      </c>
      <c r="D473" s="59">
        <v>0</v>
      </c>
      <c r="E473" s="6">
        <f>D473*'16-PlantAdditions'!$E$103</f>
        <v>0</v>
      </c>
      <c r="F473" s="6">
        <f t="shared" si="116"/>
        <v>0</v>
      </c>
      <c r="G473" s="59">
        <v>0</v>
      </c>
      <c r="H473" s="59">
        <v>0</v>
      </c>
      <c r="I473" s="6">
        <f>(G473-H473)*'16-PlantAdditions'!$E$103</f>
        <v>0</v>
      </c>
      <c r="J473" s="6">
        <f t="shared" si="117"/>
        <v>3975476.49</v>
      </c>
      <c r="K473" s="6">
        <f t="shared" si="118"/>
        <v>201923.70000000019</v>
      </c>
    </row>
    <row r="474" spans="1:12" ht="13">
      <c r="A474" s="2">
        <f t="shared" si="115"/>
        <v>364</v>
      </c>
      <c r="B474" s="329" t="s">
        <v>400</v>
      </c>
      <c r="C474" s="330">
        <v>2027</v>
      </c>
      <c r="D474" s="59">
        <v>0</v>
      </c>
      <c r="E474" s="6">
        <f>D474*'16-PlantAdditions'!$E$103</f>
        <v>0</v>
      </c>
      <c r="F474" s="6">
        <f t="shared" si="116"/>
        <v>0</v>
      </c>
      <c r="G474" s="59">
        <v>0</v>
      </c>
      <c r="H474" s="59">
        <v>0</v>
      </c>
      <c r="I474" s="6">
        <f>(G474-H474)*'16-PlantAdditions'!$E$103</f>
        <v>0</v>
      </c>
      <c r="J474" s="6">
        <f t="shared" si="117"/>
        <v>3975476.49</v>
      </c>
      <c r="K474" s="6">
        <f t="shared" si="118"/>
        <v>201923.70000000019</v>
      </c>
    </row>
    <row r="475" spans="1:12" ht="13">
      <c r="A475" s="2">
        <f t="shared" si="115"/>
        <v>365</v>
      </c>
      <c r="B475" s="329" t="s">
        <v>388</v>
      </c>
      <c r="C475" s="330">
        <v>2027</v>
      </c>
      <c r="D475" s="59">
        <v>0</v>
      </c>
      <c r="E475" s="6">
        <f>D475*'16-PlantAdditions'!$E$103</f>
        <v>0</v>
      </c>
      <c r="F475" s="6">
        <f t="shared" si="116"/>
        <v>0</v>
      </c>
      <c r="G475" s="59">
        <v>0</v>
      </c>
      <c r="H475" s="59">
        <v>0</v>
      </c>
      <c r="I475" s="6">
        <f>(G475-H475)*'16-PlantAdditions'!$E$103</f>
        <v>0</v>
      </c>
      <c r="J475" s="6">
        <f t="shared" si="117"/>
        <v>3975476.49</v>
      </c>
      <c r="K475" s="53">
        <f t="shared" si="118"/>
        <v>201923.70000000019</v>
      </c>
    </row>
    <row r="476" spans="1:12" ht="13">
      <c r="A476" s="2">
        <f t="shared" si="115"/>
        <v>366</v>
      </c>
      <c r="C476" s="351" t="s">
        <v>1095</v>
      </c>
      <c r="H476" s="239"/>
      <c r="I476" s="239"/>
      <c r="K476" s="42">
        <f>AVERAGE(K463:K475)</f>
        <v>201923.70000000019</v>
      </c>
    </row>
    <row r="477" spans="1:12" ht="13">
      <c r="A477" s="2"/>
      <c r="C477" s="351"/>
      <c r="H477" s="239"/>
      <c r="I477" s="239"/>
      <c r="K477" s="42"/>
    </row>
    <row r="478" spans="1:12" ht="13">
      <c r="A478" s="233"/>
      <c r="B478" s="34" t="s">
        <v>1122</v>
      </c>
      <c r="C478" s="233"/>
      <c r="D478" s="1207" t="s">
        <v>1123</v>
      </c>
      <c r="E478" s="1207"/>
      <c r="F478" s="233"/>
      <c r="G478" s="233"/>
      <c r="H478" s="233"/>
      <c r="I478" s="233"/>
      <c r="J478" s="233"/>
      <c r="K478" s="233"/>
      <c r="L478" s="233"/>
    </row>
    <row r="479" spans="1:12" ht="13">
      <c r="A479" s="3"/>
      <c r="B479" s="3"/>
      <c r="C479" s="3"/>
      <c r="D479" s="3" t="s">
        <v>345</v>
      </c>
      <c r="E479" s="3" t="s">
        <v>346</v>
      </c>
      <c r="F479" s="3" t="s">
        <v>347</v>
      </c>
      <c r="G479" s="3" t="s">
        <v>348</v>
      </c>
      <c r="H479" s="3" t="s">
        <v>349</v>
      </c>
      <c r="I479" s="3" t="s">
        <v>350</v>
      </c>
      <c r="J479" s="3" t="s">
        <v>351</v>
      </c>
      <c r="K479" s="3" t="s">
        <v>352</v>
      </c>
      <c r="L479" s="233"/>
    </row>
    <row r="480" spans="1:12" ht="25.5">
      <c r="A480" s="233"/>
      <c r="B480" s="233"/>
      <c r="C480" s="233"/>
      <c r="D480" s="48"/>
      <c r="E480" s="352" t="s">
        <v>1099</v>
      </c>
      <c r="F480" s="239" t="s">
        <v>1100</v>
      </c>
      <c r="G480" s="239"/>
      <c r="H480" s="48"/>
      <c r="I480" s="352" t="s">
        <v>1101</v>
      </c>
      <c r="J480" s="352" t="s">
        <v>1102</v>
      </c>
      <c r="K480" s="352" t="s">
        <v>1103</v>
      </c>
      <c r="L480" s="233"/>
    </row>
    <row r="481" spans="1:12" ht="13">
      <c r="A481" s="233"/>
      <c r="B481" s="233"/>
      <c r="C481" s="233"/>
      <c r="D481" s="48"/>
      <c r="E481" s="352"/>
      <c r="F481" s="239"/>
      <c r="G481" s="4">
        <f>G150</f>
        <v>0</v>
      </c>
      <c r="H481" s="48"/>
      <c r="I481" s="352"/>
      <c r="J481" s="352"/>
      <c r="K481" s="352"/>
      <c r="L481" s="233"/>
    </row>
    <row r="482" spans="1:12" ht="13">
      <c r="A482" s="2"/>
      <c r="B482" s="2"/>
      <c r="C482" s="2"/>
      <c r="D482" s="2" t="str">
        <f>D$52</f>
        <v>Forecast</v>
      </c>
      <c r="E482" s="2" t="str">
        <f t="shared" ref="E482:J482" si="119">E$52</f>
        <v>Corporate</v>
      </c>
      <c r="F482" s="2" t="str">
        <f t="shared" si="119"/>
        <v xml:space="preserve">Total </v>
      </c>
      <c r="G482" s="4" t="str">
        <f>G151</f>
        <v>Unloaded</v>
      </c>
      <c r="H482" s="2" t="str">
        <f t="shared" si="119"/>
        <v>Prior Period</v>
      </c>
      <c r="I482" s="2" t="str">
        <f t="shared" si="119"/>
        <v>Over Heads</v>
      </c>
      <c r="J482" s="2" t="str">
        <f t="shared" si="119"/>
        <v>Forecast</v>
      </c>
      <c r="K482" s="2" t="str">
        <f>K$52</f>
        <v>Forecast Period</v>
      </c>
      <c r="L482" s="233"/>
    </row>
    <row r="483" spans="1:12" ht="13">
      <c r="A483" s="30" t="s">
        <v>282</v>
      </c>
      <c r="B483" s="328" t="s">
        <v>380</v>
      </c>
      <c r="C483" s="328" t="s">
        <v>381</v>
      </c>
      <c r="D483" s="3" t="str">
        <f>D$53</f>
        <v>Expenditures</v>
      </c>
      <c r="E483" s="3" t="str">
        <f t="shared" ref="E483:J483" si="120">E$53</f>
        <v>Overheads</v>
      </c>
      <c r="F483" s="3" t="str">
        <f t="shared" si="120"/>
        <v>CWIP Exp</v>
      </c>
      <c r="G483" s="48" t="str">
        <f>G152</f>
        <v>Total</v>
      </c>
      <c r="H483" s="3" t="str">
        <f t="shared" si="120"/>
        <v>CWIP Closed</v>
      </c>
      <c r="I483" s="3" t="str">
        <f t="shared" si="120"/>
        <v>Closed to PIS</v>
      </c>
      <c r="J483" s="3" t="str">
        <f t="shared" si="120"/>
        <v>Period CWIP</v>
      </c>
      <c r="K483" s="3" t="str">
        <f>K$53</f>
        <v>Incremental CWIP</v>
      </c>
      <c r="L483" s="233"/>
    </row>
    <row r="484" spans="1:12" ht="13">
      <c r="A484" s="2">
        <f>A476+1</f>
        <v>367</v>
      </c>
      <c r="B484" s="329" t="s">
        <v>388</v>
      </c>
      <c r="C484" s="330">
        <v>2025</v>
      </c>
      <c r="D484" s="239" t="s">
        <v>389</v>
      </c>
      <c r="E484" s="239" t="s">
        <v>389</v>
      </c>
      <c r="F484" s="239" t="s">
        <v>389</v>
      </c>
      <c r="G484" s="239" t="s">
        <v>389</v>
      </c>
      <c r="H484" s="239" t="s">
        <v>389</v>
      </c>
      <c r="I484" s="239" t="s">
        <v>389</v>
      </c>
      <c r="J484" s="235">
        <f>+K45</f>
        <v>4943069</v>
      </c>
      <c r="K484" s="239" t="s">
        <v>389</v>
      </c>
      <c r="L484" s="233"/>
    </row>
    <row r="485" spans="1:12" ht="13">
      <c r="A485" s="2">
        <f>A484+1</f>
        <v>368</v>
      </c>
      <c r="B485" s="329" t="s">
        <v>390</v>
      </c>
      <c r="C485" s="330">
        <v>2026</v>
      </c>
      <c r="D485" s="253">
        <v>31518</v>
      </c>
      <c r="E485" s="235">
        <f>D485*'16-PlantAdditions'!$E$103</f>
        <v>2363.85</v>
      </c>
      <c r="F485" s="235">
        <f>E485+D485</f>
        <v>33881.85</v>
      </c>
      <c r="G485" s="253">
        <v>0</v>
      </c>
      <c r="H485" s="253">
        <v>0</v>
      </c>
      <c r="I485" s="235">
        <f>(G485-H485)*'16-PlantAdditions'!$E$103</f>
        <v>0</v>
      </c>
      <c r="J485" s="235">
        <f>J484+F485-G485-I485</f>
        <v>4976950.8499999996</v>
      </c>
      <c r="K485" s="235">
        <f>J485-$J$484</f>
        <v>33881.849999999627</v>
      </c>
      <c r="L485" s="233"/>
    </row>
    <row r="486" spans="1:12" ht="13">
      <c r="A486" s="2">
        <f t="shared" ref="A486:A509" si="121">A485+1</f>
        <v>369</v>
      </c>
      <c r="B486" s="329" t="s">
        <v>391</v>
      </c>
      <c r="C486" s="330">
        <v>2026</v>
      </c>
      <c r="D486" s="253">
        <v>35348.000000000007</v>
      </c>
      <c r="E486" s="235">
        <f>D486*'16-PlantAdditions'!$E$103</f>
        <v>2651.1000000000004</v>
      </c>
      <c r="F486" s="235">
        <f t="shared" ref="F486:F508" si="122">E486+D486</f>
        <v>37999.100000000006</v>
      </c>
      <c r="G486" s="253">
        <v>0</v>
      </c>
      <c r="H486" s="253">
        <v>0</v>
      </c>
      <c r="I486" s="235">
        <f>(G486-H486)*'16-PlantAdditions'!$E$103</f>
        <v>0</v>
      </c>
      <c r="J486" s="235">
        <f t="shared" ref="J486:J508" si="123">J485+F486-G486-I486</f>
        <v>5014949.9499999993</v>
      </c>
      <c r="K486" s="235">
        <f t="shared" ref="K486:K508" si="124">J486-$J$484</f>
        <v>71880.949999999255</v>
      </c>
      <c r="L486" s="233"/>
    </row>
    <row r="487" spans="1:12" ht="13">
      <c r="A487" s="2">
        <f t="shared" si="121"/>
        <v>370</v>
      </c>
      <c r="B487" s="329" t="s">
        <v>392</v>
      </c>
      <c r="C487" s="330">
        <v>2026</v>
      </c>
      <c r="D487" s="253">
        <v>232854</v>
      </c>
      <c r="E487" s="235">
        <f>D487*'16-PlantAdditions'!$E$103</f>
        <v>17464.05</v>
      </c>
      <c r="F487" s="235">
        <f t="shared" si="122"/>
        <v>250318.05</v>
      </c>
      <c r="G487" s="253">
        <v>0</v>
      </c>
      <c r="H487" s="253">
        <v>0</v>
      </c>
      <c r="I487" s="235">
        <f>(G487-H487)*'16-PlantAdditions'!$E$103</f>
        <v>0</v>
      </c>
      <c r="J487" s="235">
        <f t="shared" si="123"/>
        <v>5265267.9999999991</v>
      </c>
      <c r="K487" s="235">
        <f t="shared" si="124"/>
        <v>322198.99999999907</v>
      </c>
      <c r="L487" s="233"/>
    </row>
    <row r="488" spans="1:12" ht="13">
      <c r="A488" s="2">
        <f t="shared" si="121"/>
        <v>371</v>
      </c>
      <c r="B488" s="329" t="s">
        <v>393</v>
      </c>
      <c r="C488" s="330">
        <v>2026</v>
      </c>
      <c r="D488" s="253">
        <v>237750</v>
      </c>
      <c r="E488" s="235">
        <f>D488*'16-PlantAdditions'!$E$103</f>
        <v>17831.25</v>
      </c>
      <c r="F488" s="235">
        <f t="shared" si="122"/>
        <v>255581.25</v>
      </c>
      <c r="G488" s="253">
        <v>0</v>
      </c>
      <c r="H488" s="253">
        <v>0</v>
      </c>
      <c r="I488" s="235">
        <f>(G488-H488)*'16-PlantAdditions'!$E$103</f>
        <v>0</v>
      </c>
      <c r="J488" s="235">
        <f t="shared" si="123"/>
        <v>5520849.2499999991</v>
      </c>
      <c r="K488" s="235">
        <f t="shared" si="124"/>
        <v>577780.24999999907</v>
      </c>
      <c r="L488" s="233"/>
    </row>
    <row r="489" spans="1:12" ht="13">
      <c r="A489" s="2">
        <f t="shared" si="121"/>
        <v>372</v>
      </c>
      <c r="B489" s="329" t="s">
        <v>394</v>
      </c>
      <c r="C489" s="330">
        <v>2026</v>
      </c>
      <c r="D489" s="253">
        <v>237750</v>
      </c>
      <c r="E489" s="235">
        <f>D489*'16-PlantAdditions'!$E$103</f>
        <v>17831.25</v>
      </c>
      <c r="F489" s="235">
        <f t="shared" si="122"/>
        <v>255581.25</v>
      </c>
      <c r="G489" s="253">
        <v>0</v>
      </c>
      <c r="H489" s="253">
        <v>0</v>
      </c>
      <c r="I489" s="235">
        <f>(G489-H489)*'16-PlantAdditions'!$E$103</f>
        <v>0</v>
      </c>
      <c r="J489" s="235">
        <f t="shared" si="123"/>
        <v>5776430.4999999991</v>
      </c>
      <c r="K489" s="235">
        <f t="shared" si="124"/>
        <v>833361.49999999907</v>
      </c>
      <c r="L489" s="233"/>
    </row>
    <row r="490" spans="1:12" ht="13">
      <c r="A490" s="2">
        <f t="shared" si="121"/>
        <v>373</v>
      </c>
      <c r="B490" s="329" t="s">
        <v>608</v>
      </c>
      <c r="C490" s="330">
        <v>2026</v>
      </c>
      <c r="D490" s="253">
        <v>237750</v>
      </c>
      <c r="E490" s="235">
        <f>D490*'16-PlantAdditions'!$E$103</f>
        <v>17831.25</v>
      </c>
      <c r="F490" s="235">
        <f t="shared" si="122"/>
        <v>255581.25</v>
      </c>
      <c r="G490" s="253">
        <v>0</v>
      </c>
      <c r="H490" s="253">
        <v>0</v>
      </c>
      <c r="I490" s="235">
        <f>(G490-H490)*'16-PlantAdditions'!$E$103</f>
        <v>0</v>
      </c>
      <c r="J490" s="235">
        <f t="shared" si="123"/>
        <v>6032011.7499999991</v>
      </c>
      <c r="K490" s="235">
        <f t="shared" si="124"/>
        <v>1088942.7499999991</v>
      </c>
      <c r="L490" s="233"/>
    </row>
    <row r="491" spans="1:12" ht="13">
      <c r="A491" s="2">
        <f t="shared" si="121"/>
        <v>374</v>
      </c>
      <c r="B491" s="329" t="s">
        <v>396</v>
      </c>
      <c r="C491" s="330">
        <v>2026</v>
      </c>
      <c r="D491" s="253">
        <v>237750</v>
      </c>
      <c r="E491" s="235">
        <f>D491*'16-PlantAdditions'!$E$103</f>
        <v>17831.25</v>
      </c>
      <c r="F491" s="235">
        <f t="shared" si="122"/>
        <v>255581.25</v>
      </c>
      <c r="G491" s="253">
        <v>0</v>
      </c>
      <c r="H491" s="253">
        <v>0</v>
      </c>
      <c r="I491" s="235">
        <f>(G491-H491)*'16-PlantAdditions'!$E$103</f>
        <v>0</v>
      </c>
      <c r="J491" s="235">
        <f t="shared" si="123"/>
        <v>6287592.9999999991</v>
      </c>
      <c r="K491" s="235">
        <f t="shared" si="124"/>
        <v>1344523.9999999991</v>
      </c>
      <c r="L491" s="233"/>
    </row>
    <row r="492" spans="1:12" ht="13">
      <c r="A492" s="2">
        <f t="shared" si="121"/>
        <v>375</v>
      </c>
      <c r="B492" s="329" t="s">
        <v>397</v>
      </c>
      <c r="C492" s="330">
        <v>2026</v>
      </c>
      <c r="D492" s="253">
        <v>237750</v>
      </c>
      <c r="E492" s="235">
        <f>D492*'16-PlantAdditions'!$E$103</f>
        <v>17831.25</v>
      </c>
      <c r="F492" s="235">
        <f t="shared" si="122"/>
        <v>255581.25</v>
      </c>
      <c r="G492" s="253">
        <v>0</v>
      </c>
      <c r="H492" s="253">
        <v>0</v>
      </c>
      <c r="I492" s="235">
        <f>(G492-H492)*'16-PlantAdditions'!$E$103</f>
        <v>0</v>
      </c>
      <c r="J492" s="235">
        <f t="shared" si="123"/>
        <v>6543174.2499999991</v>
      </c>
      <c r="K492" s="235">
        <f t="shared" si="124"/>
        <v>1600105.2499999991</v>
      </c>
      <c r="L492" s="233"/>
    </row>
    <row r="493" spans="1:12" ht="13">
      <c r="A493" s="2">
        <f t="shared" si="121"/>
        <v>376</v>
      </c>
      <c r="B493" s="329" t="s">
        <v>398</v>
      </c>
      <c r="C493" s="330">
        <v>2026</v>
      </c>
      <c r="D493" s="253">
        <v>237750</v>
      </c>
      <c r="E493" s="235">
        <f>D493*'16-PlantAdditions'!$E$103</f>
        <v>17831.25</v>
      </c>
      <c r="F493" s="235">
        <f t="shared" si="122"/>
        <v>255581.25</v>
      </c>
      <c r="G493" s="253">
        <v>0</v>
      </c>
      <c r="H493" s="253">
        <v>0</v>
      </c>
      <c r="I493" s="235">
        <f>(G493-H493)*'16-PlantAdditions'!$E$103</f>
        <v>0</v>
      </c>
      <c r="J493" s="235">
        <f t="shared" si="123"/>
        <v>6798755.4999999991</v>
      </c>
      <c r="K493" s="235">
        <f t="shared" si="124"/>
        <v>1855686.4999999991</v>
      </c>
      <c r="L493" s="233"/>
    </row>
    <row r="494" spans="1:12" ht="13">
      <c r="A494" s="2">
        <f t="shared" si="121"/>
        <v>377</v>
      </c>
      <c r="B494" s="329" t="s">
        <v>399</v>
      </c>
      <c r="C494" s="330">
        <v>2026</v>
      </c>
      <c r="D494" s="253">
        <v>237750</v>
      </c>
      <c r="E494" s="235">
        <f>D494*'16-PlantAdditions'!$E$103</f>
        <v>17831.25</v>
      </c>
      <c r="F494" s="235">
        <f t="shared" si="122"/>
        <v>255581.25</v>
      </c>
      <c r="G494" s="253">
        <v>0</v>
      </c>
      <c r="H494" s="253">
        <v>0</v>
      </c>
      <c r="I494" s="235">
        <f>(G494-H494)*'16-PlantAdditions'!$E$103</f>
        <v>0</v>
      </c>
      <c r="J494" s="235">
        <f t="shared" si="123"/>
        <v>7054336.7499999991</v>
      </c>
      <c r="K494" s="235">
        <f t="shared" si="124"/>
        <v>2111267.7499999991</v>
      </c>
      <c r="L494" s="233"/>
    </row>
    <row r="495" spans="1:12" ht="13">
      <c r="A495" s="2">
        <f t="shared" si="121"/>
        <v>378</v>
      </c>
      <c r="B495" s="329" t="s">
        <v>400</v>
      </c>
      <c r="C495" s="330">
        <v>2026</v>
      </c>
      <c r="D495" s="253">
        <v>4914750</v>
      </c>
      <c r="E495" s="235">
        <f>D495*'16-PlantAdditions'!$E$103</f>
        <v>368606.25</v>
      </c>
      <c r="F495" s="235">
        <f t="shared" si="122"/>
        <v>5283356.25</v>
      </c>
      <c r="G495" s="253">
        <v>0</v>
      </c>
      <c r="H495" s="253">
        <v>0</v>
      </c>
      <c r="I495" s="235">
        <f>(G495-H495)*'16-PlantAdditions'!$E$103</f>
        <v>0</v>
      </c>
      <c r="J495" s="235">
        <f t="shared" si="123"/>
        <v>12337693</v>
      </c>
      <c r="K495" s="235">
        <f t="shared" si="124"/>
        <v>7394624</v>
      </c>
      <c r="L495" s="233"/>
    </row>
    <row r="496" spans="1:12" ht="13">
      <c r="A496" s="2">
        <f t="shared" si="121"/>
        <v>379</v>
      </c>
      <c r="B496" s="329" t="s">
        <v>388</v>
      </c>
      <c r="C496" s="330">
        <v>2026</v>
      </c>
      <c r="D496" s="253">
        <v>5104371</v>
      </c>
      <c r="E496" s="235">
        <f>D496*'16-PlantAdditions'!$E$103</f>
        <v>382827.82500000001</v>
      </c>
      <c r="F496" s="235">
        <f t="shared" si="122"/>
        <v>5487198.8250000002</v>
      </c>
      <c r="G496" s="253">
        <v>0</v>
      </c>
      <c r="H496" s="253">
        <v>0</v>
      </c>
      <c r="I496" s="235">
        <f>(G496-H496)*'16-PlantAdditions'!$E$103</f>
        <v>0</v>
      </c>
      <c r="J496" s="235">
        <f t="shared" si="123"/>
        <v>17824891.824999999</v>
      </c>
      <c r="K496" s="235">
        <f t="shared" si="124"/>
        <v>12881822.824999999</v>
      </c>
      <c r="L496" s="233"/>
    </row>
    <row r="497" spans="1:12" ht="13">
      <c r="A497" s="2">
        <f t="shared" si="121"/>
        <v>380</v>
      </c>
      <c r="B497" s="329" t="s">
        <v>390</v>
      </c>
      <c r="C497" s="330">
        <v>2027</v>
      </c>
      <c r="D497" s="253">
        <v>4154292.9999999995</v>
      </c>
      <c r="E497" s="235">
        <f>D497*'16-PlantAdditions'!$E$103</f>
        <v>311571.97499999998</v>
      </c>
      <c r="F497" s="235">
        <f t="shared" si="122"/>
        <v>4465864.9749999996</v>
      </c>
      <c r="G497" s="253">
        <v>0</v>
      </c>
      <c r="H497" s="253">
        <v>0</v>
      </c>
      <c r="I497" s="235">
        <f>(G497-H497)*'16-PlantAdditions'!$E$103</f>
        <v>0</v>
      </c>
      <c r="J497" s="235">
        <f t="shared" si="123"/>
        <v>22290756.799999997</v>
      </c>
      <c r="K497" s="235">
        <f t="shared" si="124"/>
        <v>17347687.799999997</v>
      </c>
      <c r="L497" s="233"/>
    </row>
    <row r="498" spans="1:12" ht="13">
      <c r="A498" s="2">
        <f t="shared" si="121"/>
        <v>381</v>
      </c>
      <c r="B498" s="329" t="s">
        <v>391</v>
      </c>
      <c r="C498" s="330">
        <v>2027</v>
      </c>
      <c r="D498" s="253">
        <v>14627293</v>
      </c>
      <c r="E498" s="235">
        <f>D498*'16-PlantAdditions'!$E$103</f>
        <v>1097046.9749999999</v>
      </c>
      <c r="F498" s="235">
        <f t="shared" si="122"/>
        <v>15724339.975</v>
      </c>
      <c r="G498" s="253">
        <v>0</v>
      </c>
      <c r="H498" s="253">
        <v>0</v>
      </c>
      <c r="I498" s="235">
        <f>(G498-H498)*'16-PlantAdditions'!$E$103</f>
        <v>0</v>
      </c>
      <c r="J498" s="235">
        <f t="shared" si="123"/>
        <v>38015096.774999999</v>
      </c>
      <c r="K498" s="235">
        <f t="shared" si="124"/>
        <v>33072027.774999999</v>
      </c>
      <c r="L498" s="233"/>
    </row>
    <row r="499" spans="1:12" ht="13">
      <c r="A499" s="2">
        <f t="shared" si="121"/>
        <v>382</v>
      </c>
      <c r="B499" s="329" t="s">
        <v>392</v>
      </c>
      <c r="C499" s="330">
        <v>2027</v>
      </c>
      <c r="D499" s="253">
        <v>4245293</v>
      </c>
      <c r="E499" s="235">
        <f>D499*'16-PlantAdditions'!$E$103</f>
        <v>318396.97499999998</v>
      </c>
      <c r="F499" s="235">
        <f t="shared" si="122"/>
        <v>4563689.9749999996</v>
      </c>
      <c r="G499" s="253">
        <v>0</v>
      </c>
      <c r="H499" s="253">
        <v>0</v>
      </c>
      <c r="I499" s="235">
        <f>(G499-H499)*'16-PlantAdditions'!$E$103</f>
        <v>0</v>
      </c>
      <c r="J499" s="235">
        <f t="shared" si="123"/>
        <v>42578786.75</v>
      </c>
      <c r="K499" s="235">
        <f t="shared" si="124"/>
        <v>37635717.75</v>
      </c>
      <c r="L499" s="233"/>
    </row>
    <row r="500" spans="1:12" ht="13">
      <c r="A500" s="2">
        <f t="shared" si="121"/>
        <v>383</v>
      </c>
      <c r="B500" s="329" t="s">
        <v>393</v>
      </c>
      <c r="C500" s="330">
        <v>2027</v>
      </c>
      <c r="D500" s="253">
        <v>4303293</v>
      </c>
      <c r="E500" s="235">
        <f>D500*'16-PlantAdditions'!$E$103</f>
        <v>322746.97499999998</v>
      </c>
      <c r="F500" s="235">
        <f t="shared" si="122"/>
        <v>4626039.9749999996</v>
      </c>
      <c r="G500" s="253">
        <v>12733331.68</v>
      </c>
      <c r="H500" s="253">
        <v>1381331.68</v>
      </c>
      <c r="I500" s="235">
        <f>(G500-H500)*'16-PlantAdditions'!$E$103</f>
        <v>851400</v>
      </c>
      <c r="J500" s="235">
        <f t="shared" si="123"/>
        <v>33620095.045000002</v>
      </c>
      <c r="K500" s="235">
        <f t="shared" si="124"/>
        <v>28677026.045000002</v>
      </c>
      <c r="L500" s="233"/>
    </row>
    <row r="501" spans="1:12" ht="13">
      <c r="A501" s="2">
        <f t="shared" si="121"/>
        <v>384</v>
      </c>
      <c r="B501" s="329" t="s">
        <v>394</v>
      </c>
      <c r="C501" s="330">
        <v>2027</v>
      </c>
      <c r="D501" s="253">
        <v>4417293</v>
      </c>
      <c r="E501" s="235">
        <f>D501*'16-PlantAdditions'!$E$103</f>
        <v>331296.97499999998</v>
      </c>
      <c r="F501" s="235">
        <f t="shared" si="122"/>
        <v>4748589.9749999996</v>
      </c>
      <c r="G501" s="253">
        <v>552000</v>
      </c>
      <c r="H501" s="253">
        <v>0</v>
      </c>
      <c r="I501" s="235">
        <f>(G501-H501)*'16-PlantAdditions'!$E$103</f>
        <v>41400</v>
      </c>
      <c r="J501" s="235">
        <f t="shared" si="123"/>
        <v>37775285.020000003</v>
      </c>
      <c r="K501" s="235">
        <f t="shared" si="124"/>
        <v>32832216.020000003</v>
      </c>
      <c r="L501" s="233"/>
    </row>
    <row r="502" spans="1:12" ht="13">
      <c r="A502" s="2">
        <f t="shared" si="121"/>
        <v>385</v>
      </c>
      <c r="B502" s="329" t="s">
        <v>608</v>
      </c>
      <c r="C502" s="330">
        <v>2027</v>
      </c>
      <c r="D502" s="253">
        <v>4417293</v>
      </c>
      <c r="E502" s="235">
        <f>D502*'16-PlantAdditions'!$E$103</f>
        <v>331296.97499999998</v>
      </c>
      <c r="F502" s="235">
        <f t="shared" si="122"/>
        <v>4748589.9749999996</v>
      </c>
      <c r="G502" s="253">
        <v>552000</v>
      </c>
      <c r="H502" s="253">
        <v>0</v>
      </c>
      <c r="I502" s="235">
        <f>(G502-H502)*'16-PlantAdditions'!$E$103</f>
        <v>41400</v>
      </c>
      <c r="J502" s="235">
        <f t="shared" si="123"/>
        <v>41930474.995000005</v>
      </c>
      <c r="K502" s="235">
        <f t="shared" si="124"/>
        <v>36987405.995000005</v>
      </c>
      <c r="L502" s="233"/>
    </row>
    <row r="503" spans="1:12" ht="13">
      <c r="A503" s="2">
        <f t="shared" si="121"/>
        <v>386</v>
      </c>
      <c r="B503" s="329" t="s">
        <v>396</v>
      </c>
      <c r="C503" s="330">
        <v>2027</v>
      </c>
      <c r="D503" s="253">
        <v>4969293</v>
      </c>
      <c r="E503" s="235">
        <f>D503*'16-PlantAdditions'!$E$103</f>
        <v>372696.97499999998</v>
      </c>
      <c r="F503" s="235">
        <f t="shared" si="122"/>
        <v>5341989.9749999996</v>
      </c>
      <c r="G503" s="253">
        <v>541000</v>
      </c>
      <c r="H503" s="253">
        <v>0</v>
      </c>
      <c r="I503" s="235">
        <f>(G503-H503)*'16-PlantAdditions'!$E$103</f>
        <v>40575</v>
      </c>
      <c r="J503" s="235">
        <f t="shared" si="123"/>
        <v>46690889.970000006</v>
      </c>
      <c r="K503" s="235">
        <f t="shared" si="124"/>
        <v>41747820.970000006</v>
      </c>
      <c r="L503" s="233"/>
    </row>
    <row r="504" spans="1:12" ht="13">
      <c r="A504" s="2">
        <f t="shared" si="121"/>
        <v>387</v>
      </c>
      <c r="B504" s="329" t="s">
        <v>397</v>
      </c>
      <c r="C504" s="330">
        <v>2027</v>
      </c>
      <c r="D504" s="253">
        <v>6004293</v>
      </c>
      <c r="E504" s="235">
        <f>D504*'16-PlantAdditions'!$E$103</f>
        <v>450321.97499999998</v>
      </c>
      <c r="F504" s="235">
        <f t="shared" si="122"/>
        <v>6454614.9749999996</v>
      </c>
      <c r="G504" s="253">
        <v>1576000</v>
      </c>
      <c r="H504" s="253">
        <v>0</v>
      </c>
      <c r="I504" s="235">
        <f>(G504-H504)*'16-PlantAdditions'!$E$103</f>
        <v>118200</v>
      </c>
      <c r="J504" s="235">
        <f t="shared" si="123"/>
        <v>51451304.945000008</v>
      </c>
      <c r="K504" s="235">
        <f t="shared" si="124"/>
        <v>46508235.945000008</v>
      </c>
      <c r="L504" s="233"/>
    </row>
    <row r="505" spans="1:12" ht="13">
      <c r="A505" s="2">
        <f t="shared" si="121"/>
        <v>388</v>
      </c>
      <c r="B505" s="329" t="s">
        <v>398</v>
      </c>
      <c r="C505" s="330">
        <v>2027</v>
      </c>
      <c r="D505" s="253">
        <v>10237293</v>
      </c>
      <c r="E505" s="235">
        <f>D505*'16-PlantAdditions'!$E$103</f>
        <v>767796.97499999998</v>
      </c>
      <c r="F505" s="235">
        <f t="shared" si="122"/>
        <v>11005089.975</v>
      </c>
      <c r="G505" s="253">
        <v>4325000</v>
      </c>
      <c r="H505" s="253">
        <v>0</v>
      </c>
      <c r="I505" s="235">
        <f>(G505-H505)*'16-PlantAdditions'!$E$103</f>
        <v>324375</v>
      </c>
      <c r="J505" s="235">
        <f t="shared" si="123"/>
        <v>57807019.920000009</v>
      </c>
      <c r="K505" s="235">
        <f t="shared" si="124"/>
        <v>52863950.920000009</v>
      </c>
      <c r="L505" s="233"/>
    </row>
    <row r="506" spans="1:12" ht="13">
      <c r="A506" s="2">
        <f t="shared" si="121"/>
        <v>389</v>
      </c>
      <c r="B506" s="329" t="s">
        <v>399</v>
      </c>
      <c r="C506" s="330">
        <v>2027</v>
      </c>
      <c r="D506" s="253">
        <v>16562292.999999998</v>
      </c>
      <c r="E506" s="235">
        <f>D506*'16-PlantAdditions'!$E$103</f>
        <v>1242171.9749999999</v>
      </c>
      <c r="F506" s="235">
        <f t="shared" si="122"/>
        <v>17804464.974999998</v>
      </c>
      <c r="G506" s="253">
        <v>6625000</v>
      </c>
      <c r="H506" s="253">
        <v>0</v>
      </c>
      <c r="I506" s="235">
        <f>(G506-H506)*'16-PlantAdditions'!$E$103</f>
        <v>496875</v>
      </c>
      <c r="J506" s="235">
        <f t="shared" si="123"/>
        <v>68489609.895000011</v>
      </c>
      <c r="K506" s="235">
        <f t="shared" si="124"/>
        <v>63546540.895000011</v>
      </c>
      <c r="L506" s="233"/>
    </row>
    <row r="507" spans="1:12" ht="13">
      <c r="A507" s="2">
        <f t="shared" si="121"/>
        <v>390</v>
      </c>
      <c r="B507" s="329" t="s">
        <v>400</v>
      </c>
      <c r="C507" s="330">
        <v>2027</v>
      </c>
      <c r="D507" s="253">
        <v>9562958</v>
      </c>
      <c r="E507" s="235">
        <f>D507*'16-PlantAdditions'!$E$103</f>
        <v>717221.85</v>
      </c>
      <c r="F507" s="235">
        <f t="shared" si="122"/>
        <v>10280179.85</v>
      </c>
      <c r="G507" s="253">
        <v>2600000</v>
      </c>
      <c r="H507" s="253">
        <v>0</v>
      </c>
      <c r="I507" s="235">
        <f>(G507-H507)*'16-PlantAdditions'!$E$103</f>
        <v>195000</v>
      </c>
      <c r="J507" s="235">
        <f t="shared" si="123"/>
        <v>75974789.745000005</v>
      </c>
      <c r="K507" s="235">
        <f t="shared" si="124"/>
        <v>71031720.745000005</v>
      </c>
      <c r="L507" s="233"/>
    </row>
    <row r="508" spans="1:12" ht="13">
      <c r="A508" s="2">
        <f t="shared" si="121"/>
        <v>391</v>
      </c>
      <c r="B508" s="329" t="s">
        <v>388</v>
      </c>
      <c r="C508" s="330">
        <v>2027</v>
      </c>
      <c r="D508" s="253">
        <v>6406293</v>
      </c>
      <c r="E508" s="235">
        <f>D508*'16-PlantAdditions'!$E$103</f>
        <v>480471.97499999998</v>
      </c>
      <c r="F508" s="235">
        <f t="shared" si="122"/>
        <v>6886764.9749999996</v>
      </c>
      <c r="G508" s="253">
        <v>30999042.809999999</v>
      </c>
      <c r="H508" s="253">
        <v>997042.81</v>
      </c>
      <c r="I508" s="235">
        <f>(G508-H508)*'16-PlantAdditions'!$E$103</f>
        <v>2250150</v>
      </c>
      <c r="J508" s="235">
        <f t="shared" si="123"/>
        <v>49612361.909999996</v>
      </c>
      <c r="K508" s="53">
        <f t="shared" si="124"/>
        <v>44669292.909999996</v>
      </c>
      <c r="L508" s="233"/>
    </row>
    <row r="509" spans="1:12" ht="13">
      <c r="A509" s="2">
        <f t="shared" si="121"/>
        <v>392</v>
      </c>
      <c r="B509" s="233"/>
      <c r="C509" s="351" t="s">
        <v>1095</v>
      </c>
      <c r="D509" s="233"/>
      <c r="E509" s="233"/>
      <c r="F509" s="233"/>
      <c r="G509" s="233"/>
      <c r="H509" s="239"/>
      <c r="I509" s="239"/>
      <c r="J509" s="233"/>
      <c r="K509" s="42">
        <f>AVERAGE(K496:K508)</f>
        <v>39984728.199615389</v>
      </c>
      <c r="L509" s="233"/>
    </row>
    <row r="510" spans="1:12" ht="13">
      <c r="A510" s="603"/>
      <c r="B510" s="586"/>
      <c r="C510" s="1059"/>
      <c r="H510" s="239"/>
      <c r="I510" s="239"/>
      <c r="K510" s="42"/>
    </row>
    <row r="511" spans="1:12" ht="13">
      <c r="B511" s="1071" t="s">
        <v>1124</v>
      </c>
      <c r="C511" s="233"/>
      <c r="D511" s="1070" t="s">
        <v>1125</v>
      </c>
      <c r="E511" s="240"/>
      <c r="F511" s="240"/>
      <c r="G511" s="240"/>
      <c r="H511" s="233"/>
    </row>
    <row r="512" spans="1:12" ht="13">
      <c r="A512" s="3"/>
      <c r="B512" s="3"/>
      <c r="C512" s="3"/>
      <c r="D512" s="3" t="s">
        <v>345</v>
      </c>
      <c r="E512" s="3" t="s">
        <v>346</v>
      </c>
      <c r="F512" s="3" t="s">
        <v>347</v>
      </c>
      <c r="G512" s="3" t="s">
        <v>348</v>
      </c>
      <c r="H512" s="3" t="s">
        <v>349</v>
      </c>
      <c r="I512" s="3" t="s">
        <v>350</v>
      </c>
      <c r="J512" s="3" t="s">
        <v>351</v>
      </c>
      <c r="K512" s="3" t="s">
        <v>352</v>
      </c>
      <c r="L512" s="233"/>
    </row>
    <row r="513" spans="1:12" ht="25.5">
      <c r="A513" s="233"/>
      <c r="B513" s="233"/>
      <c r="C513" s="233"/>
      <c r="D513" s="48"/>
      <c r="E513" s="352" t="s">
        <v>1099</v>
      </c>
      <c r="F513" s="239" t="s">
        <v>1100</v>
      </c>
      <c r="G513" s="239"/>
      <c r="H513" s="48"/>
      <c r="I513" s="352" t="s">
        <v>1101</v>
      </c>
      <c r="J513" s="352" t="s">
        <v>1102</v>
      </c>
      <c r="K513" s="352" t="s">
        <v>1103</v>
      </c>
      <c r="L513" s="233"/>
    </row>
    <row r="514" spans="1:12" ht="13">
      <c r="A514" s="233"/>
      <c r="B514" s="233"/>
      <c r="C514" s="233"/>
      <c r="D514" s="48"/>
      <c r="E514" s="352"/>
      <c r="F514" s="239"/>
      <c r="G514" s="4" t="str">
        <f>G182</f>
        <v>Col 4</v>
      </c>
      <c r="H514" s="48"/>
      <c r="I514" s="352"/>
      <c r="J514" s="352"/>
      <c r="K514" s="352"/>
      <c r="L514" s="233"/>
    </row>
    <row r="515" spans="1:12" ht="13">
      <c r="A515" s="2"/>
      <c r="B515" s="2"/>
      <c r="C515" s="2"/>
      <c r="D515" s="2" t="str">
        <f>D$52</f>
        <v>Forecast</v>
      </c>
      <c r="E515" s="2" t="str">
        <f t="shared" ref="E515:J515" si="125">E$52</f>
        <v>Corporate</v>
      </c>
      <c r="F515" s="2" t="str">
        <f t="shared" si="125"/>
        <v xml:space="preserve">Total </v>
      </c>
      <c r="G515" s="4">
        <f>G183</f>
        <v>0</v>
      </c>
      <c r="H515" s="2" t="str">
        <f t="shared" si="125"/>
        <v>Prior Period</v>
      </c>
      <c r="I515" s="2" t="str">
        <f t="shared" si="125"/>
        <v>Over Heads</v>
      </c>
      <c r="J515" s="2" t="str">
        <f t="shared" si="125"/>
        <v>Forecast</v>
      </c>
      <c r="K515" s="2" t="str">
        <f>K$52</f>
        <v>Forecast Period</v>
      </c>
      <c r="L515" s="233"/>
    </row>
    <row r="516" spans="1:12" ht="13">
      <c r="A516" s="30" t="s">
        <v>282</v>
      </c>
      <c r="B516" s="328" t="s">
        <v>380</v>
      </c>
      <c r="C516" s="328" t="s">
        <v>381</v>
      </c>
      <c r="D516" s="3" t="str">
        <f>D$53</f>
        <v>Expenditures</v>
      </c>
      <c r="E516" s="3" t="str">
        <f t="shared" ref="E516:J516" si="126">E$53</f>
        <v>Overheads</v>
      </c>
      <c r="F516" s="3" t="str">
        <f t="shared" si="126"/>
        <v>CWIP Exp</v>
      </c>
      <c r="G516" s="48" t="str">
        <f>G184</f>
        <v>Unloaded</v>
      </c>
      <c r="H516" s="3" t="str">
        <f t="shared" si="126"/>
        <v>CWIP Closed</v>
      </c>
      <c r="I516" s="3" t="str">
        <f t="shared" si="126"/>
        <v>Closed to PIS</v>
      </c>
      <c r="J516" s="3" t="str">
        <f t="shared" si="126"/>
        <v>Period CWIP</v>
      </c>
      <c r="K516" s="3" t="str">
        <f>K$53</f>
        <v>Incremental CWIP</v>
      </c>
      <c r="L516" s="233"/>
    </row>
    <row r="517" spans="1:12" ht="13">
      <c r="A517" s="2">
        <f>A509+1</f>
        <v>393</v>
      </c>
      <c r="B517" s="329" t="s">
        <v>388</v>
      </c>
      <c r="C517" s="330">
        <v>2025</v>
      </c>
      <c r="D517" s="239" t="s">
        <v>389</v>
      </c>
      <c r="E517" s="239" t="s">
        <v>389</v>
      </c>
      <c r="F517" s="239" t="s">
        <v>389</v>
      </c>
      <c r="G517" s="239" t="s">
        <v>389</v>
      </c>
      <c r="H517" s="239" t="s">
        <v>389</v>
      </c>
      <c r="I517" s="239" t="s">
        <v>389</v>
      </c>
      <c r="J517" s="235">
        <f>L45</f>
        <v>0</v>
      </c>
      <c r="K517" s="239" t="s">
        <v>389</v>
      </c>
      <c r="L517" s="233"/>
    </row>
    <row r="518" spans="1:12" ht="13">
      <c r="A518" s="2">
        <f>A517+1</f>
        <v>394</v>
      </c>
      <c r="B518" s="329" t="s">
        <v>390</v>
      </c>
      <c r="C518" s="330">
        <v>2026</v>
      </c>
      <c r="D518" s="253"/>
      <c r="E518" s="235">
        <f>D518*'16-PlantAdditions'!$E$103</f>
        <v>0</v>
      </c>
      <c r="F518" s="235">
        <f>E518+D518</f>
        <v>0</v>
      </c>
      <c r="G518" s="253"/>
      <c r="H518" s="253"/>
      <c r="I518" s="235">
        <f>(G518-H518)*'16-PlantAdditions'!$E$103</f>
        <v>0</v>
      </c>
      <c r="J518" s="235">
        <f>J517+F518-G518-I518</f>
        <v>0</v>
      </c>
      <c r="K518" s="235">
        <f>J518-$J$517</f>
        <v>0</v>
      </c>
      <c r="L518" s="233"/>
    </row>
    <row r="519" spans="1:12" ht="13">
      <c r="A519" s="2">
        <f t="shared" ref="A519:A542" si="127">A518+1</f>
        <v>395</v>
      </c>
      <c r="B519" s="329" t="s">
        <v>391</v>
      </c>
      <c r="C519" s="330">
        <v>2026</v>
      </c>
      <c r="D519" s="253"/>
      <c r="E519" s="235">
        <f>D519*'16-PlantAdditions'!$E$103</f>
        <v>0</v>
      </c>
      <c r="F519" s="235">
        <f t="shared" ref="F519:F541" si="128">E519+D519</f>
        <v>0</v>
      </c>
      <c r="G519" s="253"/>
      <c r="H519" s="253"/>
      <c r="I519" s="235">
        <f>(G519-H519)*'16-PlantAdditions'!$E$103</f>
        <v>0</v>
      </c>
      <c r="J519" s="235">
        <f t="shared" ref="J519:J541" si="129">J518+F519-G519-I519</f>
        <v>0</v>
      </c>
      <c r="K519" s="235">
        <f t="shared" ref="K519:K541" si="130">J519-$J$517</f>
        <v>0</v>
      </c>
      <c r="L519" s="233"/>
    </row>
    <row r="520" spans="1:12" ht="13">
      <c r="A520" s="2">
        <f t="shared" si="127"/>
        <v>396</v>
      </c>
      <c r="B520" s="329" t="s">
        <v>392</v>
      </c>
      <c r="C520" s="330">
        <v>2026</v>
      </c>
      <c r="D520" s="253"/>
      <c r="E520" s="235">
        <f>D520*'16-PlantAdditions'!$E$103</f>
        <v>0</v>
      </c>
      <c r="F520" s="235">
        <f t="shared" si="128"/>
        <v>0</v>
      </c>
      <c r="G520" s="253"/>
      <c r="H520" s="253"/>
      <c r="I520" s="235">
        <f>(G520-H520)*'16-PlantAdditions'!$E$103</f>
        <v>0</v>
      </c>
      <c r="J520" s="235">
        <f t="shared" si="129"/>
        <v>0</v>
      </c>
      <c r="K520" s="235">
        <f t="shared" si="130"/>
        <v>0</v>
      </c>
      <c r="L520" s="233"/>
    </row>
    <row r="521" spans="1:12" ht="13">
      <c r="A521" s="2">
        <f t="shared" si="127"/>
        <v>397</v>
      </c>
      <c r="B521" s="329" t="s">
        <v>393</v>
      </c>
      <c r="C521" s="330">
        <v>2026</v>
      </c>
      <c r="D521" s="253"/>
      <c r="E521" s="235">
        <f>D521*'16-PlantAdditions'!$E$103</f>
        <v>0</v>
      </c>
      <c r="F521" s="235">
        <f t="shared" si="128"/>
        <v>0</v>
      </c>
      <c r="G521" s="253"/>
      <c r="H521" s="253"/>
      <c r="I521" s="235">
        <f>(G521-H521)*'16-PlantAdditions'!$E$103</f>
        <v>0</v>
      </c>
      <c r="J521" s="235">
        <f t="shared" si="129"/>
        <v>0</v>
      </c>
      <c r="K521" s="235">
        <f t="shared" si="130"/>
        <v>0</v>
      </c>
      <c r="L521" s="233"/>
    </row>
    <row r="522" spans="1:12" ht="13">
      <c r="A522" s="2">
        <f t="shared" si="127"/>
        <v>398</v>
      </c>
      <c r="B522" s="329" t="s">
        <v>394</v>
      </c>
      <c r="C522" s="330">
        <v>2026</v>
      </c>
      <c r="D522" s="253"/>
      <c r="E522" s="235">
        <f>D522*'16-PlantAdditions'!$E$103</f>
        <v>0</v>
      </c>
      <c r="F522" s="235">
        <f t="shared" si="128"/>
        <v>0</v>
      </c>
      <c r="G522" s="253"/>
      <c r="H522" s="253"/>
      <c r="I522" s="235">
        <f>(G522-H522)*'16-PlantAdditions'!$E$103</f>
        <v>0</v>
      </c>
      <c r="J522" s="235">
        <f t="shared" si="129"/>
        <v>0</v>
      </c>
      <c r="K522" s="235">
        <f t="shared" si="130"/>
        <v>0</v>
      </c>
      <c r="L522" s="233"/>
    </row>
    <row r="523" spans="1:12" ht="13">
      <c r="A523" s="2">
        <f t="shared" si="127"/>
        <v>399</v>
      </c>
      <c r="B523" s="329" t="s">
        <v>608</v>
      </c>
      <c r="C523" s="330">
        <v>2026</v>
      </c>
      <c r="D523" s="253"/>
      <c r="E523" s="235">
        <f>D523*'16-PlantAdditions'!$E$103</f>
        <v>0</v>
      </c>
      <c r="F523" s="235">
        <f t="shared" si="128"/>
        <v>0</v>
      </c>
      <c r="G523" s="253"/>
      <c r="H523" s="253"/>
      <c r="I523" s="235">
        <f>(G523-H523)*'16-PlantAdditions'!$E$103</f>
        <v>0</v>
      </c>
      <c r="J523" s="235">
        <f t="shared" si="129"/>
        <v>0</v>
      </c>
      <c r="K523" s="235">
        <f t="shared" si="130"/>
        <v>0</v>
      </c>
      <c r="L523" s="233"/>
    </row>
    <row r="524" spans="1:12" ht="13">
      <c r="A524" s="2">
        <f t="shared" si="127"/>
        <v>400</v>
      </c>
      <c r="B524" s="329" t="s">
        <v>396</v>
      </c>
      <c r="C524" s="330">
        <v>2026</v>
      </c>
      <c r="D524" s="253"/>
      <c r="E524" s="235">
        <f>D524*'16-PlantAdditions'!$E$103</f>
        <v>0</v>
      </c>
      <c r="F524" s="235">
        <f t="shared" si="128"/>
        <v>0</v>
      </c>
      <c r="G524" s="253"/>
      <c r="H524" s="253"/>
      <c r="I524" s="235">
        <f>(G524-H524)*'16-PlantAdditions'!$E$103</f>
        <v>0</v>
      </c>
      <c r="J524" s="235">
        <f t="shared" si="129"/>
        <v>0</v>
      </c>
      <c r="K524" s="235">
        <f t="shared" si="130"/>
        <v>0</v>
      </c>
      <c r="L524" s="233"/>
    </row>
    <row r="525" spans="1:12" ht="13">
      <c r="A525" s="2">
        <f t="shared" si="127"/>
        <v>401</v>
      </c>
      <c r="B525" s="329" t="s">
        <v>397</v>
      </c>
      <c r="C525" s="330">
        <v>2026</v>
      </c>
      <c r="D525" s="253"/>
      <c r="E525" s="235">
        <f>D525*'16-PlantAdditions'!$E$103</f>
        <v>0</v>
      </c>
      <c r="F525" s="235">
        <f t="shared" si="128"/>
        <v>0</v>
      </c>
      <c r="G525" s="253"/>
      <c r="H525" s="253"/>
      <c r="I525" s="235">
        <f>(G525-H525)*'16-PlantAdditions'!$E$103</f>
        <v>0</v>
      </c>
      <c r="J525" s="235">
        <f t="shared" si="129"/>
        <v>0</v>
      </c>
      <c r="K525" s="235">
        <f t="shared" si="130"/>
        <v>0</v>
      </c>
      <c r="L525" s="233"/>
    </row>
    <row r="526" spans="1:12" ht="13">
      <c r="A526" s="2">
        <f t="shared" si="127"/>
        <v>402</v>
      </c>
      <c r="B526" s="329" t="s">
        <v>398</v>
      </c>
      <c r="C526" s="330">
        <v>2026</v>
      </c>
      <c r="D526" s="253"/>
      <c r="E526" s="235">
        <f>D526*'16-PlantAdditions'!$E$103</f>
        <v>0</v>
      </c>
      <c r="F526" s="235">
        <f t="shared" si="128"/>
        <v>0</v>
      </c>
      <c r="G526" s="253"/>
      <c r="H526" s="253"/>
      <c r="I526" s="235">
        <f>(G526-H526)*'16-PlantAdditions'!$E$103</f>
        <v>0</v>
      </c>
      <c r="J526" s="235">
        <f t="shared" si="129"/>
        <v>0</v>
      </c>
      <c r="K526" s="235">
        <f t="shared" si="130"/>
        <v>0</v>
      </c>
      <c r="L526" s="233"/>
    </row>
    <row r="527" spans="1:12" ht="13">
      <c r="A527" s="2">
        <f t="shared" si="127"/>
        <v>403</v>
      </c>
      <c r="B527" s="329" t="s">
        <v>399</v>
      </c>
      <c r="C527" s="330">
        <v>2026</v>
      </c>
      <c r="D527" s="253"/>
      <c r="E527" s="235">
        <f>D527*'16-PlantAdditions'!$E$103</f>
        <v>0</v>
      </c>
      <c r="F527" s="235">
        <f t="shared" si="128"/>
        <v>0</v>
      </c>
      <c r="G527" s="253"/>
      <c r="H527" s="253"/>
      <c r="I527" s="235">
        <f>(G527-H527)*'16-PlantAdditions'!$E$103</f>
        <v>0</v>
      </c>
      <c r="J527" s="235">
        <f t="shared" si="129"/>
        <v>0</v>
      </c>
      <c r="K527" s="235">
        <f t="shared" si="130"/>
        <v>0</v>
      </c>
      <c r="L527" s="233"/>
    </row>
    <row r="528" spans="1:12" ht="13">
      <c r="A528" s="2">
        <f t="shared" si="127"/>
        <v>404</v>
      </c>
      <c r="B528" s="329" t="s">
        <v>400</v>
      </c>
      <c r="C528" s="330">
        <v>2026</v>
      </c>
      <c r="D528" s="253"/>
      <c r="E528" s="235">
        <f>D528*'16-PlantAdditions'!$E$103</f>
        <v>0</v>
      </c>
      <c r="F528" s="235">
        <f t="shared" si="128"/>
        <v>0</v>
      </c>
      <c r="G528" s="253"/>
      <c r="H528" s="253"/>
      <c r="I528" s="235">
        <f>(G528-H528)*'16-PlantAdditions'!$E$103</f>
        <v>0</v>
      </c>
      <c r="J528" s="235">
        <f t="shared" si="129"/>
        <v>0</v>
      </c>
      <c r="K528" s="235">
        <f t="shared" si="130"/>
        <v>0</v>
      </c>
      <c r="L528" s="233"/>
    </row>
    <row r="529" spans="1:12" ht="13">
      <c r="A529" s="2">
        <f t="shared" si="127"/>
        <v>405</v>
      </c>
      <c r="B529" s="329" t="s">
        <v>388</v>
      </c>
      <c r="C529" s="330">
        <v>2026</v>
      </c>
      <c r="D529" s="253"/>
      <c r="E529" s="235">
        <f>D529*'16-PlantAdditions'!$E$103</f>
        <v>0</v>
      </c>
      <c r="F529" s="235">
        <f t="shared" si="128"/>
        <v>0</v>
      </c>
      <c r="G529" s="253"/>
      <c r="H529" s="253"/>
      <c r="I529" s="235">
        <f>(G529-H529)*'16-PlantAdditions'!$E$103</f>
        <v>0</v>
      </c>
      <c r="J529" s="235">
        <f t="shared" si="129"/>
        <v>0</v>
      </c>
      <c r="K529" s="235">
        <f t="shared" si="130"/>
        <v>0</v>
      </c>
      <c r="L529" s="233"/>
    </row>
    <row r="530" spans="1:12" ht="13">
      <c r="A530" s="2">
        <f t="shared" si="127"/>
        <v>406</v>
      </c>
      <c r="B530" s="329" t="s">
        <v>390</v>
      </c>
      <c r="C530" s="330">
        <v>2027</v>
      </c>
      <c r="D530" s="253"/>
      <c r="E530" s="235">
        <f>D530*'16-PlantAdditions'!$E$103</f>
        <v>0</v>
      </c>
      <c r="F530" s="235">
        <f t="shared" si="128"/>
        <v>0</v>
      </c>
      <c r="G530" s="253"/>
      <c r="H530" s="253"/>
      <c r="I530" s="235">
        <f>(G530-H530)*'16-PlantAdditions'!$E$103</f>
        <v>0</v>
      </c>
      <c r="J530" s="235">
        <f t="shared" si="129"/>
        <v>0</v>
      </c>
      <c r="K530" s="235">
        <f t="shared" si="130"/>
        <v>0</v>
      </c>
      <c r="L530" s="233"/>
    </row>
    <row r="531" spans="1:12" ht="13">
      <c r="A531" s="2">
        <f t="shared" si="127"/>
        <v>407</v>
      </c>
      <c r="B531" s="329" t="s">
        <v>391</v>
      </c>
      <c r="C531" s="330">
        <v>2027</v>
      </c>
      <c r="D531" s="253"/>
      <c r="E531" s="235">
        <f>D531*'16-PlantAdditions'!$E$103</f>
        <v>0</v>
      </c>
      <c r="F531" s="235">
        <f t="shared" si="128"/>
        <v>0</v>
      </c>
      <c r="G531" s="253"/>
      <c r="H531" s="253"/>
      <c r="I531" s="235">
        <f>(G531-H531)*'16-PlantAdditions'!$E$103</f>
        <v>0</v>
      </c>
      <c r="J531" s="235">
        <f t="shared" si="129"/>
        <v>0</v>
      </c>
      <c r="K531" s="235">
        <f t="shared" si="130"/>
        <v>0</v>
      </c>
      <c r="L531" s="233"/>
    </row>
    <row r="532" spans="1:12" ht="13">
      <c r="A532" s="2">
        <f t="shared" si="127"/>
        <v>408</v>
      </c>
      <c r="B532" s="329" t="s">
        <v>392</v>
      </c>
      <c r="C532" s="330">
        <v>2027</v>
      </c>
      <c r="D532" s="253"/>
      <c r="E532" s="235">
        <f>D532*'16-PlantAdditions'!$E$103</f>
        <v>0</v>
      </c>
      <c r="F532" s="235">
        <f t="shared" si="128"/>
        <v>0</v>
      </c>
      <c r="G532" s="253"/>
      <c r="H532" s="253"/>
      <c r="I532" s="235">
        <f>(G532-H532)*'16-PlantAdditions'!$E$103</f>
        <v>0</v>
      </c>
      <c r="J532" s="235">
        <f t="shared" si="129"/>
        <v>0</v>
      </c>
      <c r="K532" s="235">
        <f t="shared" si="130"/>
        <v>0</v>
      </c>
      <c r="L532" s="233"/>
    </row>
    <row r="533" spans="1:12" ht="13">
      <c r="A533" s="2">
        <f t="shared" si="127"/>
        <v>409</v>
      </c>
      <c r="B533" s="329" t="s">
        <v>393</v>
      </c>
      <c r="C533" s="330">
        <v>2027</v>
      </c>
      <c r="D533" s="253"/>
      <c r="E533" s="235">
        <f>D533*'16-PlantAdditions'!$E$103</f>
        <v>0</v>
      </c>
      <c r="F533" s="235">
        <f t="shared" si="128"/>
        <v>0</v>
      </c>
      <c r="G533" s="253"/>
      <c r="H533" s="253"/>
      <c r="I533" s="235">
        <f>(G533-H533)*'16-PlantAdditions'!$E$103</f>
        <v>0</v>
      </c>
      <c r="J533" s="235">
        <f t="shared" si="129"/>
        <v>0</v>
      </c>
      <c r="K533" s="235">
        <f t="shared" si="130"/>
        <v>0</v>
      </c>
      <c r="L533" s="233"/>
    </row>
    <row r="534" spans="1:12" ht="13">
      <c r="A534" s="2">
        <f t="shared" si="127"/>
        <v>410</v>
      </c>
      <c r="B534" s="329" t="s">
        <v>394</v>
      </c>
      <c r="C534" s="330">
        <v>2027</v>
      </c>
      <c r="D534" s="253"/>
      <c r="E534" s="235">
        <f>D534*'16-PlantAdditions'!$E$103</f>
        <v>0</v>
      </c>
      <c r="F534" s="235">
        <f t="shared" si="128"/>
        <v>0</v>
      </c>
      <c r="G534" s="253"/>
      <c r="H534" s="253"/>
      <c r="I534" s="235">
        <f>(G534-H534)*'16-PlantAdditions'!$E$103</f>
        <v>0</v>
      </c>
      <c r="J534" s="235">
        <f t="shared" si="129"/>
        <v>0</v>
      </c>
      <c r="K534" s="235">
        <f t="shared" si="130"/>
        <v>0</v>
      </c>
      <c r="L534" s="233"/>
    </row>
    <row r="535" spans="1:12" ht="13">
      <c r="A535" s="2">
        <f t="shared" si="127"/>
        <v>411</v>
      </c>
      <c r="B535" s="329" t="s">
        <v>608</v>
      </c>
      <c r="C535" s="330">
        <v>2027</v>
      </c>
      <c r="D535" s="253"/>
      <c r="E535" s="235">
        <f>D535*'16-PlantAdditions'!$E$103</f>
        <v>0</v>
      </c>
      <c r="F535" s="235">
        <f t="shared" si="128"/>
        <v>0</v>
      </c>
      <c r="G535" s="253"/>
      <c r="H535" s="253"/>
      <c r="I535" s="235">
        <f>(G535-H535)*'16-PlantAdditions'!$E$103</f>
        <v>0</v>
      </c>
      <c r="J535" s="235">
        <f t="shared" si="129"/>
        <v>0</v>
      </c>
      <c r="K535" s="235">
        <f t="shared" si="130"/>
        <v>0</v>
      </c>
      <c r="L535" s="233"/>
    </row>
    <row r="536" spans="1:12" ht="13">
      <c r="A536" s="2">
        <f t="shared" si="127"/>
        <v>412</v>
      </c>
      <c r="B536" s="329" t="s">
        <v>396</v>
      </c>
      <c r="C536" s="330">
        <v>2027</v>
      </c>
      <c r="D536" s="253"/>
      <c r="E536" s="235">
        <f>D536*'16-PlantAdditions'!$E$103</f>
        <v>0</v>
      </c>
      <c r="F536" s="235">
        <f t="shared" si="128"/>
        <v>0</v>
      </c>
      <c r="G536" s="253"/>
      <c r="H536" s="253"/>
      <c r="I536" s="235">
        <f>(G536-H536)*'16-PlantAdditions'!$E$103</f>
        <v>0</v>
      </c>
      <c r="J536" s="235">
        <f t="shared" si="129"/>
        <v>0</v>
      </c>
      <c r="K536" s="235">
        <f t="shared" si="130"/>
        <v>0</v>
      </c>
      <c r="L536" s="233"/>
    </row>
    <row r="537" spans="1:12" ht="13">
      <c r="A537" s="2">
        <f t="shared" si="127"/>
        <v>413</v>
      </c>
      <c r="B537" s="329" t="s">
        <v>397</v>
      </c>
      <c r="C537" s="330">
        <v>2027</v>
      </c>
      <c r="D537" s="253"/>
      <c r="E537" s="235">
        <f>D537*'16-PlantAdditions'!$E$103</f>
        <v>0</v>
      </c>
      <c r="F537" s="235">
        <f t="shared" si="128"/>
        <v>0</v>
      </c>
      <c r="G537" s="253"/>
      <c r="H537" s="253"/>
      <c r="I537" s="235">
        <f>(G537-H537)*'16-PlantAdditions'!$E$103</f>
        <v>0</v>
      </c>
      <c r="J537" s="235">
        <f t="shared" si="129"/>
        <v>0</v>
      </c>
      <c r="K537" s="235">
        <f t="shared" si="130"/>
        <v>0</v>
      </c>
      <c r="L537" s="233"/>
    </row>
    <row r="538" spans="1:12" ht="13">
      <c r="A538" s="2">
        <f t="shared" si="127"/>
        <v>414</v>
      </c>
      <c r="B538" s="329" t="s">
        <v>398</v>
      </c>
      <c r="C538" s="330">
        <v>2027</v>
      </c>
      <c r="D538" s="253"/>
      <c r="E538" s="235">
        <f>D538*'16-PlantAdditions'!$E$103</f>
        <v>0</v>
      </c>
      <c r="F538" s="235">
        <f t="shared" si="128"/>
        <v>0</v>
      </c>
      <c r="G538" s="253"/>
      <c r="H538" s="253"/>
      <c r="I538" s="235">
        <f>(G538-H538)*'16-PlantAdditions'!$E$103</f>
        <v>0</v>
      </c>
      <c r="J538" s="235">
        <f t="shared" si="129"/>
        <v>0</v>
      </c>
      <c r="K538" s="235">
        <f t="shared" si="130"/>
        <v>0</v>
      </c>
      <c r="L538" s="233"/>
    </row>
    <row r="539" spans="1:12" ht="13">
      <c r="A539" s="2">
        <f t="shared" si="127"/>
        <v>415</v>
      </c>
      <c r="B539" s="329" t="s">
        <v>399</v>
      </c>
      <c r="C539" s="330">
        <v>2027</v>
      </c>
      <c r="D539" s="253"/>
      <c r="E539" s="235">
        <f>D539*'16-PlantAdditions'!$E$103</f>
        <v>0</v>
      </c>
      <c r="F539" s="235">
        <f t="shared" si="128"/>
        <v>0</v>
      </c>
      <c r="G539" s="253"/>
      <c r="H539" s="253"/>
      <c r="I539" s="235">
        <f>(G539-H539)*'16-PlantAdditions'!$E$103</f>
        <v>0</v>
      </c>
      <c r="J539" s="235">
        <f t="shared" si="129"/>
        <v>0</v>
      </c>
      <c r="K539" s="235">
        <f t="shared" si="130"/>
        <v>0</v>
      </c>
      <c r="L539" s="233"/>
    </row>
    <row r="540" spans="1:12" ht="13">
      <c r="A540" s="2">
        <f t="shared" si="127"/>
        <v>416</v>
      </c>
      <c r="B540" s="329" t="s">
        <v>400</v>
      </c>
      <c r="C540" s="330">
        <v>2027</v>
      </c>
      <c r="D540" s="253"/>
      <c r="E540" s="235">
        <f>D540*'16-PlantAdditions'!$E$103</f>
        <v>0</v>
      </c>
      <c r="F540" s="235">
        <f t="shared" si="128"/>
        <v>0</v>
      </c>
      <c r="G540" s="253"/>
      <c r="H540" s="253"/>
      <c r="I540" s="235">
        <f>(G540-H540)*'16-PlantAdditions'!$E$103</f>
        <v>0</v>
      </c>
      <c r="J540" s="235">
        <f t="shared" si="129"/>
        <v>0</v>
      </c>
      <c r="K540" s="235">
        <f t="shared" si="130"/>
        <v>0</v>
      </c>
      <c r="L540" s="233"/>
    </row>
    <row r="541" spans="1:12" ht="13">
      <c r="A541" s="2">
        <f t="shared" si="127"/>
        <v>417</v>
      </c>
      <c r="B541" s="329" t="s">
        <v>388</v>
      </c>
      <c r="C541" s="330">
        <v>2027</v>
      </c>
      <c r="D541" s="253"/>
      <c r="E541" s="235">
        <f>D541*'16-PlantAdditions'!$E$103</f>
        <v>0</v>
      </c>
      <c r="F541" s="235">
        <f t="shared" si="128"/>
        <v>0</v>
      </c>
      <c r="G541" s="253"/>
      <c r="H541" s="253"/>
      <c r="I541" s="235">
        <f>(G541-H541)*'16-PlantAdditions'!$E$103</f>
        <v>0</v>
      </c>
      <c r="J541" s="235">
        <f t="shared" si="129"/>
        <v>0</v>
      </c>
      <c r="K541" s="53">
        <f t="shared" si="130"/>
        <v>0</v>
      </c>
      <c r="L541" s="233"/>
    </row>
    <row r="542" spans="1:12" ht="13">
      <c r="A542" s="2">
        <f t="shared" si="127"/>
        <v>418</v>
      </c>
      <c r="B542" s="233"/>
      <c r="C542" s="351" t="s">
        <v>1095</v>
      </c>
      <c r="D542" s="233"/>
      <c r="E542" s="233"/>
      <c r="F542" s="233"/>
      <c r="G542" s="233"/>
      <c r="H542" s="239"/>
      <c r="I542" s="239"/>
      <c r="J542" s="233"/>
      <c r="K542" s="42">
        <f>AVERAGE(K529:K541)</f>
        <v>0</v>
      </c>
      <c r="L542" s="233"/>
    </row>
    <row r="543" spans="1:12" ht="13">
      <c r="A543" s="603"/>
      <c r="B543" s="586"/>
      <c r="C543" s="1059"/>
      <c r="H543" s="239"/>
      <c r="I543" s="239"/>
      <c r="K543" s="42"/>
    </row>
    <row r="544" spans="1:12" ht="13">
      <c r="B544" s="334" t="s">
        <v>233</v>
      </c>
    </row>
    <row r="545" spans="2:11">
      <c r="B545" s="329" t="s">
        <v>1126</v>
      </c>
    </row>
    <row r="546" spans="2:11">
      <c r="B546" s="329" t="s">
        <v>1127</v>
      </c>
      <c r="C546" s="233"/>
      <c r="D546" s="233"/>
      <c r="E546" s="233"/>
      <c r="F546" s="233"/>
      <c r="G546" s="233"/>
      <c r="H546" s="233"/>
      <c r="I546" s="233"/>
      <c r="J546" s="233"/>
    </row>
    <row r="548" spans="2:11" ht="13">
      <c r="B548" s="1" t="s">
        <v>442</v>
      </c>
    </row>
    <row r="549" spans="2:11">
      <c r="B549" s="233" t="s">
        <v>1128</v>
      </c>
    </row>
    <row r="550" spans="2:11">
      <c r="B550" s="233" t="s">
        <v>1129</v>
      </c>
      <c r="C550" s="233"/>
      <c r="D550" s="233"/>
      <c r="E550" s="233"/>
      <c r="F550" s="233"/>
      <c r="G550" s="233"/>
      <c r="H550" s="233"/>
      <c r="I550" s="233"/>
      <c r="J550" s="233"/>
      <c r="K550" s="233"/>
    </row>
    <row r="551" spans="2:11">
      <c r="B551" s="233" t="s">
        <v>1130</v>
      </c>
    </row>
  </sheetData>
  <mergeCells count="14">
    <mergeCell ref="D478:E478"/>
    <mergeCell ref="D412:E412"/>
    <mergeCell ref="F379:G379"/>
    <mergeCell ref="D280:E280"/>
    <mergeCell ref="D313:E313"/>
    <mergeCell ref="D346:E346"/>
    <mergeCell ref="D445:E445"/>
    <mergeCell ref="D247:E247"/>
    <mergeCell ref="D379:E379"/>
    <mergeCell ref="D82:E82"/>
    <mergeCell ref="D115:E115"/>
    <mergeCell ref="D148:E148"/>
    <mergeCell ref="D181:E181"/>
    <mergeCell ref="D214:E214"/>
  </mergeCells>
  <pageMargins left="0.7" right="0.7" top="0.75" bottom="0.75" header="0.3" footer="0.3"/>
  <pageSetup scale="47" fitToHeight="0" orientation="landscape" cellComments="asDisplayed" r:id="rId1"/>
  <headerFooter>
    <oddHeader>&amp;CSchedule 10
CWIP
&amp;RTO2027 Draft Annual Update 
Attachment 1</oddHeader>
    <oddFooter>&amp;R&amp;A</oddFooter>
  </headerFooter>
  <rowBreaks count="7" manualBreakCount="7">
    <brk id="79" max="11" man="1"/>
    <brk id="146" max="11" man="1"/>
    <brk id="213" max="11" man="1"/>
    <brk id="279" max="11" man="1"/>
    <brk id="345" max="11" man="1"/>
    <brk id="411" max="11" man="1"/>
    <brk id="477"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5"/>
  <cols>
    <col min="1" max="1" width="5" customWidth="1"/>
    <col min="2" max="2" width="22.54296875" customWidth="1"/>
    <col min="3" max="3" width="9.81640625" customWidth="1"/>
    <col min="4" max="5" width="25.54296875" customWidth="1"/>
    <col min="6" max="6" width="22.54296875" customWidth="1"/>
  </cols>
  <sheetData>
    <row r="1" spans="1:6" ht="13">
      <c r="A1" s="9" t="s">
        <v>1131</v>
      </c>
      <c r="B1" s="63"/>
      <c r="C1" s="10"/>
      <c r="D1" s="10"/>
      <c r="E1" s="10"/>
      <c r="F1" s="10"/>
    </row>
    <row r="2" spans="1:6" ht="13">
      <c r="A2" s="64"/>
      <c r="C2" s="65"/>
      <c r="D2" s="65"/>
      <c r="F2" s="27" t="s">
        <v>650</v>
      </c>
    </row>
    <row r="3" spans="1:6" ht="13">
      <c r="A3" s="64"/>
      <c r="B3" s="233" t="s">
        <v>1132</v>
      </c>
      <c r="C3" s="65"/>
      <c r="D3" s="65"/>
      <c r="E3" s="65"/>
    </row>
    <row r="4" spans="1:6" ht="13">
      <c r="A4" s="64"/>
      <c r="B4" s="233" t="s">
        <v>1133</v>
      </c>
      <c r="C4" s="65"/>
      <c r="D4" s="65"/>
      <c r="E4" s="65"/>
    </row>
    <row r="5" spans="1:6" ht="13">
      <c r="A5" s="64"/>
      <c r="B5" s="233" t="s">
        <v>1134</v>
      </c>
      <c r="C5" s="65"/>
      <c r="D5" s="65"/>
      <c r="E5" s="65"/>
    </row>
    <row r="6" spans="1:6" ht="13">
      <c r="A6" s="64"/>
    </row>
    <row r="7" spans="1:6" ht="13">
      <c r="A7" s="30" t="s">
        <v>282</v>
      </c>
      <c r="C7" s="65"/>
      <c r="D7" s="3" t="s">
        <v>1135</v>
      </c>
      <c r="E7" s="3" t="s">
        <v>1136</v>
      </c>
      <c r="F7" s="3" t="s">
        <v>684</v>
      </c>
    </row>
    <row r="8" spans="1:6" ht="13">
      <c r="A8" s="2">
        <v>1</v>
      </c>
      <c r="B8" s="233" t="s">
        <v>1137</v>
      </c>
      <c r="D8" s="5">
        <v>31427674</v>
      </c>
      <c r="E8" s="5">
        <v>20269032</v>
      </c>
      <c r="F8" s="232" t="s">
        <v>1138</v>
      </c>
    </row>
    <row r="9" spans="1:6" ht="13">
      <c r="A9" s="2"/>
      <c r="B9" s="233"/>
      <c r="E9" s="233"/>
    </row>
    <row r="10" spans="1:6" ht="13">
      <c r="A10" s="2"/>
      <c r="B10" s="233" t="s">
        <v>1139</v>
      </c>
      <c r="E10" s="233"/>
    </row>
    <row r="11" spans="1:6" ht="13">
      <c r="A11" s="2"/>
      <c r="B11" s="233"/>
      <c r="E11" s="233"/>
    </row>
    <row r="12" spans="1:6" ht="13">
      <c r="A12" s="2"/>
      <c r="B12" s="48" t="s">
        <v>345</v>
      </c>
      <c r="C12" s="48" t="s">
        <v>346</v>
      </c>
      <c r="D12" s="48" t="s">
        <v>347</v>
      </c>
      <c r="E12" s="48" t="s">
        <v>348</v>
      </c>
      <c r="F12" s="48" t="s">
        <v>349</v>
      </c>
    </row>
    <row r="13" spans="1:6" ht="13">
      <c r="A13" s="2"/>
      <c r="B13" s="233"/>
      <c r="C13" s="2" t="s">
        <v>1140</v>
      </c>
      <c r="E13" s="233"/>
    </row>
    <row r="14" spans="1:6" ht="13">
      <c r="A14" s="2"/>
      <c r="B14" s="30" t="s">
        <v>878</v>
      </c>
      <c r="C14" s="3" t="s">
        <v>1141</v>
      </c>
      <c r="D14" s="3" t="s">
        <v>1135</v>
      </c>
      <c r="E14" s="3" t="s">
        <v>1136</v>
      </c>
      <c r="F14" s="3" t="s">
        <v>684</v>
      </c>
    </row>
    <row r="15" spans="1:6" ht="13">
      <c r="A15" s="2" t="s">
        <v>563</v>
      </c>
      <c r="B15" s="240" t="s">
        <v>1074</v>
      </c>
      <c r="C15" s="54" t="s">
        <v>747</v>
      </c>
      <c r="D15" s="5">
        <v>9132042.8139648717</v>
      </c>
      <c r="E15" s="59">
        <v>9132042.8139648717</v>
      </c>
      <c r="F15" s="84" t="s">
        <v>3137</v>
      </c>
    </row>
    <row r="16" spans="1:6" ht="13">
      <c r="A16" s="2" t="s">
        <v>1142</v>
      </c>
      <c r="B16" s="240" t="s">
        <v>1076</v>
      </c>
      <c r="C16" s="54" t="s">
        <v>747</v>
      </c>
      <c r="D16" s="5">
        <v>5637716.5800000001</v>
      </c>
      <c r="E16" s="5">
        <v>5637716.5800000001</v>
      </c>
      <c r="F16" s="84" t="s">
        <v>3137</v>
      </c>
    </row>
    <row r="17" spans="1:6" ht="13">
      <c r="A17" s="2" t="s">
        <v>1143</v>
      </c>
      <c r="B17" s="240"/>
      <c r="C17" s="54"/>
      <c r="D17" s="5"/>
      <c r="E17" s="5"/>
      <c r="F17" s="54"/>
    </row>
    <row r="18" spans="1:6" ht="13">
      <c r="A18" s="2" t="s">
        <v>1144</v>
      </c>
      <c r="B18" s="240"/>
      <c r="C18" s="54"/>
      <c r="D18" s="5"/>
      <c r="E18" s="5"/>
      <c r="F18" s="54"/>
    </row>
    <row r="19" spans="1:6" ht="13">
      <c r="A19" s="2" t="s">
        <v>1145</v>
      </c>
      <c r="B19" s="240"/>
      <c r="C19" s="54"/>
      <c r="D19" s="5"/>
      <c r="E19" s="5"/>
      <c r="F19" s="54"/>
    </row>
    <row r="20" spans="1:6" ht="13">
      <c r="A20" s="2" t="s">
        <v>1146</v>
      </c>
      <c r="B20" s="240"/>
      <c r="C20" s="54"/>
      <c r="D20" s="5"/>
      <c r="E20" s="5"/>
      <c r="F20" s="54"/>
    </row>
    <row r="21" spans="1:6" ht="13">
      <c r="A21" s="2" t="s">
        <v>1147</v>
      </c>
      <c r="B21" s="240"/>
      <c r="C21" s="54"/>
      <c r="D21" s="5"/>
      <c r="E21" s="5"/>
      <c r="F21" s="54"/>
    </row>
    <row r="22" spans="1:6" ht="13">
      <c r="A22" s="2" t="s">
        <v>1148</v>
      </c>
      <c r="B22" s="240"/>
      <c r="C22" s="54"/>
      <c r="D22" s="5"/>
      <c r="E22" s="5"/>
      <c r="F22" s="54"/>
    </row>
    <row r="23" spans="1:6" ht="13">
      <c r="A23" s="2"/>
      <c r="B23" s="201" t="s">
        <v>639</v>
      </c>
      <c r="C23" s="54"/>
      <c r="D23" s="872"/>
      <c r="E23" s="872"/>
      <c r="F23" s="54"/>
    </row>
    <row r="24" spans="1:6" ht="13">
      <c r="A24" s="2">
        <v>3</v>
      </c>
      <c r="C24" s="233" t="s">
        <v>418</v>
      </c>
      <c r="D24" s="6">
        <f>SUM(D15:D22)</f>
        <v>14769759.393964872</v>
      </c>
      <c r="E24" s="6">
        <f>SUM(E15:E22)</f>
        <v>14769759.393964872</v>
      </c>
      <c r="F24" s="232" t="s">
        <v>1149</v>
      </c>
    </row>
    <row r="25" spans="1:6">
      <c r="C25" s="233"/>
    </row>
    <row r="26" spans="1:6" ht="13">
      <c r="C26" s="233"/>
      <c r="D26" s="3" t="s">
        <v>1135</v>
      </c>
      <c r="E26" s="3" t="s">
        <v>1136</v>
      </c>
      <c r="F26" s="3" t="s">
        <v>684</v>
      </c>
    </row>
    <row r="27" spans="1:6" ht="13">
      <c r="A27" s="2">
        <v>4</v>
      </c>
      <c r="B27" s="233" t="s">
        <v>1150</v>
      </c>
      <c r="C27" s="233"/>
      <c r="D27" s="5">
        <v>0</v>
      </c>
      <c r="E27" s="5">
        <v>0</v>
      </c>
      <c r="F27" s="232" t="s">
        <v>1151</v>
      </c>
    </row>
    <row r="28" spans="1:6" ht="13">
      <c r="A28" s="4" t="s">
        <v>1152</v>
      </c>
      <c r="B28" s="233"/>
      <c r="C28" s="233"/>
      <c r="D28" s="233"/>
      <c r="E28" s="231" t="s">
        <v>1153</v>
      </c>
      <c r="F28" s="264"/>
    </row>
    <row r="29" spans="1:6" ht="13">
      <c r="A29" s="2">
        <v>5</v>
      </c>
      <c r="B29" s="233" t="s">
        <v>1154</v>
      </c>
      <c r="D29" s="860">
        <f>'27-Allocators'!G15</f>
        <v>6.4531762547854879E-2</v>
      </c>
      <c r="E29" s="860">
        <f>'27-Allocators'!G15</f>
        <v>6.4531762547854879E-2</v>
      </c>
      <c r="F29" s="232" t="str">
        <f>"27-Allocators, L "&amp;'27-Allocators'!A15&amp;""</f>
        <v>27-Allocators, L 9</v>
      </c>
    </row>
    <row r="30" spans="1:6" ht="13">
      <c r="A30" s="2">
        <v>6</v>
      </c>
      <c r="B30" s="233" t="s">
        <v>1155</v>
      </c>
      <c r="C30" s="233"/>
      <c r="D30" s="6">
        <f>D27*D29</f>
        <v>0</v>
      </c>
      <c r="E30" s="6">
        <f>E27*E29</f>
        <v>0</v>
      </c>
      <c r="F30" s="232" t="str">
        <f>"L "&amp;A27&amp;" * L "&amp;A29&amp;""</f>
        <v>L 4 * L 5</v>
      </c>
    </row>
    <row r="31" spans="1:6">
      <c r="C31" s="233"/>
    </row>
    <row r="32" spans="1:6">
      <c r="B32" s="233" t="s">
        <v>1156</v>
      </c>
    </row>
    <row r="33" spans="1:6">
      <c r="C33" s="22"/>
      <c r="D33" s="873"/>
      <c r="E33" s="23"/>
    </row>
    <row r="34" spans="1:6" ht="13">
      <c r="D34" s="3" t="s">
        <v>1135</v>
      </c>
      <c r="E34" s="3" t="s">
        <v>1136</v>
      </c>
      <c r="F34" s="3" t="s">
        <v>684</v>
      </c>
    </row>
    <row r="35" spans="1:6" ht="13">
      <c r="A35" s="2">
        <v>7</v>
      </c>
      <c r="C35" s="233"/>
      <c r="D35" s="5">
        <v>16657914.386035129</v>
      </c>
      <c r="E35" s="5">
        <v>5499272.5060351267</v>
      </c>
      <c r="F35" s="232" t="s">
        <v>147</v>
      </c>
    </row>
    <row r="38" spans="1:6" ht="13">
      <c r="B38" s="233" t="s">
        <v>1157</v>
      </c>
      <c r="D38" s="3" t="s">
        <v>1135</v>
      </c>
      <c r="E38" s="3" t="s">
        <v>1136</v>
      </c>
      <c r="F38" s="3" t="s">
        <v>684</v>
      </c>
    </row>
    <row r="39" spans="1:6" ht="13">
      <c r="A39" s="2">
        <v>8</v>
      </c>
      <c r="D39" s="235">
        <f>D24+D30</f>
        <v>14769759.393964872</v>
      </c>
      <c r="E39" s="235">
        <f>E24+E30</f>
        <v>14769759.393964872</v>
      </c>
      <c r="F39" s="232" t="str">
        <f>"L "&amp;A24&amp;" + L "&amp;A30&amp;""</f>
        <v>L 3 + L 6</v>
      </c>
    </row>
    <row r="40" spans="1:6" ht="13">
      <c r="A40" s="2"/>
      <c r="D40" s="235"/>
      <c r="E40" s="235"/>
      <c r="F40" s="232"/>
    </row>
    <row r="41" spans="1:6">
      <c r="B41" t="s">
        <v>1158</v>
      </c>
    </row>
    <row r="42" spans="1:6" ht="13">
      <c r="A42" s="2">
        <v>9</v>
      </c>
      <c r="B42" s="233" t="s">
        <v>1157</v>
      </c>
      <c r="D42" s="235">
        <f>(D39+E39)/2</f>
        <v>14769759.393964872</v>
      </c>
      <c r="E42" s="235"/>
      <c r="F42" s="232" t="str">
        <f>"Sum of Line "&amp;A39&amp;" / 2"</f>
        <v>Sum of Line 8 / 2</v>
      </c>
    </row>
    <row r="43" spans="1:6">
      <c r="B43" s="233"/>
    </row>
    <row r="44" spans="1:6" ht="13">
      <c r="B44" s="1" t="s">
        <v>1159</v>
      </c>
      <c r="C44" s="233"/>
    </row>
    <row r="45" spans="1:6">
      <c r="C45" s="233"/>
    </row>
    <row r="46" spans="1:6" ht="13">
      <c r="A46" s="2"/>
      <c r="F46" s="3" t="s">
        <v>684</v>
      </c>
    </row>
    <row r="47" spans="1:6" ht="13">
      <c r="A47" s="2">
        <v>10</v>
      </c>
      <c r="B47" s="233" t="s">
        <v>1160</v>
      </c>
      <c r="E47" s="1189">
        <v>0</v>
      </c>
      <c r="F47" s="232" t="s">
        <v>957</v>
      </c>
    </row>
    <row r="50" spans="2:2" ht="13">
      <c r="B50" s="1" t="s">
        <v>442</v>
      </c>
    </row>
    <row r="51" spans="2:2">
      <c r="B51" s="233" t="s">
        <v>1161</v>
      </c>
    </row>
    <row r="52" spans="2:2">
      <c r="B52" s="233" t="s">
        <v>1162</v>
      </c>
    </row>
    <row r="53" spans="2:2">
      <c r="B53" s="233" t="s">
        <v>1163</v>
      </c>
    </row>
    <row r="54" spans="2:2">
      <c r="B54" s="233" t="s">
        <v>1164</v>
      </c>
    </row>
    <row r="55" spans="2:2">
      <c r="B55" s="233" t="str">
        <f>"2) For any Electric Plant Held for Future Use classified as General note amount on Line "&amp;A27&amp;"."</f>
        <v>2) For any Electric Plant Held for Future Use classified as General note amount on Line 4.</v>
      </c>
    </row>
    <row r="56" spans="2:2">
      <c r="B56" s="233" t="s">
        <v>1165</v>
      </c>
    </row>
    <row r="57" spans="2:2">
      <c r="B57" s="233" t="s">
        <v>1166</v>
      </c>
    </row>
    <row r="58" spans="2:2">
      <c r="B58" s="233" t="s">
        <v>1167</v>
      </c>
    </row>
    <row r="59" spans="2:2">
      <c r="B59" s="233" t="s">
        <v>1168</v>
      </c>
    </row>
    <row r="60" spans="2:2">
      <c r="B60" s="233"/>
    </row>
    <row r="61" spans="2:2" ht="13">
      <c r="B61" s="1" t="s">
        <v>233</v>
      </c>
    </row>
    <row r="62" spans="2:2">
      <c r="B62" s="233" t="s">
        <v>1169</v>
      </c>
    </row>
  </sheetData>
  <pageMargins left="0.7" right="0.7" top="0.75" bottom="0.75" header="0.3" footer="0.3"/>
  <pageSetup scale="80" orientation="portrait" cellComments="asDisplayed" r:id="rId1"/>
  <headerFooter>
    <oddHeader>&amp;CSchedule 11
Plant Held for Future Use
&amp;RTO2027 Draft Annual Update 
Attachment 1</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56"/>
  <sheetViews>
    <sheetView zoomScaleNormal="100" workbookViewId="0"/>
  </sheetViews>
  <sheetFormatPr defaultRowHeight="12.5"/>
  <cols>
    <col min="1" max="1" width="4.54296875" customWidth="1"/>
    <col min="2" max="2" width="5.54296875" customWidth="1"/>
    <col min="3" max="10" width="12.54296875" customWidth="1"/>
    <col min="12" max="12" width="9.453125"/>
  </cols>
  <sheetData>
    <row r="1" spans="1:10" ht="13">
      <c r="A1" s="1" t="s">
        <v>1170</v>
      </c>
    </row>
    <row r="2" spans="1:10">
      <c r="I2" s="264" t="s">
        <v>1171</v>
      </c>
      <c r="J2" s="264"/>
    </row>
    <row r="3" spans="1:10">
      <c r="B3" t="s">
        <v>1172</v>
      </c>
    </row>
    <row r="5" spans="1:10">
      <c r="B5" t="s">
        <v>1173</v>
      </c>
    </row>
    <row r="6" spans="1:10">
      <c r="B6" t="s">
        <v>1174</v>
      </c>
    </row>
    <row r="7" spans="1:10">
      <c r="F7" s="28" t="s">
        <v>1175</v>
      </c>
      <c r="H7" s="28" t="s">
        <v>1176</v>
      </c>
    </row>
    <row r="8" spans="1:10">
      <c r="B8" t="s">
        <v>1177</v>
      </c>
      <c r="F8" s="240"/>
      <c r="G8" s="54"/>
      <c r="H8" s="240"/>
      <c r="I8" s="54"/>
      <c r="J8" s="54"/>
    </row>
    <row r="9" spans="1:10">
      <c r="F9" s="240"/>
      <c r="G9" s="54"/>
      <c r="H9" s="54"/>
      <c r="I9" s="54"/>
      <c r="J9" s="54"/>
    </row>
    <row r="10" spans="1:10">
      <c r="F10" s="31" t="s">
        <v>639</v>
      </c>
      <c r="H10" s="31" t="s">
        <v>639</v>
      </c>
    </row>
    <row r="12" spans="1:10">
      <c r="B12" s="233" t="s">
        <v>1178</v>
      </c>
    </row>
    <row r="13" spans="1:10">
      <c r="B13" s="233"/>
    </row>
    <row r="14" spans="1:10">
      <c r="B14" s="233" t="s">
        <v>1179</v>
      </c>
    </row>
    <row r="15" spans="1:10">
      <c r="B15" s="233" t="s">
        <v>1180</v>
      </c>
    </row>
    <row r="16" spans="1:10" ht="13">
      <c r="B16" s="233"/>
      <c r="G16" s="2" t="s">
        <v>1181</v>
      </c>
    </row>
    <row r="17" spans="1:10" ht="13">
      <c r="A17" s="30" t="s">
        <v>282</v>
      </c>
      <c r="G17" s="3" t="s">
        <v>921</v>
      </c>
      <c r="I17" s="30" t="s">
        <v>416</v>
      </c>
    </row>
    <row r="18" spans="1:10" ht="13">
      <c r="A18" s="2">
        <v>1</v>
      </c>
      <c r="F18" s="25" t="s">
        <v>1182</v>
      </c>
      <c r="G18" s="6">
        <f>SUM(IF(B31='1-BaseTRR'!$K$4,E31+I31,0),IF(B32='1-BaseTRR'!$K$4,E32+I32,0),IF(B33='1-BaseTRR'!$K$4,E33+I33,0),IF(B34='1-BaseTRR'!$K$4,E34+I34,0),IF(B35='1-BaseTRR'!$K$4,E35+I35,0),IF(B36='1-BaseTRR'!$K$4,E36+I36,0),IF(B37='1-BaseTRR'!$K$4,E37+I37,0),IF(B38='1-BaseTRR'!$K$4,E38+I38,0),IF(B39='1-BaseTRR'!$K$4,E39+I39,0),IF(B40='1-BaseTRR'!$K$4,E40+I40,0),IF(B41='1-BaseTRR'!$K$4,E41+I41,0))</f>
        <v>0</v>
      </c>
      <c r="I18" s="233" t="s">
        <v>1183</v>
      </c>
    </row>
    <row r="19" spans="1:10" ht="13">
      <c r="A19" s="2">
        <v>2</v>
      </c>
      <c r="F19" s="231" t="s">
        <v>1184</v>
      </c>
      <c r="G19" s="6">
        <f>SUM(IF(B31='1-BaseTRR'!$K$4-1,C31+G31,0),IF(B32='1-BaseTRR'!$K$4-1,C32+G32,0),IF(B33='1-BaseTRR'!$K$4-1,C33+G33,0),IF(B34='1-BaseTRR'!$K$4-1,C34+G34,0),IF(B35='1-BaseTRR'!$K$4-1,C35+G35,0),IF(B36='1-BaseTRR'!$K$4-1,C36+G36,0),IF(B37='1-BaseTRR'!$K$4-1,C37+G37,0),IF(B38='1-BaseTRR'!$K$4-1,C38+G38,0),IF(B39='1-BaseTRR'!$K$4-1,C39+G39,0),IF(B40='1-BaseTRR'!$K$4-1,C40+G40,0),IF(B41='1-BaseTRR'!$K$4-1,C41+G41,0))</f>
        <v>0</v>
      </c>
      <c r="I19" s="233" t="s">
        <v>1183</v>
      </c>
    </row>
    <row r="20" spans="1:10" ht="13">
      <c r="A20" s="2">
        <v>3</v>
      </c>
      <c r="F20" s="25" t="s">
        <v>1185</v>
      </c>
      <c r="G20" s="6">
        <f>SUM(IF(B31='1-BaseTRR'!$K$4,C31+G31,0),IF(B32='1-BaseTRR'!$K$4,C32+G32,0),IF(B33='1-BaseTRR'!$K$4,C33+G33,0),IF(B34='1-BaseTRR'!$K$4,C34+G34,0),IF(B35='1-BaseTRR'!$K$4,C35+G35,0),IF(B36='1-BaseTRR'!$K$4,C36+G36,0),IF(B37='1-BaseTRR'!$K$4,C37+G37,0),IF(B38='1-BaseTRR'!$K$4,C38+G38,0),IF(B39='1-BaseTRR'!$K$4,C39+G39,0),IF(B40='1-BaseTRR'!$K$4,C40+G40,0),IF(B41='1-BaseTRR'!$K$4,C41+G41,0))</f>
        <v>0</v>
      </c>
      <c r="I20" s="233" t="s">
        <v>1183</v>
      </c>
    </row>
    <row r="21" spans="1:10" ht="13">
      <c r="A21" s="2">
        <v>4</v>
      </c>
      <c r="F21" s="25" t="s">
        <v>1186</v>
      </c>
      <c r="G21" s="6">
        <f>(G19+G20)/2</f>
        <v>0</v>
      </c>
      <c r="I21" s="233" t="str">
        <f>"Average of Lines "&amp;A19&amp;" and "&amp;A20&amp;"."</f>
        <v>Average of Lines 2 and 3.</v>
      </c>
    </row>
    <row r="22" spans="1:10" ht="13">
      <c r="A22" s="2">
        <v>5</v>
      </c>
      <c r="E22" s="233"/>
      <c r="F22" s="231" t="s">
        <v>1187</v>
      </c>
      <c r="G22" s="6">
        <f>SUM(IF(B31='1-BaseTRR'!$K$4-1,D31+H31,0),IF(B32='1-BaseTRR'!$K$4-1,D32+H32,0),IF(B33='1-BaseTRR'!$K$4-1,D33+H33,0),IF(B34='1-BaseTRR'!$K$4-1,D34+H34,0),IF(B35='1-BaseTRR'!$K$4-1,D35+H35,0),IF(B36='1-BaseTRR'!$K$4-1,D36+H36,0),IF(B37='1-BaseTRR'!$K$4-1,D37+H37,0),IF(B38='1-BaseTRR'!$K$4-1,D38+H38,0),IF(B39='1-BaseTRR'!$K$4-1,D39+H39,0),IF(B40='1-BaseTRR'!$K$4-1,D40+H40,0),IF(B41='1-BaseTRR'!$K$4-1,D41+H41,0))</f>
        <v>0</v>
      </c>
      <c r="H22" s="233"/>
      <c r="I22" s="233" t="s">
        <v>1183</v>
      </c>
      <c r="J22" s="233"/>
    </row>
    <row r="23" spans="1:10">
      <c r="I23" s="233"/>
    </row>
    <row r="25" spans="1:10" ht="13">
      <c r="A25" s="2">
        <v>6</v>
      </c>
      <c r="C25" s="1" t="s">
        <v>1188</v>
      </c>
      <c r="D25" s="240" t="s">
        <v>1189</v>
      </c>
      <c r="G25" s="85" t="s">
        <v>1190</v>
      </c>
      <c r="H25" s="240" t="s">
        <v>1189</v>
      </c>
      <c r="I25" s="85"/>
      <c r="J25" s="233"/>
    </row>
    <row r="26" spans="1:10" ht="13">
      <c r="A26" s="2"/>
      <c r="C26" s="1"/>
      <c r="D26" s="233"/>
      <c r="G26" s="85"/>
      <c r="H26" s="233"/>
      <c r="I26" s="85"/>
      <c r="J26" s="233"/>
    </row>
    <row r="27" spans="1:10" ht="13">
      <c r="D27" s="2" t="s">
        <v>1191</v>
      </c>
      <c r="E27" s="2" t="s">
        <v>1192</v>
      </c>
      <c r="H27" s="2" t="s">
        <v>1191</v>
      </c>
      <c r="I27" s="2" t="s">
        <v>1192</v>
      </c>
      <c r="J27" s="2"/>
    </row>
    <row r="28" spans="1:10" ht="13">
      <c r="C28" s="2" t="s">
        <v>1193</v>
      </c>
      <c r="D28" s="2" t="s">
        <v>1192</v>
      </c>
      <c r="E28" s="2" t="s">
        <v>692</v>
      </c>
      <c r="G28" s="2" t="s">
        <v>1193</v>
      </c>
      <c r="H28" s="2" t="s">
        <v>1192</v>
      </c>
      <c r="I28" s="2" t="s">
        <v>692</v>
      </c>
      <c r="J28" s="2"/>
    </row>
    <row r="29" spans="1:10" ht="13">
      <c r="C29" s="2" t="s">
        <v>1192</v>
      </c>
      <c r="D29" s="2" t="s">
        <v>692</v>
      </c>
      <c r="E29" s="2" t="s">
        <v>1194</v>
      </c>
      <c r="G29" s="2" t="s">
        <v>1192</v>
      </c>
      <c r="H29" s="2" t="s">
        <v>692</v>
      </c>
      <c r="I29" s="2" t="s">
        <v>1194</v>
      </c>
      <c r="J29" s="2"/>
    </row>
    <row r="30" spans="1:10" ht="13">
      <c r="A30" s="2"/>
      <c r="B30" s="3" t="s">
        <v>381</v>
      </c>
      <c r="C30" s="3" t="s">
        <v>692</v>
      </c>
      <c r="D30" s="3" t="s">
        <v>1195</v>
      </c>
      <c r="E30" s="3" t="s">
        <v>1196</v>
      </c>
      <c r="G30" s="3" t="s">
        <v>692</v>
      </c>
      <c r="H30" s="3" t="s">
        <v>1195</v>
      </c>
      <c r="I30" s="3" t="s">
        <v>1196</v>
      </c>
      <c r="J30" s="3"/>
    </row>
    <row r="31" spans="1:10" ht="13">
      <c r="A31" s="2">
        <v>7</v>
      </c>
      <c r="B31">
        <v>2015</v>
      </c>
      <c r="C31" s="552"/>
      <c r="D31" s="552"/>
      <c r="E31" s="552"/>
      <c r="G31" s="54"/>
      <c r="H31" s="54"/>
      <c r="I31" s="54"/>
    </row>
    <row r="32" spans="1:10" ht="13">
      <c r="A32" s="2">
        <v>8</v>
      </c>
      <c r="B32">
        <v>2016</v>
      </c>
      <c r="C32" s="552"/>
      <c r="D32" s="552"/>
      <c r="E32" s="552"/>
      <c r="G32" s="54"/>
      <c r="H32" s="54"/>
      <c r="I32" s="54"/>
    </row>
    <row r="33" spans="1:9" ht="13">
      <c r="A33" s="2">
        <v>9</v>
      </c>
      <c r="B33">
        <v>2017</v>
      </c>
      <c r="C33" s="54"/>
      <c r="D33" s="54"/>
      <c r="E33" s="54"/>
      <c r="G33" s="54"/>
      <c r="H33" s="54"/>
      <c r="I33" s="54"/>
    </row>
    <row r="34" spans="1:9" ht="13">
      <c r="A34" s="2">
        <v>10</v>
      </c>
      <c r="B34">
        <v>2018</v>
      </c>
      <c r="C34" s="54"/>
      <c r="D34" s="54"/>
      <c r="E34" s="54"/>
      <c r="G34" s="54"/>
      <c r="H34" s="54"/>
      <c r="I34" s="54"/>
    </row>
    <row r="35" spans="1:9" ht="13">
      <c r="A35" s="2">
        <v>11</v>
      </c>
      <c r="B35">
        <v>2019</v>
      </c>
      <c r="C35" s="54"/>
      <c r="D35" s="54"/>
      <c r="E35" s="54"/>
      <c r="G35" s="54"/>
      <c r="H35" s="54"/>
      <c r="I35" s="54"/>
    </row>
    <row r="36" spans="1:9" ht="13">
      <c r="A36" s="2">
        <v>12</v>
      </c>
      <c r="B36">
        <v>2020</v>
      </c>
      <c r="C36" s="54"/>
      <c r="D36" s="54"/>
      <c r="E36" s="54"/>
      <c r="G36" s="54"/>
      <c r="H36" s="54"/>
      <c r="I36" s="54"/>
    </row>
    <row r="37" spans="1:9" ht="13">
      <c r="A37" s="2">
        <v>13</v>
      </c>
      <c r="B37">
        <v>2021</v>
      </c>
      <c r="C37" s="54"/>
      <c r="D37" s="54"/>
      <c r="E37" s="54"/>
      <c r="G37" s="54"/>
      <c r="H37" s="54"/>
      <c r="I37" s="54"/>
    </row>
    <row r="38" spans="1:9" ht="13">
      <c r="A38" s="2">
        <v>14</v>
      </c>
      <c r="B38">
        <v>2022</v>
      </c>
      <c r="C38" s="54"/>
      <c r="D38" s="54"/>
      <c r="E38" s="54"/>
      <c r="G38" s="54"/>
      <c r="H38" s="54"/>
      <c r="I38" s="54"/>
    </row>
    <row r="39" spans="1:9" ht="13">
      <c r="A39" s="2">
        <v>15</v>
      </c>
      <c r="B39">
        <v>2023</v>
      </c>
      <c r="C39" s="54"/>
      <c r="D39" s="54"/>
      <c r="E39" s="54"/>
      <c r="G39" s="54"/>
      <c r="H39" s="54"/>
      <c r="I39" s="54"/>
    </row>
    <row r="40" spans="1:9" ht="13">
      <c r="A40" s="2">
        <v>16</v>
      </c>
      <c r="B40">
        <v>2024</v>
      </c>
      <c r="C40" s="54"/>
      <c r="D40" s="54"/>
      <c r="E40" s="54"/>
      <c r="G40" s="54"/>
      <c r="H40" s="54"/>
      <c r="I40" s="54"/>
    </row>
    <row r="41" spans="1:9" ht="13">
      <c r="A41" s="2">
        <v>17</v>
      </c>
      <c r="B41">
        <v>2025</v>
      </c>
      <c r="C41" s="54"/>
      <c r="D41" s="54"/>
      <c r="E41" s="54"/>
      <c r="G41" s="54"/>
      <c r="H41" s="54"/>
      <c r="I41" s="54"/>
    </row>
    <row r="42" spans="1:9" ht="13">
      <c r="A42" s="2">
        <v>18</v>
      </c>
      <c r="B42" s="287" t="s">
        <v>639</v>
      </c>
    </row>
    <row r="43" spans="1:9" ht="13">
      <c r="A43" s="2"/>
      <c r="B43" s="287"/>
    </row>
    <row r="44" spans="1:9" ht="13">
      <c r="A44" s="2"/>
      <c r="B44" s="1" t="s">
        <v>233</v>
      </c>
    </row>
    <row r="45" spans="1:9" ht="13">
      <c r="A45" s="2"/>
      <c r="B45" s="233" t="s">
        <v>1197</v>
      </c>
    </row>
    <row r="46" spans="1:9" ht="13">
      <c r="A46" s="2"/>
    </row>
    <row r="47" spans="1:9" ht="13">
      <c r="A47" s="2"/>
      <c r="B47" s="1" t="s">
        <v>442</v>
      </c>
    </row>
    <row r="48" spans="1:9" ht="13">
      <c r="A48" s="2"/>
      <c r="B48" s="233" t="s">
        <v>1198</v>
      </c>
    </row>
    <row r="49" spans="1:2" ht="13">
      <c r="A49" s="2"/>
      <c r="B49" s="232" t="s">
        <v>1199</v>
      </c>
    </row>
    <row r="50" spans="1:2" ht="13">
      <c r="A50" s="2"/>
      <c r="B50" s="232" t="s">
        <v>1200</v>
      </c>
    </row>
    <row r="51" spans="1:2" ht="13">
      <c r="A51" s="2"/>
      <c r="B51" s="232" t="s">
        <v>1201</v>
      </c>
    </row>
    <row r="52" spans="1:2" ht="13">
      <c r="A52" s="2"/>
      <c r="B52" s="232" t="s">
        <v>1202</v>
      </c>
    </row>
    <row r="53" spans="1:2">
      <c r="B53" s="232" t="s">
        <v>1203</v>
      </c>
    </row>
    <row r="54" spans="1:2">
      <c r="B54" s="279" t="s">
        <v>1204</v>
      </c>
    </row>
    <row r="55" spans="1:2">
      <c r="B55" s="233" t="s">
        <v>1205</v>
      </c>
    </row>
    <row r="56" spans="1:2">
      <c r="B56" s="233" t="s">
        <v>1206</v>
      </c>
    </row>
  </sheetData>
  <pageMargins left="0.7" right="0.7" top="0.75" bottom="0.75" header="0.3" footer="0.3"/>
  <pageSetup scale="80" orientation="portrait" cellComments="asDisplayed" r:id="rId1"/>
  <headerFooter>
    <oddHeader>&amp;CSchedule 12
Abandoned Plant
&amp;RTO2027 Draft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1207</v>
      </c>
    </row>
    <row r="2" spans="1:7">
      <c r="C2" s="233"/>
      <c r="F2" s="27" t="s">
        <v>650</v>
      </c>
      <c r="G2" s="659"/>
    </row>
    <row r="3" spans="1:7" ht="13">
      <c r="B3" s="1" t="s">
        <v>1208</v>
      </c>
      <c r="F3" s="39" t="s">
        <v>200</v>
      </c>
      <c r="G3" s="240" t="s">
        <v>1209</v>
      </c>
    </row>
    <row r="4" spans="1:7">
      <c r="C4" s="233" t="s">
        <v>1210</v>
      </c>
      <c r="E4" s="13"/>
      <c r="F4" s="874"/>
      <c r="G4" s="20"/>
    </row>
    <row r="5" spans="1:7">
      <c r="C5" s="233" t="s">
        <v>1211</v>
      </c>
      <c r="E5" s="13"/>
      <c r="F5" s="874"/>
      <c r="G5" s="20"/>
    </row>
    <row r="6" spans="1:7" ht="13">
      <c r="E6" s="13"/>
      <c r="F6" s="43"/>
      <c r="G6" s="20"/>
    </row>
    <row r="7" spans="1:7" ht="13">
      <c r="C7" s="14"/>
      <c r="D7" s="13"/>
      <c r="E7" s="19" t="s">
        <v>691</v>
      </c>
      <c r="F7" s="19" t="s">
        <v>1212</v>
      </c>
      <c r="G7" s="19"/>
    </row>
    <row r="8" spans="1:7" ht="13">
      <c r="A8" s="32" t="s">
        <v>102</v>
      </c>
      <c r="C8" s="18" t="s">
        <v>380</v>
      </c>
      <c r="D8" s="18" t="s">
        <v>381</v>
      </c>
      <c r="E8" s="18" t="s">
        <v>684</v>
      </c>
      <c r="F8" s="18" t="s">
        <v>1213</v>
      </c>
      <c r="G8" s="18" t="s">
        <v>103</v>
      </c>
    </row>
    <row r="9" spans="1:7" ht="13">
      <c r="A9" s="2">
        <v>1</v>
      </c>
      <c r="C9" s="13" t="s">
        <v>388</v>
      </c>
      <c r="D9" s="82">
        <v>2024</v>
      </c>
      <c r="E9" s="21" t="s">
        <v>1214</v>
      </c>
      <c r="F9" s="795">
        <v>531628242</v>
      </c>
      <c r="G9" s="21" t="s">
        <v>1215</v>
      </c>
    </row>
    <row r="10" spans="1:7" ht="13">
      <c r="A10" s="2">
        <f>A9+1</f>
        <v>2</v>
      </c>
      <c r="C10" s="241" t="s">
        <v>390</v>
      </c>
      <c r="D10" s="82">
        <v>2025</v>
      </c>
      <c r="E10" s="255" t="s">
        <v>957</v>
      </c>
      <c r="F10" s="795">
        <v>526609945.75999999</v>
      </c>
      <c r="G10" s="21"/>
    </row>
    <row r="11" spans="1:7" ht="13">
      <c r="A11" s="2">
        <f t="shared" ref="A11:A21" si="0">A10+1</f>
        <v>3</v>
      </c>
      <c r="C11" s="241" t="s">
        <v>391</v>
      </c>
      <c r="D11" s="82">
        <v>2025</v>
      </c>
      <c r="E11" s="255" t="s">
        <v>957</v>
      </c>
      <c r="F11" s="795">
        <v>527992591.06</v>
      </c>
      <c r="G11" s="21"/>
    </row>
    <row r="12" spans="1:7" ht="13">
      <c r="A12" s="2">
        <f t="shared" si="0"/>
        <v>4</v>
      </c>
      <c r="C12" s="241" t="s">
        <v>392</v>
      </c>
      <c r="D12" s="82">
        <v>2025</v>
      </c>
      <c r="E12" s="255" t="s">
        <v>957</v>
      </c>
      <c r="F12" s="795">
        <v>533592974</v>
      </c>
      <c r="G12" s="21"/>
    </row>
    <row r="13" spans="1:7" ht="13">
      <c r="A13" s="2">
        <f t="shared" si="0"/>
        <v>5</v>
      </c>
      <c r="C13" s="241" t="s">
        <v>393</v>
      </c>
      <c r="D13" s="82">
        <v>2025</v>
      </c>
      <c r="E13" s="255" t="s">
        <v>957</v>
      </c>
      <c r="F13" s="795">
        <v>530995188.44</v>
      </c>
      <c r="G13" s="21"/>
    </row>
    <row r="14" spans="1:7" ht="13">
      <c r="A14" s="2">
        <f t="shared" si="0"/>
        <v>6</v>
      </c>
      <c r="C14" s="241" t="s">
        <v>394</v>
      </c>
      <c r="D14" s="82">
        <v>2025</v>
      </c>
      <c r="E14" s="255" t="s">
        <v>957</v>
      </c>
      <c r="F14" s="795">
        <v>530818320.00999999</v>
      </c>
      <c r="G14" s="21"/>
    </row>
    <row r="15" spans="1:7" ht="13">
      <c r="A15" s="2">
        <f t="shared" si="0"/>
        <v>7</v>
      </c>
      <c r="C15" s="241" t="s">
        <v>608</v>
      </c>
      <c r="D15" s="82">
        <v>2025</v>
      </c>
      <c r="E15" s="255" t="s">
        <v>957</v>
      </c>
      <c r="F15" s="795">
        <v>517822666.19</v>
      </c>
      <c r="G15" s="21"/>
    </row>
    <row r="16" spans="1:7" ht="13">
      <c r="A16" s="2">
        <f t="shared" si="0"/>
        <v>8</v>
      </c>
      <c r="C16" s="241" t="s">
        <v>396</v>
      </c>
      <c r="D16" s="82">
        <v>2025</v>
      </c>
      <c r="E16" s="255" t="s">
        <v>957</v>
      </c>
      <c r="F16" s="795">
        <v>523386170.73000002</v>
      </c>
      <c r="G16" s="21"/>
    </row>
    <row r="17" spans="1:7" ht="13">
      <c r="A17" s="2">
        <f t="shared" si="0"/>
        <v>9</v>
      </c>
      <c r="C17" s="241" t="s">
        <v>397</v>
      </c>
      <c r="D17" s="82">
        <v>2025</v>
      </c>
      <c r="E17" s="255" t="s">
        <v>957</v>
      </c>
      <c r="F17" s="795">
        <v>524613718.20999998</v>
      </c>
      <c r="G17" s="21"/>
    </row>
    <row r="18" spans="1:7" ht="13">
      <c r="A18" s="2">
        <f t="shared" si="0"/>
        <v>10</v>
      </c>
      <c r="C18" s="241" t="s">
        <v>398</v>
      </c>
      <c r="D18" s="82">
        <v>2025</v>
      </c>
      <c r="E18" s="255" t="s">
        <v>957</v>
      </c>
      <c r="F18" s="795">
        <v>519208502.58999997</v>
      </c>
      <c r="G18" s="21"/>
    </row>
    <row r="19" spans="1:7" ht="13">
      <c r="A19" s="2">
        <f t="shared" si="0"/>
        <v>11</v>
      </c>
      <c r="C19" s="241" t="s">
        <v>399</v>
      </c>
      <c r="D19" s="82">
        <v>2025</v>
      </c>
      <c r="E19" s="255" t="s">
        <v>957</v>
      </c>
      <c r="F19" s="795">
        <v>523253566.22000003</v>
      </c>
      <c r="G19" s="21"/>
    </row>
    <row r="20" spans="1:7" ht="13">
      <c r="A20" s="2">
        <f t="shared" si="0"/>
        <v>12</v>
      </c>
      <c r="C20" s="241" t="s">
        <v>400</v>
      </c>
      <c r="D20" s="82">
        <v>2025</v>
      </c>
      <c r="E20" s="255" t="s">
        <v>957</v>
      </c>
      <c r="F20" s="253">
        <v>521836844.64999998</v>
      </c>
      <c r="G20" s="21"/>
    </row>
    <row r="21" spans="1:7" ht="13">
      <c r="A21" s="2">
        <f t="shared" si="0"/>
        <v>13</v>
      </c>
      <c r="C21" s="14" t="s">
        <v>388</v>
      </c>
      <c r="D21" s="82">
        <v>2025</v>
      </c>
      <c r="E21" s="21" t="s">
        <v>1216</v>
      </c>
      <c r="F21" s="795">
        <v>530124065</v>
      </c>
      <c r="G21" s="12" t="s">
        <v>812</v>
      </c>
    </row>
    <row r="22" spans="1:7" ht="13">
      <c r="C22" s="15"/>
      <c r="D22" s="15"/>
      <c r="E22" s="13"/>
      <c r="G22" s="21"/>
    </row>
    <row r="23" spans="1:7" ht="13">
      <c r="A23" s="2">
        <f>A21+1</f>
        <v>14</v>
      </c>
      <c r="C23" s="15"/>
      <c r="D23" s="15"/>
      <c r="E23" s="254" t="s">
        <v>1217</v>
      </c>
      <c r="F23" s="873">
        <f>SUM(F9:F21)/13</f>
        <v>526298676.52769226</v>
      </c>
      <c r="G23" s="12" t="str">
        <f>"(Sum Line "&amp;A9&amp;" to Line "&amp;A21&amp;") / 13"</f>
        <v>(Sum Line 1 to Line 13) / 13</v>
      </c>
    </row>
    <row r="24" spans="1:7" ht="13">
      <c r="A24" s="2">
        <f>A23+1</f>
        <v>15</v>
      </c>
      <c r="C24" s="15"/>
      <c r="D24" s="15"/>
      <c r="E24" s="22" t="s">
        <v>1218</v>
      </c>
      <c r="F24" s="24">
        <f>'27-Allocators'!G15</f>
        <v>6.4531762547854879E-2</v>
      </c>
      <c r="G24" s="12" t="str">
        <f>"27-Allocators, Line "&amp;'27-Allocators'!A15&amp;""</f>
        <v>27-Allocators, Line 9</v>
      </c>
    </row>
    <row r="25" spans="1:7" ht="13">
      <c r="D25" s="15"/>
      <c r="E25" s="22"/>
      <c r="F25" s="873"/>
      <c r="G25" s="12"/>
    </row>
    <row r="26" spans="1:7" ht="13">
      <c r="A26" s="2">
        <f>A24+1</f>
        <v>16</v>
      </c>
      <c r="C26" s="15" t="s">
        <v>112</v>
      </c>
      <c r="D26" s="15"/>
      <c r="E26" s="231" t="s">
        <v>686</v>
      </c>
      <c r="F26" s="873">
        <f>F21*F24</f>
        <v>34209840.283483587</v>
      </c>
      <c r="G26" s="232" t="str">
        <f>"Line "&amp;A21&amp;" * Line "&amp;A24&amp;""</f>
        <v>Line 13 * Line 15</v>
      </c>
    </row>
    <row r="27" spans="1:7" ht="13">
      <c r="A27" s="2">
        <f>A26+1</f>
        <v>17</v>
      </c>
      <c r="C27" s="15"/>
      <c r="D27" s="15"/>
      <c r="E27" s="254" t="s">
        <v>1219</v>
      </c>
      <c r="F27" s="873">
        <f>F23*F24</f>
        <v>33962981.222935319</v>
      </c>
      <c r="G27" s="232" t="str">
        <f>"Line "&amp;A23&amp;" * Line "&amp;A24&amp;""</f>
        <v>Line 14 * Line 15</v>
      </c>
    </row>
    <row r="29" spans="1:7" ht="13">
      <c r="B29" s="1" t="s">
        <v>1220</v>
      </c>
    </row>
    <row r="30" spans="1:7">
      <c r="C30" t="s">
        <v>1221</v>
      </c>
      <c r="E30" s="13"/>
      <c r="F30" s="874"/>
      <c r="G30" s="20"/>
    </row>
    <row r="31" spans="1:7">
      <c r="C31" t="s">
        <v>1222</v>
      </c>
      <c r="E31" s="13"/>
      <c r="F31" s="874"/>
      <c r="G31" s="20"/>
    </row>
    <row r="32" spans="1:7" ht="13">
      <c r="C32" s="14"/>
      <c r="D32" s="13"/>
      <c r="E32" s="19" t="s">
        <v>691</v>
      </c>
      <c r="F32" s="43" t="s">
        <v>1223</v>
      </c>
      <c r="G32" s="19"/>
    </row>
    <row r="33" spans="1:11" ht="13">
      <c r="C33" s="18" t="s">
        <v>380</v>
      </c>
      <c r="D33" s="18" t="s">
        <v>381</v>
      </c>
      <c r="E33" s="18" t="s">
        <v>684</v>
      </c>
      <c r="F33" s="18" t="s">
        <v>694</v>
      </c>
      <c r="G33" s="18" t="s">
        <v>103</v>
      </c>
    </row>
    <row r="34" spans="1:11" ht="13">
      <c r="A34" s="2">
        <f>A27+1</f>
        <v>18</v>
      </c>
      <c r="C34" s="13" t="s">
        <v>388</v>
      </c>
      <c r="D34" s="82">
        <v>2024</v>
      </c>
      <c r="E34" s="553" t="s">
        <v>1224</v>
      </c>
      <c r="F34" s="6">
        <f>F63</f>
        <v>122044546</v>
      </c>
      <c r="G34" s="553" t="s">
        <v>1225</v>
      </c>
    </row>
    <row r="35" spans="1:11" ht="13">
      <c r="A35" s="2">
        <f>A34+1</f>
        <v>19</v>
      </c>
      <c r="C35" s="241" t="s">
        <v>390</v>
      </c>
      <c r="D35" s="82">
        <v>2025</v>
      </c>
      <c r="E35" s="255" t="s">
        <v>957</v>
      </c>
      <c r="F35" s="59">
        <v>145402141.71000001</v>
      </c>
      <c r="G35" s="553"/>
      <c r="J35" s="6"/>
      <c r="K35" s="6"/>
    </row>
    <row r="36" spans="1:11" ht="13">
      <c r="A36" s="2">
        <f t="shared" ref="A36:A46" si="1">A35+1</f>
        <v>20</v>
      </c>
      <c r="C36" s="241" t="s">
        <v>391</v>
      </c>
      <c r="D36" s="82">
        <v>2025</v>
      </c>
      <c r="E36" s="255" t="s">
        <v>957</v>
      </c>
      <c r="F36" s="59">
        <v>146318395.53999999</v>
      </c>
      <c r="G36" s="553"/>
      <c r="J36" s="6"/>
      <c r="K36" s="6"/>
    </row>
    <row r="37" spans="1:11" ht="13">
      <c r="A37" s="2">
        <f t="shared" si="1"/>
        <v>21</v>
      </c>
      <c r="C37" s="241" t="s">
        <v>392</v>
      </c>
      <c r="D37" s="82">
        <v>2025</v>
      </c>
      <c r="E37" s="255" t="s">
        <v>957</v>
      </c>
      <c r="F37" s="59">
        <v>260832627.40000001</v>
      </c>
      <c r="G37" s="553"/>
      <c r="J37" s="6"/>
      <c r="K37" s="6"/>
    </row>
    <row r="38" spans="1:11" ht="13">
      <c r="A38" s="2">
        <f t="shared" si="1"/>
        <v>22</v>
      </c>
      <c r="C38" s="241" t="s">
        <v>393</v>
      </c>
      <c r="D38" s="82">
        <v>2025</v>
      </c>
      <c r="E38" s="255" t="s">
        <v>957</v>
      </c>
      <c r="F38" s="59">
        <v>211495420.53999999</v>
      </c>
      <c r="G38" s="553"/>
      <c r="J38" s="6"/>
      <c r="K38" s="6"/>
    </row>
    <row r="39" spans="1:11" ht="13">
      <c r="A39" s="2">
        <f t="shared" si="1"/>
        <v>23</v>
      </c>
      <c r="C39" s="241" t="s">
        <v>394</v>
      </c>
      <c r="D39" s="82">
        <v>2025</v>
      </c>
      <c r="E39" s="255" t="s">
        <v>957</v>
      </c>
      <c r="F39" s="59">
        <v>156184878.37</v>
      </c>
      <c r="G39" s="553"/>
      <c r="J39" s="6"/>
      <c r="K39" s="6"/>
    </row>
    <row r="40" spans="1:11" ht="13">
      <c r="A40" s="2">
        <f t="shared" si="1"/>
        <v>24</v>
      </c>
      <c r="C40" s="241" t="s">
        <v>608</v>
      </c>
      <c r="D40" s="82">
        <v>2025</v>
      </c>
      <c r="E40" s="255" t="s">
        <v>957</v>
      </c>
      <c r="F40" s="59">
        <v>99613988.329999998</v>
      </c>
      <c r="G40" s="553"/>
      <c r="J40" s="6"/>
      <c r="K40" s="6"/>
    </row>
    <row r="41" spans="1:11" ht="13">
      <c r="A41" s="2">
        <f t="shared" si="1"/>
        <v>25</v>
      </c>
      <c r="C41" s="241" t="s">
        <v>396</v>
      </c>
      <c r="D41" s="82">
        <v>2025</v>
      </c>
      <c r="E41" s="255" t="s">
        <v>957</v>
      </c>
      <c r="F41" s="59">
        <v>136842470.65000001</v>
      </c>
      <c r="G41" s="553"/>
      <c r="J41" s="6"/>
      <c r="K41" s="6"/>
    </row>
    <row r="42" spans="1:11" ht="13">
      <c r="A42" s="2">
        <f t="shared" si="1"/>
        <v>26</v>
      </c>
      <c r="C42" s="241" t="s">
        <v>397</v>
      </c>
      <c r="D42" s="82">
        <v>2025</v>
      </c>
      <c r="E42" s="255" t="s">
        <v>957</v>
      </c>
      <c r="F42" s="59">
        <v>126280058.84</v>
      </c>
      <c r="G42" s="553"/>
      <c r="J42" s="6"/>
      <c r="K42" s="6"/>
    </row>
    <row r="43" spans="1:11" ht="13">
      <c r="A43" s="2">
        <f t="shared" si="1"/>
        <v>27</v>
      </c>
      <c r="C43" s="241" t="s">
        <v>398</v>
      </c>
      <c r="D43" s="82">
        <v>2025</v>
      </c>
      <c r="E43" s="255" t="s">
        <v>957</v>
      </c>
      <c r="F43" s="59">
        <v>136587718.18000001</v>
      </c>
      <c r="G43" s="553"/>
      <c r="J43" s="6"/>
      <c r="K43" s="6"/>
    </row>
    <row r="44" spans="1:11" ht="13">
      <c r="A44" s="2">
        <f t="shared" si="1"/>
        <v>28</v>
      </c>
      <c r="C44" s="241" t="s">
        <v>399</v>
      </c>
      <c r="D44" s="82">
        <v>2025</v>
      </c>
      <c r="E44" s="255" t="s">
        <v>957</v>
      </c>
      <c r="F44" s="59">
        <v>124724196.19</v>
      </c>
      <c r="G44" s="553"/>
      <c r="J44" s="6"/>
      <c r="K44" s="6"/>
    </row>
    <row r="45" spans="1:11" ht="13">
      <c r="A45" s="2">
        <f t="shared" si="1"/>
        <v>29</v>
      </c>
      <c r="C45" s="241" t="s">
        <v>400</v>
      </c>
      <c r="D45" s="82">
        <v>2025</v>
      </c>
      <c r="E45" s="255" t="s">
        <v>957</v>
      </c>
      <c r="F45" s="116">
        <v>190507647.12</v>
      </c>
      <c r="G45" s="553"/>
      <c r="J45" s="6"/>
      <c r="K45" s="6"/>
    </row>
    <row r="46" spans="1:11" ht="13">
      <c r="A46" s="2">
        <f t="shared" si="1"/>
        <v>30</v>
      </c>
      <c r="C46" s="14" t="s">
        <v>388</v>
      </c>
      <c r="D46" s="82">
        <v>2025</v>
      </c>
      <c r="E46" s="553" t="s">
        <v>1226</v>
      </c>
      <c r="F46" s="6">
        <f>F69</f>
        <v>96580134</v>
      </c>
      <c r="G46" s="553" t="s">
        <v>1227</v>
      </c>
    </row>
    <row r="47" spans="1:11">
      <c r="C47" s="14"/>
      <c r="D47" s="17"/>
      <c r="E47" s="16"/>
      <c r="F47" s="873"/>
      <c r="G47" s="12"/>
    </row>
    <row r="48" spans="1:11" ht="13">
      <c r="C48" s="334" t="s">
        <v>1228</v>
      </c>
      <c r="D48" s="334"/>
      <c r="E48" s="303"/>
      <c r="G48" s="21"/>
    </row>
    <row r="49" spans="1:8" ht="13">
      <c r="A49" s="2">
        <f>A46+1</f>
        <v>31</v>
      </c>
      <c r="C49" s="15"/>
      <c r="D49" s="15"/>
      <c r="E49" s="354" t="s">
        <v>1219</v>
      </c>
      <c r="F49" s="873">
        <f>SUM(F34:F46)/13</f>
        <v>150262632.52846152</v>
      </c>
      <c r="G49" s="12" t="str">
        <f>"(Sum Line "&amp;A34&amp;" to Line "&amp;A46&amp;") / 13"</f>
        <v>(Sum Line 18 to Line 30) / 13</v>
      </c>
    </row>
    <row r="50" spans="1:8" ht="13">
      <c r="A50" s="2">
        <f>A49+1</f>
        <v>32</v>
      </c>
      <c r="C50" s="15"/>
      <c r="D50" s="15"/>
      <c r="E50" s="254" t="s">
        <v>1218</v>
      </c>
      <c r="F50" s="24">
        <f>'27-Allocators'!G15</f>
        <v>6.4531762547854879E-2</v>
      </c>
      <c r="G50" s="12" t="str">
        <f>"27-Allocators, Line "&amp;'27-Allocators'!A15&amp;""</f>
        <v>27-Allocators, Line 9</v>
      </c>
    </row>
    <row r="51" spans="1:8" ht="13">
      <c r="A51" s="2">
        <f>A50+1</f>
        <v>33</v>
      </c>
      <c r="C51" s="15"/>
      <c r="D51" s="15"/>
      <c r="E51" s="22" t="s">
        <v>1229</v>
      </c>
      <c r="F51" s="873">
        <f>F49*F50</f>
        <v>9696712.5221422538</v>
      </c>
      <c r="G51" s="232" t="str">
        <f>"Line "&amp;A49&amp;" * Line "&amp;A50&amp;""</f>
        <v>Line 31 * Line 32</v>
      </c>
    </row>
    <row r="52" spans="1:8" ht="13">
      <c r="C52" s="15" t="s">
        <v>1230</v>
      </c>
      <c r="D52" s="15"/>
      <c r="E52" s="13"/>
      <c r="G52" s="23"/>
    </row>
    <row r="53" spans="1:8" ht="13">
      <c r="A53" s="2">
        <f>A51+1</f>
        <v>34</v>
      </c>
      <c r="C53" s="15"/>
      <c r="D53" s="15"/>
      <c r="E53" s="22" t="s">
        <v>686</v>
      </c>
      <c r="F53" s="873">
        <f>F46</f>
        <v>96580134</v>
      </c>
      <c r="G53" s="23" t="str">
        <f>"Line "&amp;A46&amp;""</f>
        <v>Line 30</v>
      </c>
    </row>
    <row r="54" spans="1:8" ht="13">
      <c r="A54" s="2">
        <f>A53+1</f>
        <v>35</v>
      </c>
      <c r="C54" s="15"/>
      <c r="D54" s="15"/>
      <c r="E54" s="22" t="s">
        <v>1218</v>
      </c>
      <c r="F54" s="24">
        <f>'27-Allocators'!G15</f>
        <v>6.4531762547854879E-2</v>
      </c>
      <c r="G54" s="12" t="str">
        <f>"27-Allocators, Line "&amp;'27-Allocators'!A15&amp;""</f>
        <v>27-Allocators, Line 9</v>
      </c>
    </row>
    <row r="55" spans="1:8" ht="13">
      <c r="A55" s="2">
        <f>A54+1</f>
        <v>36</v>
      </c>
      <c r="C55" s="15"/>
      <c r="D55" s="15"/>
      <c r="E55" s="22" t="s">
        <v>1229</v>
      </c>
      <c r="F55" s="873">
        <f>F53*F54</f>
        <v>6232486.2741280058</v>
      </c>
      <c r="G55" s="232" t="str">
        <f>"Line "&amp;A53&amp;" * Line "&amp;A54&amp;""</f>
        <v>Line 34 * Line 35</v>
      </c>
    </row>
    <row r="56" spans="1:8" ht="13">
      <c r="B56" s="30" t="s">
        <v>233</v>
      </c>
      <c r="C56" s="233"/>
      <c r="D56" s="233"/>
      <c r="E56" s="233"/>
      <c r="F56" s="233"/>
      <c r="G56" s="233"/>
    </row>
    <row r="57" spans="1:8">
      <c r="B57" s="233" t="s">
        <v>1231</v>
      </c>
      <c r="C57" s="233" t="str">
        <f>"Remove any amounts related to years prior to 2012 on "&amp;B62&amp;" and "&amp;B68&amp;" below."</f>
        <v>Remove any amounts related to years prior to 2012 on b and e below.</v>
      </c>
      <c r="D57" s="233"/>
      <c r="E57" s="233"/>
      <c r="F57" s="233"/>
      <c r="G57" s="233"/>
    </row>
    <row r="58" spans="1:8" ht="13">
      <c r="A58" s="2"/>
      <c r="B58" s="233"/>
      <c r="C58" s="233"/>
      <c r="D58" s="233"/>
      <c r="E58" s="231"/>
      <c r="F58" s="235"/>
      <c r="G58" s="232"/>
      <c r="H58" s="1"/>
    </row>
    <row r="59" spans="1:8" ht="13">
      <c r="A59" s="2"/>
      <c r="B59" s="233"/>
      <c r="C59" s="233" t="s">
        <v>1232</v>
      </c>
      <c r="D59" s="233"/>
      <c r="E59" s="231"/>
      <c r="F59" s="554" t="s">
        <v>113</v>
      </c>
      <c r="G59" s="232"/>
    </row>
    <row r="60" spans="1:8" ht="13">
      <c r="A60" s="2"/>
      <c r="B60" s="233"/>
      <c r="C60" s="233"/>
      <c r="D60" s="233"/>
      <c r="E60" s="231"/>
      <c r="F60" s="328" t="s">
        <v>694</v>
      </c>
      <c r="G60" s="194" t="s">
        <v>684</v>
      </c>
    </row>
    <row r="61" spans="1:8" ht="13">
      <c r="A61" s="2"/>
      <c r="B61" s="2" t="s">
        <v>527</v>
      </c>
      <c r="C61" s="303"/>
      <c r="D61" s="233"/>
      <c r="E61" s="231" t="s">
        <v>1233</v>
      </c>
      <c r="F61" s="558">
        <v>122044546</v>
      </c>
      <c r="G61" s="553" t="s">
        <v>1234</v>
      </c>
    </row>
    <row r="62" spans="1:8" ht="13">
      <c r="A62" s="2"/>
      <c r="B62" s="2" t="s">
        <v>530</v>
      </c>
      <c r="C62" s="233"/>
      <c r="D62" s="233"/>
      <c r="E62" s="231" t="s">
        <v>1235</v>
      </c>
      <c r="F62" s="61"/>
      <c r="G62" s="232" t="s">
        <v>147</v>
      </c>
    </row>
    <row r="63" spans="1:8" ht="13">
      <c r="A63" s="2"/>
      <c r="B63" s="2" t="s">
        <v>533</v>
      </c>
      <c r="C63" s="233"/>
      <c r="D63" s="233"/>
      <c r="E63" s="231" t="s">
        <v>1236</v>
      </c>
      <c r="F63" s="235">
        <f>F61-F62</f>
        <v>122044546</v>
      </c>
      <c r="G63" s="232" t="str">
        <f>""&amp;B61&amp;" - "&amp;B62&amp;""</f>
        <v>a - b</v>
      </c>
    </row>
    <row r="64" spans="1:8" ht="13">
      <c r="A64" s="2"/>
      <c r="B64" s="233"/>
      <c r="C64" s="233"/>
      <c r="D64" s="233"/>
      <c r="E64" s="233"/>
      <c r="F64" s="233"/>
      <c r="G64" s="233"/>
    </row>
    <row r="65" spans="1:7" ht="13">
      <c r="A65" s="2"/>
      <c r="B65" s="233"/>
      <c r="C65" s="233" t="s">
        <v>1237</v>
      </c>
      <c r="D65" s="233"/>
      <c r="E65" s="231"/>
      <c r="F65" s="554" t="s">
        <v>113</v>
      </c>
      <c r="G65" s="232"/>
    </row>
    <row r="66" spans="1:7" ht="13">
      <c r="A66" s="2"/>
      <c r="B66" s="233"/>
      <c r="C66" s="233"/>
      <c r="D66" s="233"/>
      <c r="E66" s="231"/>
      <c r="F66" s="328" t="s">
        <v>694</v>
      </c>
      <c r="G66" s="194" t="s">
        <v>684</v>
      </c>
    </row>
    <row r="67" spans="1:7" ht="13">
      <c r="A67" s="2"/>
      <c r="B67" s="2" t="s">
        <v>535</v>
      </c>
      <c r="C67" s="303"/>
      <c r="D67" s="233"/>
      <c r="E67" s="231" t="s">
        <v>1233</v>
      </c>
      <c r="F67" s="558">
        <v>96580134</v>
      </c>
      <c r="G67" s="553" t="s">
        <v>1238</v>
      </c>
    </row>
    <row r="68" spans="1:7" ht="13">
      <c r="A68" s="2"/>
      <c r="B68" s="2" t="s">
        <v>539</v>
      </c>
      <c r="C68" s="233"/>
      <c r="D68" s="233"/>
      <c r="E68" s="231" t="s">
        <v>1235</v>
      </c>
      <c r="F68" s="61"/>
      <c r="G68" s="232" t="s">
        <v>147</v>
      </c>
    </row>
    <row r="69" spans="1:7" ht="13">
      <c r="A69" s="2"/>
      <c r="B69" s="2" t="s">
        <v>541</v>
      </c>
      <c r="C69" s="233"/>
      <c r="D69" s="233"/>
      <c r="E69" s="231" t="s">
        <v>1239</v>
      </c>
      <c r="F69" s="235">
        <f>F67-F68</f>
        <v>96580134</v>
      </c>
      <c r="G69" s="232" t="str">
        <f>""&amp;B67&amp;" - "&amp;B68&amp;""</f>
        <v>d - e</v>
      </c>
    </row>
    <row r="73" spans="1:7">
      <c r="F73" s="285"/>
    </row>
  </sheetData>
  <phoneticPr fontId="26" type="noConversion"/>
  <pageMargins left="0.75" right="0.75" top="1" bottom="1" header="0.5" footer="0.5"/>
  <pageSetup scale="71" orientation="portrait" cellComments="asDisplayed" r:id="rId1"/>
  <headerFooter alignWithMargins="0">
    <oddHeader>&amp;CSchedule 13
Working Capital
&amp;RTO2027 Draft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election activeCell="B1" sqref="B1"/>
    </sheetView>
  </sheetViews>
  <sheetFormatPr defaultRowHeight="12.5"/>
  <cols>
    <col min="1" max="1" width="2.54296875" customWidth="1"/>
    <col min="2" max="2" width="20" customWidth="1"/>
    <col min="3" max="3" width="10.54296875" customWidth="1"/>
    <col min="4" max="4" width="66.54296875" customWidth="1"/>
  </cols>
  <sheetData>
    <row r="1" spans="1:4" ht="13">
      <c r="A1" s="1" t="s">
        <v>2</v>
      </c>
      <c r="C1" s="1"/>
    </row>
    <row r="3" spans="1:4" ht="13">
      <c r="B3" s="3" t="s">
        <v>3</v>
      </c>
      <c r="C3" s="3" t="s">
        <v>4</v>
      </c>
      <c r="D3" s="194" t="s">
        <v>5</v>
      </c>
    </row>
    <row r="4" spans="1:4">
      <c r="B4" s="187" t="s">
        <v>6</v>
      </c>
      <c r="C4" s="37"/>
      <c r="D4" s="233" t="s">
        <v>7</v>
      </c>
    </row>
    <row r="5" spans="1:4">
      <c r="B5" s="187" t="s">
        <v>8</v>
      </c>
      <c r="C5" s="37">
        <v>1</v>
      </c>
      <c r="D5" s="233" t="s">
        <v>9</v>
      </c>
    </row>
    <row r="6" spans="1:4">
      <c r="B6" s="187" t="s">
        <v>10</v>
      </c>
      <c r="C6" s="37">
        <v>2</v>
      </c>
      <c r="D6" s="233" t="s">
        <v>11</v>
      </c>
    </row>
    <row r="7" spans="1:4">
      <c r="B7" s="187" t="s">
        <v>12</v>
      </c>
      <c r="C7" s="37">
        <v>3</v>
      </c>
      <c r="D7" s="233" t="s">
        <v>13</v>
      </c>
    </row>
    <row r="8" spans="1:4">
      <c r="B8" s="187" t="s">
        <v>14</v>
      </c>
      <c r="C8" s="37">
        <v>4</v>
      </c>
      <c r="D8" s="233" t="s">
        <v>15</v>
      </c>
    </row>
    <row r="9" spans="1:4">
      <c r="B9" s="187" t="s">
        <v>16</v>
      </c>
      <c r="C9" s="37">
        <v>5</v>
      </c>
      <c r="D9" s="233" t="s">
        <v>17</v>
      </c>
    </row>
    <row r="10" spans="1:4">
      <c r="B10" s="187" t="s">
        <v>18</v>
      </c>
      <c r="C10" s="37">
        <v>6</v>
      </c>
      <c r="D10" s="233" t="s">
        <v>19</v>
      </c>
    </row>
    <row r="11" spans="1:4">
      <c r="B11" s="187" t="s">
        <v>20</v>
      </c>
      <c r="C11" s="37">
        <v>7</v>
      </c>
      <c r="D11" s="233" t="s">
        <v>21</v>
      </c>
    </row>
    <row r="12" spans="1:4">
      <c r="B12" s="187" t="s">
        <v>22</v>
      </c>
      <c r="C12" s="37">
        <v>8</v>
      </c>
      <c r="D12" s="233" t="s">
        <v>23</v>
      </c>
    </row>
    <row r="13" spans="1:4">
      <c r="B13" s="187" t="s">
        <v>24</v>
      </c>
      <c r="C13" s="37">
        <v>9</v>
      </c>
      <c r="D13" s="233" t="s">
        <v>25</v>
      </c>
    </row>
    <row r="14" spans="1:4">
      <c r="B14" s="187" t="s">
        <v>26</v>
      </c>
      <c r="C14" s="37">
        <v>10</v>
      </c>
      <c r="D14" s="233" t="s">
        <v>27</v>
      </c>
    </row>
    <row r="15" spans="1:4">
      <c r="B15" s="187" t="s">
        <v>28</v>
      </c>
      <c r="C15" s="37">
        <v>11</v>
      </c>
      <c r="D15" s="233" t="s">
        <v>29</v>
      </c>
    </row>
    <row r="16" spans="1:4">
      <c r="B16" s="187" t="s">
        <v>30</v>
      </c>
      <c r="C16" s="37">
        <v>12</v>
      </c>
      <c r="D16" s="233" t="s">
        <v>31</v>
      </c>
    </row>
    <row r="17" spans="2:4">
      <c r="B17" s="187" t="s">
        <v>32</v>
      </c>
      <c r="C17" s="37">
        <v>13</v>
      </c>
      <c r="D17" s="233" t="s">
        <v>33</v>
      </c>
    </row>
    <row r="18" spans="2:4">
      <c r="B18" s="187" t="s">
        <v>34</v>
      </c>
      <c r="C18" s="37">
        <v>14</v>
      </c>
      <c r="D18" s="233" t="s">
        <v>35</v>
      </c>
    </row>
    <row r="19" spans="2:4">
      <c r="B19" s="187" t="s">
        <v>36</v>
      </c>
      <c r="C19" s="37">
        <v>15</v>
      </c>
      <c r="D19" s="233" t="s">
        <v>37</v>
      </c>
    </row>
    <row r="20" spans="2:4">
      <c r="B20" s="187" t="s">
        <v>38</v>
      </c>
      <c r="C20" s="37">
        <v>16</v>
      </c>
      <c r="D20" s="233" t="s">
        <v>39</v>
      </c>
    </row>
    <row r="21" spans="2:4">
      <c r="B21" s="187" t="s">
        <v>40</v>
      </c>
      <c r="C21" s="37">
        <v>17</v>
      </c>
      <c r="D21" s="233" t="s">
        <v>41</v>
      </c>
    </row>
    <row r="22" spans="2:4">
      <c r="B22" s="187" t="s">
        <v>42</v>
      </c>
      <c r="C22" s="37">
        <v>18</v>
      </c>
      <c r="D22" s="233" t="s">
        <v>43</v>
      </c>
    </row>
    <row r="23" spans="2:4">
      <c r="B23" s="187" t="s">
        <v>44</v>
      </c>
      <c r="C23" s="37">
        <v>19</v>
      </c>
      <c r="D23" s="233" t="s">
        <v>45</v>
      </c>
    </row>
    <row r="24" spans="2:4">
      <c r="B24" s="187" t="s">
        <v>46</v>
      </c>
      <c r="C24" s="37">
        <v>20</v>
      </c>
      <c r="D24" s="233" t="s">
        <v>47</v>
      </c>
    </row>
    <row r="25" spans="2:4">
      <c r="B25" s="187" t="s">
        <v>48</v>
      </c>
      <c r="C25" s="37">
        <v>21</v>
      </c>
      <c r="D25" s="233" t="s">
        <v>49</v>
      </c>
    </row>
    <row r="26" spans="2:4">
      <c r="B26" s="187" t="s">
        <v>50</v>
      </c>
      <c r="C26" s="37">
        <v>22</v>
      </c>
      <c r="D26" s="233" t="s">
        <v>51</v>
      </c>
    </row>
    <row r="27" spans="2:4">
      <c r="B27" s="187" t="s">
        <v>52</v>
      </c>
      <c r="C27" s="37">
        <v>23</v>
      </c>
      <c r="D27" s="233" t="s">
        <v>53</v>
      </c>
    </row>
    <row r="28" spans="2:4" ht="12.75" customHeight="1">
      <c r="B28" s="187" t="s">
        <v>54</v>
      </c>
      <c r="C28" s="37">
        <v>24</v>
      </c>
      <c r="D28" s="233" t="s">
        <v>55</v>
      </c>
    </row>
    <row r="29" spans="2:4">
      <c r="B29" s="187" t="s">
        <v>56</v>
      </c>
      <c r="C29" s="37">
        <v>25</v>
      </c>
      <c r="D29" s="233" t="s">
        <v>57</v>
      </c>
    </row>
    <row r="30" spans="2:4">
      <c r="B30" s="187" t="s">
        <v>58</v>
      </c>
      <c r="C30" s="37">
        <v>26</v>
      </c>
      <c r="D30" s="233" t="s">
        <v>59</v>
      </c>
    </row>
    <row r="31" spans="2:4">
      <c r="B31" s="187" t="s">
        <v>60</v>
      </c>
      <c r="C31" s="37">
        <v>27</v>
      </c>
      <c r="D31" s="233" t="s">
        <v>61</v>
      </c>
    </row>
    <row r="32" spans="2:4">
      <c r="B32" s="187" t="s">
        <v>62</v>
      </c>
      <c r="C32" s="37">
        <v>28</v>
      </c>
      <c r="D32" s="233" t="s">
        <v>63</v>
      </c>
    </row>
    <row r="33" spans="2:4">
      <c r="B33" s="187" t="s">
        <v>64</v>
      </c>
      <c r="C33" s="37">
        <v>29</v>
      </c>
      <c r="D33" s="233" t="s">
        <v>65</v>
      </c>
    </row>
    <row r="34" spans="2:4">
      <c r="B34" s="187" t="s">
        <v>66</v>
      </c>
      <c r="C34" s="37">
        <v>30</v>
      </c>
      <c r="D34" s="233" t="s">
        <v>67</v>
      </c>
    </row>
    <row r="35" spans="2:4">
      <c r="B35" s="187" t="s">
        <v>68</v>
      </c>
      <c r="C35" s="37">
        <v>31</v>
      </c>
      <c r="D35" s="233" t="s">
        <v>69</v>
      </c>
    </row>
    <row r="36" spans="2:4">
      <c r="B36" s="187" t="s">
        <v>70</v>
      </c>
      <c r="C36" s="37">
        <v>32</v>
      </c>
      <c r="D36" s="233" t="s">
        <v>71</v>
      </c>
    </row>
    <row r="37" spans="2:4">
      <c r="B37" s="187" t="s">
        <v>72</v>
      </c>
      <c r="C37" s="37">
        <v>33</v>
      </c>
      <c r="D37" s="233" t="s">
        <v>73</v>
      </c>
    </row>
    <row r="38" spans="2:4">
      <c r="B38" s="187" t="s">
        <v>74</v>
      </c>
      <c r="C38" s="37">
        <v>34</v>
      </c>
      <c r="D38" s="233" t="s">
        <v>75</v>
      </c>
    </row>
    <row r="39" spans="2:4">
      <c r="B39" s="187" t="s">
        <v>76</v>
      </c>
      <c r="C39" s="234">
        <v>35</v>
      </c>
      <c r="D39" s="233" t="s">
        <v>77</v>
      </c>
    </row>
    <row r="40" spans="2:4">
      <c r="B40" s="233"/>
    </row>
    <row r="41" spans="2:4">
      <c r="B41" s="233"/>
    </row>
    <row r="42" spans="2:4">
      <c r="B42" s="233"/>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1'!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A1" display="Unfunded Reserves" xr:uid="{00000000-0004-0000-0100-000022000000}"/>
    <hyperlink ref="B39" location="'35-Other Formula Revenue'!A1" display="OtherFormulaRevenue" xr:uid="{6CB9F45F-834A-415C-AC55-B7CC8A4D9570}"/>
  </hyperlinks>
  <pageMargins left="0.7" right="0.7" top="0.75" bottom="0.75" header="0.3" footer="0.3"/>
  <pageSetup scale="90" orientation="portrait" cellComments="asDisplayed" r:id="rId1"/>
  <headerFooter>
    <oddHeader>&amp;RTO2027 Draft Annual Update 
Attachment 1</oddHead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92"/>
  <sheetViews>
    <sheetView zoomScaleNormal="10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1240</v>
      </c>
    </row>
    <row r="2" spans="1:10" ht="13">
      <c r="A2" s="1" t="s">
        <v>1241</v>
      </c>
      <c r="E2" s="39" t="s">
        <v>200</v>
      </c>
      <c r="F2" s="240" t="s">
        <v>1242</v>
      </c>
      <c r="G2" s="54"/>
    </row>
    <row r="3" spans="1:10" ht="13">
      <c r="B3" s="1"/>
      <c r="H3" s="240" t="s">
        <v>1171</v>
      </c>
      <c r="I3" s="54"/>
      <c r="J3" s="35"/>
    </row>
    <row r="4" spans="1:10" ht="13">
      <c r="B4" s="1" t="s">
        <v>1243</v>
      </c>
      <c r="H4" s="610"/>
    </row>
    <row r="5" spans="1:10" ht="13">
      <c r="B5" s="34" t="s">
        <v>1244</v>
      </c>
    </row>
    <row r="6" spans="1:10" ht="13">
      <c r="B6" s="34" t="s">
        <v>1245</v>
      </c>
    </row>
    <row r="7" spans="1:10" ht="13">
      <c r="B7" s="58" t="s">
        <v>1246</v>
      </c>
    </row>
    <row r="8" spans="1:10" ht="13">
      <c r="B8" s="58" t="s">
        <v>1247</v>
      </c>
    </row>
    <row r="9" spans="1:10" ht="13">
      <c r="B9" s="58" t="s">
        <v>1248</v>
      </c>
      <c r="D9" s="1"/>
      <c r="E9" s="1"/>
    </row>
    <row r="10" spans="1:10" ht="13">
      <c r="B10" s="34"/>
    </row>
    <row r="11" spans="1:10" ht="13">
      <c r="B11" s="34"/>
      <c r="C11" s="233" t="s">
        <v>1249</v>
      </c>
    </row>
    <row r="12" spans="1:10" ht="13">
      <c r="B12" s="34"/>
      <c r="C12" s="232" t="s">
        <v>1250</v>
      </c>
    </row>
    <row r="13" spans="1:10" ht="13">
      <c r="B13" s="34"/>
      <c r="C13" s="232" t="s">
        <v>1251</v>
      </c>
    </row>
    <row r="14" spans="1:10" ht="13">
      <c r="B14" s="34"/>
      <c r="C14" s="232" t="s">
        <v>1252</v>
      </c>
    </row>
    <row r="15" spans="1:10" ht="13">
      <c r="B15" s="34"/>
      <c r="C15" s="247" t="s">
        <v>1253</v>
      </c>
    </row>
    <row r="16" spans="1:10" ht="13">
      <c r="B16" s="34"/>
      <c r="C16" s="232" t="s">
        <v>1254</v>
      </c>
    </row>
    <row r="17" spans="1:10" ht="13">
      <c r="B17" s="34"/>
      <c r="C17" s="232" t="s">
        <v>1255</v>
      </c>
    </row>
    <row r="18" spans="1:10" ht="13">
      <c r="B18" s="34"/>
      <c r="C18" s="232"/>
    </row>
    <row r="19" spans="1:10" ht="13">
      <c r="C19" s="1" t="s">
        <v>1256</v>
      </c>
    </row>
    <row r="20" spans="1:10" ht="13">
      <c r="C20" s="1"/>
      <c r="E20" s="3" t="s">
        <v>345</v>
      </c>
      <c r="F20" s="3" t="s">
        <v>346</v>
      </c>
      <c r="G20" s="3" t="s">
        <v>347</v>
      </c>
    </row>
    <row r="21" spans="1:10" ht="13">
      <c r="B21" s="1"/>
      <c r="F21" s="2" t="s">
        <v>921</v>
      </c>
      <c r="G21" s="2" t="s">
        <v>1086</v>
      </c>
    </row>
    <row r="22" spans="1:10" ht="13">
      <c r="B22" s="1"/>
      <c r="E22" s="2" t="s">
        <v>921</v>
      </c>
      <c r="F22" s="4" t="s">
        <v>1257</v>
      </c>
      <c r="G22" s="2" t="s">
        <v>1258</v>
      </c>
    </row>
    <row r="23" spans="1:10" ht="13">
      <c r="B23" s="1"/>
      <c r="C23" s="233"/>
      <c r="E23" s="2" t="s">
        <v>1259</v>
      </c>
      <c r="F23" s="2" t="s">
        <v>863</v>
      </c>
      <c r="G23" s="2" t="s">
        <v>26</v>
      </c>
    </row>
    <row r="24" spans="1:10" ht="13">
      <c r="B24" s="1"/>
      <c r="C24" s="2" t="s">
        <v>1260</v>
      </c>
      <c r="E24" s="2" t="s">
        <v>123</v>
      </c>
      <c r="F24" s="2" t="s">
        <v>123</v>
      </c>
      <c r="G24" s="4" t="s">
        <v>481</v>
      </c>
    </row>
    <row r="25" spans="1:10" ht="13">
      <c r="A25" s="30" t="s">
        <v>282</v>
      </c>
      <c r="B25" s="1"/>
      <c r="C25" s="3" t="s">
        <v>1175</v>
      </c>
      <c r="E25" s="3" t="s">
        <v>81</v>
      </c>
      <c r="F25" s="3" t="s">
        <v>81</v>
      </c>
      <c r="G25" s="3" t="s">
        <v>81</v>
      </c>
      <c r="H25" s="3" t="s">
        <v>233</v>
      </c>
      <c r="I25" s="276"/>
      <c r="J25" s="276"/>
    </row>
    <row r="26" spans="1:10" ht="13">
      <c r="A26" s="2">
        <v>1</v>
      </c>
      <c r="B26" s="1"/>
      <c r="C26" s="233" t="s">
        <v>1261</v>
      </c>
      <c r="E26" s="6">
        <f>'10-CWIP'!E25</f>
        <v>0</v>
      </c>
      <c r="F26" s="6">
        <f>'10-CWIP'!E26</f>
        <v>344534.58538461541</v>
      </c>
      <c r="G26" s="6">
        <f>'10-CWIP'!K113</f>
        <v>0</v>
      </c>
      <c r="H26" s="232" t="str">
        <f>"10-CWIP Lines "&amp;'10-CWIP'!A25&amp;", "&amp;'10-CWIP'!A26&amp;", and "&amp;'10-CWIP'!A113&amp;""</f>
        <v>10-CWIP Lines 13, 14, and 80</v>
      </c>
    </row>
    <row r="27" spans="1:10" ht="13">
      <c r="A27" s="2">
        <f t="shared" ref="A27:A40" si="0">A26+1</f>
        <v>2</v>
      </c>
      <c r="B27" s="1"/>
      <c r="C27" s="233" t="s">
        <v>1262</v>
      </c>
      <c r="E27" s="6">
        <f>'10-CWIP'!F25</f>
        <v>0</v>
      </c>
      <c r="F27" s="6">
        <f>'10-CWIP'!F26</f>
        <v>0</v>
      </c>
      <c r="G27" s="6">
        <f>'10-CWIP'!K146</f>
        <v>0</v>
      </c>
      <c r="H27" s="232" t="str">
        <f>"10-CWIP Lines "&amp;'10-CWIP'!A25&amp;", "&amp;'10-CWIP'!A26&amp;", and "&amp;'10-CWIP'!A146&amp;""</f>
        <v>10-CWIP Lines 13, 14, and 106</v>
      </c>
    </row>
    <row r="28" spans="1:10" ht="13">
      <c r="A28" s="2">
        <f t="shared" si="0"/>
        <v>3</v>
      </c>
      <c r="B28" s="1"/>
      <c r="C28" s="233" t="s">
        <v>1263</v>
      </c>
      <c r="E28" s="6">
        <f>'10-CWIP'!G25</f>
        <v>7677114.7000000002</v>
      </c>
      <c r="F28" s="6">
        <f>'10-CWIP'!G26</f>
        <v>7408254.4461538475</v>
      </c>
      <c r="G28" s="6">
        <f>'10-CWIP'!K179</f>
        <v>10146151.661538463</v>
      </c>
      <c r="H28" s="232" t="str">
        <f>"10-CWIP Lines "&amp;'10-CWIP'!A25&amp;", "&amp;'10-CWIP'!A26&amp;", and "&amp;'10-CWIP'!A179&amp;""</f>
        <v>10-CWIP Lines 13, 14, and 132</v>
      </c>
    </row>
    <row r="29" spans="1:10" ht="13">
      <c r="A29" s="2">
        <f t="shared" si="0"/>
        <v>4</v>
      </c>
      <c r="B29" s="1"/>
      <c r="C29" s="233" t="s">
        <v>1264</v>
      </c>
      <c r="E29" s="6">
        <f>'10-CWIP'!H25</f>
        <v>7677191.9699999997</v>
      </c>
      <c r="F29" s="6">
        <f>'10-CWIP'!H26</f>
        <v>7452035.1115384605</v>
      </c>
      <c r="G29" s="6">
        <f>'10-CWIP'!K212</f>
        <v>-7677191.9699999997</v>
      </c>
      <c r="H29" s="232" t="str">
        <f>"10-CWIP Lines "&amp;'10-CWIP'!A25&amp;", "&amp;'10-CWIP'!A26&amp;", and "&amp;'10-CWIP'!A212&amp;""</f>
        <v>10-CWIP Lines 13, 14, and 158</v>
      </c>
    </row>
    <row r="30" spans="1:10" ht="13">
      <c r="A30" s="2">
        <f t="shared" si="0"/>
        <v>5</v>
      </c>
      <c r="B30" s="1"/>
      <c r="C30" s="233" t="s">
        <v>1265</v>
      </c>
      <c r="E30" s="6">
        <f>'10-CWIP'!I25</f>
        <v>0</v>
      </c>
      <c r="F30" s="6">
        <f>'10-CWIP'!I26</f>
        <v>0</v>
      </c>
      <c r="G30" s="6">
        <f>'10-CWIP'!K245</f>
        <v>0</v>
      </c>
      <c r="H30" s="232" t="str">
        <f>"10-CWIP Lines "&amp;'10-CWIP'!A25&amp;", "&amp;'10-CWIP'!A26&amp;", and "&amp;'10-CWIP'!A245&amp;""</f>
        <v>10-CWIP Lines 13, 14, and 184</v>
      </c>
    </row>
    <row r="31" spans="1:10" ht="13">
      <c r="A31" s="2">
        <f t="shared" si="0"/>
        <v>6</v>
      </c>
      <c r="B31" s="1"/>
      <c r="C31" s="233" t="s">
        <v>1266</v>
      </c>
      <c r="E31" s="6">
        <f>'10-CWIP'!D45</f>
        <v>0</v>
      </c>
      <c r="F31" s="6">
        <f>'10-CWIP'!D46</f>
        <v>0</v>
      </c>
      <c r="G31" s="6">
        <f>'10-CWIP'!K278</f>
        <v>0</v>
      </c>
      <c r="H31" s="232" t="str">
        <f>"10-CWIP Lines "&amp;'10-CWIP'!A45&amp;", "&amp;'10-CWIP'!A46&amp;", and "&amp;'10-CWIP'!A278&amp;""</f>
        <v>10-CWIP Lines 27, 28, and 210</v>
      </c>
    </row>
    <row r="32" spans="1:10" ht="13">
      <c r="A32" s="2">
        <f t="shared" si="0"/>
        <v>7</v>
      </c>
      <c r="B32" s="1"/>
      <c r="C32" s="233" t="s">
        <v>1267</v>
      </c>
      <c r="E32" s="6">
        <f>'10-CWIP'!E45</f>
        <v>0</v>
      </c>
      <c r="F32" s="6">
        <f>'10-CWIP'!E46</f>
        <v>0</v>
      </c>
      <c r="G32" s="6">
        <f>'10-CWIP'!K311</f>
        <v>0</v>
      </c>
      <c r="H32" s="232" t="str">
        <f>"10-CWIP Lines "&amp;'10-CWIP'!A45&amp;", "&amp;'10-CWIP'!A46&amp;", and "&amp;'10-CWIP'!A311&amp;""</f>
        <v>10-CWIP Lines 27, 28, and 236</v>
      </c>
    </row>
    <row r="33" spans="1:9" ht="13">
      <c r="A33" s="2">
        <f t="shared" si="0"/>
        <v>8</v>
      </c>
      <c r="B33" s="1"/>
      <c r="C33" s="233" t="s">
        <v>1268</v>
      </c>
      <c r="E33" s="6">
        <f>'10-CWIP'!F45</f>
        <v>2395428.88</v>
      </c>
      <c r="F33" s="6">
        <f>'10-CWIP'!F46</f>
        <v>296333.71615384612</v>
      </c>
      <c r="G33" s="6">
        <f>'10-CWIP'!K344</f>
        <v>-1706195.2923076914</v>
      </c>
      <c r="H33" s="232" t="str">
        <f>"10-CWIP Lines "&amp;'10-CWIP'!A45&amp;", "&amp;'10-CWIP'!A46&amp;", and "&amp;'10-CWIP'!A344&amp;""</f>
        <v>10-CWIP Lines 27, 28, and 262</v>
      </c>
    </row>
    <row r="34" spans="1:9" ht="13">
      <c r="A34" s="2">
        <f t="shared" si="0"/>
        <v>9</v>
      </c>
      <c r="B34" s="1"/>
      <c r="C34" s="233" t="s">
        <v>1269</v>
      </c>
      <c r="E34" s="6">
        <f>'10-CWIP'!G45</f>
        <v>36562002.280000001</v>
      </c>
      <c r="F34" s="6">
        <f>'10-CWIP'!G46</f>
        <v>32847126.547692306</v>
      </c>
      <c r="G34" s="6">
        <f>'10-CWIP'!K377</f>
        <v>16376433.52540384</v>
      </c>
      <c r="H34" s="232" t="str">
        <f>"10-CWIP Lines "&amp;'10-CWIP'!A45&amp;", "&amp;'10-CWIP'!A46&amp;", and "&amp;'10-CWIP'!A377&amp;""</f>
        <v>10-CWIP Lines 27, 28, and 288</v>
      </c>
    </row>
    <row r="35" spans="1:9" ht="13">
      <c r="A35" s="2">
        <f t="shared" si="0"/>
        <v>10</v>
      </c>
      <c r="B35" s="1"/>
      <c r="C35" s="233" t="s">
        <v>1270</v>
      </c>
      <c r="E35" s="6">
        <f>'10-CWIP'!H45</f>
        <v>25140635.989999998</v>
      </c>
      <c r="F35" s="6">
        <f>'10-CWIP'!H46</f>
        <v>102790072.79384615</v>
      </c>
      <c r="G35" s="6">
        <f>'10-CWIP'!K410</f>
        <v>-25140635.990000006</v>
      </c>
      <c r="H35" s="232" t="str">
        <f>"10-CWIP Lines "&amp;'10-CWIP'!A45&amp;", "&amp;'10-CWIP'!A46&amp;", and "&amp;'10-CWIP'!A410&amp;""</f>
        <v>10-CWIP Lines 27, 28, and 314</v>
      </c>
    </row>
    <row r="36" spans="1:9" ht="13">
      <c r="A36" s="2">
        <f t="shared" si="0"/>
        <v>11</v>
      </c>
      <c r="B36" s="1"/>
      <c r="C36" s="233" t="s">
        <v>1271</v>
      </c>
      <c r="E36" s="6">
        <f>'10-CWIP'!I45</f>
        <v>105498042.8</v>
      </c>
      <c r="F36" s="6">
        <f>'10-CWIP'!I46</f>
        <v>58920836.689230762</v>
      </c>
      <c r="G36" s="6">
        <f>'10-CWIP'!K443</f>
        <v>250282440.08192307</v>
      </c>
      <c r="H36" s="232" t="str">
        <f>"10-CWIP Lines "&amp;'10-CWIP'!A45&amp;", "&amp;'10-CWIP'!A46&amp;", and "&amp;'10-CWIP'!A443&amp;""</f>
        <v>10-CWIP Lines 27, 28, and 340</v>
      </c>
    </row>
    <row r="37" spans="1:9" ht="13">
      <c r="A37" s="2">
        <f t="shared" si="0"/>
        <v>12</v>
      </c>
      <c r="B37" s="1"/>
      <c r="C37" s="570" t="s">
        <v>1272</v>
      </c>
      <c r="D37" s="233"/>
      <c r="E37" s="235">
        <f>'10-CWIP'!J45</f>
        <v>3773552.79</v>
      </c>
      <c r="F37" s="6">
        <f>'10-CWIP'!J46</f>
        <v>2920349.4238461535</v>
      </c>
      <c r="G37" s="6">
        <f>'10-CWIP'!K476</f>
        <v>201923.70000000019</v>
      </c>
      <c r="H37" s="232" t="str">
        <f>"10-CWIP Lines "&amp;'10-CWIP'!A45&amp;", "&amp;'10-CWIP'!A46&amp;", and "&amp;'10-CWIP'!A476&amp;""</f>
        <v>10-CWIP Lines 27, 28, and 366</v>
      </c>
      <c r="I37" s="233"/>
    </row>
    <row r="38" spans="1:9" ht="13">
      <c r="A38" s="2">
        <f t="shared" si="0"/>
        <v>13</v>
      </c>
      <c r="B38" s="1"/>
      <c r="C38" s="570" t="s">
        <v>1273</v>
      </c>
      <c r="D38" s="233"/>
      <c r="E38" s="235">
        <f>'10-CWIP'!K45</f>
        <v>4943069</v>
      </c>
      <c r="F38" s="235">
        <f>'10-CWIP'!K46</f>
        <v>3113031.4953846158</v>
      </c>
      <c r="G38" s="6">
        <f>'10-CWIP'!K509</f>
        <v>39984728.199615389</v>
      </c>
      <c r="H38" s="232" t="str">
        <f>"10-CWIP Lines "&amp;'10-CWIP'!A45&amp;", "&amp;'10-CWIP'!A46&amp;", and "&amp;'10-CWIP'!A509&amp;""</f>
        <v>10-CWIP Lines 27, 28, and 392</v>
      </c>
      <c r="I38" s="233"/>
    </row>
    <row r="39" spans="1:9" ht="13">
      <c r="A39" s="2">
        <f t="shared" si="0"/>
        <v>14</v>
      </c>
      <c r="B39" s="1"/>
      <c r="C39" s="1072" t="s">
        <v>1274</v>
      </c>
      <c r="D39" s="240"/>
      <c r="E39" s="36">
        <f>'10-CWIP'!L45</f>
        <v>0</v>
      </c>
      <c r="F39" s="36">
        <f>'10-CWIP'!L46</f>
        <v>0</v>
      </c>
      <c r="G39" s="786">
        <f>'10-CWIP'!K542</f>
        <v>0</v>
      </c>
      <c r="H39" s="232" t="str">
        <f>"10-CWIP Lines "&amp;'10-CWIP'!A45&amp;", "&amp;'10-CWIP'!A46&amp;", and "&amp;'10-CWIP'!A542&amp;""</f>
        <v>10-CWIP Lines 27, 28, and 418</v>
      </c>
      <c r="I39" s="233"/>
    </row>
    <row r="40" spans="1:9" ht="13">
      <c r="A40" s="2">
        <f t="shared" si="0"/>
        <v>15</v>
      </c>
      <c r="B40" s="1"/>
      <c r="D40" s="25" t="s">
        <v>440</v>
      </c>
      <c r="E40" s="6">
        <f>SUM(E26:E39)</f>
        <v>193667038.41</v>
      </c>
      <c r="F40" s="6">
        <f>SUM(F26:F39)</f>
        <v>216092574.80923074</v>
      </c>
      <c r="G40" s="6">
        <f>SUM(G26:G39)</f>
        <v>282467653.91617304</v>
      </c>
      <c r="H40" s="31"/>
    </row>
    <row r="41" spans="1:9" ht="13">
      <c r="B41" s="1"/>
    </row>
    <row r="42" spans="1:9" ht="13">
      <c r="B42" s="1"/>
      <c r="C42" s="1" t="s">
        <v>1275</v>
      </c>
    </row>
    <row r="43" spans="1:9" ht="13">
      <c r="B43" s="1"/>
      <c r="C43" s="1"/>
    </row>
    <row r="44" spans="1:9" ht="13">
      <c r="B44" s="1"/>
      <c r="E44" s="3" t="s">
        <v>345</v>
      </c>
      <c r="F44" s="3" t="s">
        <v>346</v>
      </c>
      <c r="G44" s="3" t="s">
        <v>347</v>
      </c>
    </row>
    <row r="45" spans="1:9" ht="13">
      <c r="B45" s="1"/>
      <c r="E45" s="239" t="s">
        <v>1276</v>
      </c>
      <c r="F45" s="3"/>
      <c r="G45" s="3"/>
    </row>
    <row r="46" spans="1:9" ht="13">
      <c r="B46" s="1"/>
      <c r="E46" s="2" t="s">
        <v>921</v>
      </c>
      <c r="F46" s="2" t="s">
        <v>1193</v>
      </c>
      <c r="G46" s="2" t="s">
        <v>1193</v>
      </c>
    </row>
    <row r="47" spans="1:9" ht="13">
      <c r="B47" s="1"/>
      <c r="E47" s="2" t="s">
        <v>1260</v>
      </c>
      <c r="F47" s="2" t="s">
        <v>26</v>
      </c>
      <c r="G47" s="2" t="s">
        <v>1277</v>
      </c>
    </row>
    <row r="48" spans="1:9" ht="13">
      <c r="B48" s="1"/>
      <c r="E48" s="3" t="s">
        <v>126</v>
      </c>
      <c r="F48" s="3" t="s">
        <v>1278</v>
      </c>
      <c r="G48" s="3" t="s">
        <v>1279</v>
      </c>
      <c r="H48" s="3" t="s">
        <v>233</v>
      </c>
    </row>
    <row r="49" spans="1:9" ht="13">
      <c r="A49" s="2">
        <f>A40+1</f>
        <v>16</v>
      </c>
      <c r="B49" s="1"/>
      <c r="C49" t="s">
        <v>1280</v>
      </c>
      <c r="E49" s="235">
        <f>F49+G49</f>
        <v>112319650.44015865</v>
      </c>
      <c r="F49" s="6">
        <v>0</v>
      </c>
      <c r="G49" s="6">
        <f>H87</f>
        <v>112319650.44015865</v>
      </c>
      <c r="H49" s="232" t="str">
        <f>"Line "&amp;A87&amp;", C4"</f>
        <v>Line 40, C4</v>
      </c>
    </row>
    <row r="50" spans="1:9" ht="13">
      <c r="A50" s="2">
        <f>A49+1</f>
        <v>17</v>
      </c>
      <c r="B50" s="1"/>
      <c r="C50" t="s">
        <v>1281</v>
      </c>
      <c r="E50" s="235">
        <f>F50+G50</f>
        <v>2134446602.0773385</v>
      </c>
      <c r="F50" s="6">
        <f>E26</f>
        <v>0</v>
      </c>
      <c r="G50" s="6">
        <f>F87</f>
        <v>2134446602.0773385</v>
      </c>
      <c r="H50" s="232" t="str">
        <f>"Line "&amp;A26&amp;", C1, and Line "&amp;A87&amp;", C2"</f>
        <v>Line 1, C1, and Line 40, C2</v>
      </c>
    </row>
    <row r="51" spans="1:9" ht="13">
      <c r="A51" s="2">
        <f>A50+1</f>
        <v>18</v>
      </c>
      <c r="B51" s="1"/>
      <c r="C51" s="233" t="s">
        <v>1282</v>
      </c>
      <c r="E51" s="235">
        <f>F51+G51</f>
        <v>533351738.80702853</v>
      </c>
      <c r="F51" s="6">
        <f>E27</f>
        <v>0</v>
      </c>
      <c r="G51" s="6">
        <f>G87</f>
        <v>533351738.80702853</v>
      </c>
      <c r="H51" s="232" t="str">
        <f>"Line "&amp;A27&amp;", C1, and Line "&amp;A87&amp;", C3"</f>
        <v>Line 2, C1, and Line 40, C3</v>
      </c>
    </row>
    <row r="52" spans="1:9" ht="13">
      <c r="A52" s="2">
        <f>A51+1</f>
        <v>19</v>
      </c>
      <c r="B52" s="1"/>
      <c r="C52" s="274" t="s">
        <v>639</v>
      </c>
      <c r="D52" s="54"/>
      <c r="E52" s="274" t="s">
        <v>389</v>
      </c>
      <c r="F52" s="274" t="s">
        <v>389</v>
      </c>
      <c r="G52" s="274" t="s">
        <v>389</v>
      </c>
      <c r="H52" s="274" t="s">
        <v>639</v>
      </c>
      <c r="I52" s="54"/>
    </row>
    <row r="53" spans="1:9" ht="13">
      <c r="A53" s="2">
        <f>A52+1</f>
        <v>20</v>
      </c>
      <c r="B53" s="1"/>
      <c r="C53" s="248"/>
      <c r="E53" s="239"/>
      <c r="F53" s="239"/>
      <c r="G53" s="239"/>
      <c r="H53" s="232"/>
    </row>
    <row r="54" spans="1:9" ht="13">
      <c r="A54" s="2">
        <f>A53+1</f>
        <v>21</v>
      </c>
      <c r="B54" s="1"/>
      <c r="D54" s="231" t="s">
        <v>1283</v>
      </c>
      <c r="E54" s="6">
        <f>SUM(E49:E51)</f>
        <v>2780117991.3245258</v>
      </c>
      <c r="F54" s="239"/>
      <c r="G54" s="239"/>
      <c r="H54" s="232" t="s">
        <v>1284</v>
      </c>
    </row>
    <row r="55" spans="1:9" ht="13">
      <c r="B55" s="1"/>
    </row>
    <row r="56" spans="1:9" ht="13">
      <c r="B56" s="1"/>
      <c r="C56" s="1" t="s">
        <v>1285</v>
      </c>
    </row>
    <row r="57" spans="1:9" ht="13">
      <c r="B57" s="1"/>
      <c r="C57" s="1"/>
    </row>
    <row r="58" spans="1:9" ht="13">
      <c r="B58" s="1"/>
      <c r="C58" s="1"/>
      <c r="E58" s="3" t="s">
        <v>345</v>
      </c>
      <c r="F58" s="3" t="s">
        <v>346</v>
      </c>
      <c r="G58" s="3" t="s">
        <v>347</v>
      </c>
    </row>
    <row r="59" spans="1:9" ht="13">
      <c r="B59" s="1"/>
      <c r="E59" s="239" t="s">
        <v>1276</v>
      </c>
      <c r="G59" s="2" t="s">
        <v>481</v>
      </c>
    </row>
    <row r="60" spans="1:9" ht="13">
      <c r="B60" s="1"/>
      <c r="E60" s="2" t="s">
        <v>921</v>
      </c>
      <c r="F60" s="2" t="s">
        <v>481</v>
      </c>
      <c r="G60" s="2" t="s">
        <v>1277</v>
      </c>
    </row>
    <row r="61" spans="1:9" ht="13">
      <c r="B61" s="1"/>
      <c r="C61" s="2" t="s">
        <v>1260</v>
      </c>
      <c r="E61" s="2" t="s">
        <v>1260</v>
      </c>
      <c r="F61" s="2" t="s">
        <v>26</v>
      </c>
      <c r="G61" s="2" t="s">
        <v>1279</v>
      </c>
    </row>
    <row r="62" spans="1:9" ht="12.75" customHeight="1">
      <c r="B62" s="1"/>
      <c r="C62" s="3" t="s">
        <v>1175</v>
      </c>
      <c r="E62" s="3" t="s">
        <v>126</v>
      </c>
      <c r="F62" s="3" t="s">
        <v>1278</v>
      </c>
      <c r="G62" s="3" t="s">
        <v>1278</v>
      </c>
      <c r="H62" s="3" t="s">
        <v>233</v>
      </c>
    </row>
    <row r="63" spans="1:9" ht="13">
      <c r="A63" s="2">
        <f>A54+1</f>
        <v>22</v>
      </c>
      <c r="B63" s="1"/>
      <c r="C63" t="s">
        <v>1280</v>
      </c>
      <c r="E63" s="235">
        <f>F63+G63</f>
        <v>114689174.96088417</v>
      </c>
      <c r="F63" s="6">
        <v>0</v>
      </c>
      <c r="G63" s="785">
        <f>H88</f>
        <v>114689174.96088417</v>
      </c>
      <c r="H63" s="232" t="str">
        <f>"Line "&amp;A88&amp;", C4"</f>
        <v>Line 41, C4</v>
      </c>
    </row>
    <row r="64" spans="1:9" ht="13">
      <c r="A64" s="2">
        <f>A63+1</f>
        <v>23</v>
      </c>
      <c r="B64" s="1"/>
      <c r="C64" t="s">
        <v>1281</v>
      </c>
      <c r="E64" s="235">
        <f>F64+G64</f>
        <v>2172792671.0583086</v>
      </c>
      <c r="F64" s="6">
        <f>F26</f>
        <v>344534.58538461541</v>
      </c>
      <c r="G64" s="785">
        <f>F88</f>
        <v>2172448136.4729238</v>
      </c>
      <c r="H64" s="232" t="str">
        <f>"Line "&amp;A26&amp;", C2, and Line "&amp;A88&amp;", C2"</f>
        <v>Line 1, C2, and Line 41, C2</v>
      </c>
    </row>
    <row r="65" spans="1:11" ht="13">
      <c r="A65" s="2">
        <f>A64+1</f>
        <v>24</v>
      </c>
      <c r="B65" s="1"/>
      <c r="C65" s="233" t="s">
        <v>1286</v>
      </c>
      <c r="E65" s="235">
        <f>F65+G65</f>
        <v>543245138.5456171</v>
      </c>
      <c r="F65" s="6">
        <f>F27</f>
        <v>0</v>
      </c>
      <c r="G65" s="785">
        <f>G88</f>
        <v>543245138.5456171</v>
      </c>
      <c r="H65" s="232" t="str">
        <f>"Line "&amp;A27&amp;", C2, and Line "&amp;A88&amp;", C3"</f>
        <v>Line 2, C2, and Line 41, C3</v>
      </c>
    </row>
    <row r="66" spans="1:11" ht="13">
      <c r="A66" s="2">
        <f>A65+1</f>
        <v>25</v>
      </c>
      <c r="B66" s="1"/>
      <c r="C66" s="274" t="s">
        <v>639</v>
      </c>
      <c r="D66" s="54"/>
      <c r="E66" s="274" t="s">
        <v>389</v>
      </c>
      <c r="F66" s="274" t="s">
        <v>389</v>
      </c>
      <c r="G66" s="274" t="s">
        <v>389</v>
      </c>
      <c r="H66" s="274" t="s">
        <v>639</v>
      </c>
      <c r="I66" s="54"/>
    </row>
    <row r="67" spans="1:11" ht="13">
      <c r="A67" s="2">
        <f>A66+1</f>
        <v>26</v>
      </c>
      <c r="B67" s="1"/>
      <c r="C67" s="248"/>
      <c r="E67" s="239"/>
      <c r="F67" s="239"/>
      <c r="G67" s="239"/>
      <c r="H67" s="232"/>
    </row>
    <row r="68" spans="1:11" ht="13">
      <c r="A68" s="2">
        <f>A67+1</f>
        <v>27</v>
      </c>
      <c r="B68" s="1"/>
      <c r="D68" s="231" t="s">
        <v>1283</v>
      </c>
      <c r="E68" s="6">
        <f>SUM(E63:E65)</f>
        <v>2830726984.5648098</v>
      </c>
      <c r="H68" s="279" t="s">
        <v>1287</v>
      </c>
    </row>
    <row r="69" spans="1:11" ht="13">
      <c r="A69" s="2"/>
      <c r="B69" s="1"/>
      <c r="D69" s="231"/>
      <c r="E69" s="6"/>
    </row>
    <row r="70" spans="1:11" ht="13">
      <c r="C70" s="1" t="s">
        <v>1288</v>
      </c>
    </row>
    <row r="71" spans="1:11" ht="13">
      <c r="E71" s="48" t="s">
        <v>345</v>
      </c>
      <c r="F71" s="48" t="s">
        <v>346</v>
      </c>
      <c r="G71" s="48" t="s">
        <v>347</v>
      </c>
      <c r="H71" s="48" t="s">
        <v>348</v>
      </c>
      <c r="I71" s="48" t="s">
        <v>349</v>
      </c>
      <c r="J71" s="48"/>
    </row>
    <row r="72" spans="1:11" ht="13">
      <c r="C72" s="2" t="s">
        <v>1289</v>
      </c>
      <c r="E72" s="2" t="s">
        <v>1290</v>
      </c>
      <c r="F72" s="37" t="str">
        <f>"L "&amp;A120&amp;" to L "&amp;A132&amp;", C3"</f>
        <v>L 56 to L 68, C3</v>
      </c>
      <c r="G72" s="37" t="str">
        <f>"L "&amp;A160&amp;" to L "&amp;A172&amp;", C3"</f>
        <v>L 82 to L 94, C3</v>
      </c>
      <c r="H72" s="37" t="str">
        <f>"L "&amp;A140&amp;" to L "&amp;A152&amp;", C3"</f>
        <v>L 69 to L 81, C3</v>
      </c>
      <c r="I72" s="54"/>
      <c r="K72" s="2"/>
    </row>
    <row r="73" spans="1:11" ht="13">
      <c r="C73" s="2" t="s">
        <v>381</v>
      </c>
      <c r="E73" s="2" t="s">
        <v>1291</v>
      </c>
      <c r="G73" s="2" t="s">
        <v>1056</v>
      </c>
      <c r="H73" s="2" t="s">
        <v>1292</v>
      </c>
      <c r="I73" s="104"/>
      <c r="J73" s="239"/>
      <c r="K73" s="2"/>
    </row>
    <row r="74" spans="1:11" ht="13">
      <c r="A74" s="30"/>
      <c r="C74" s="18" t="s">
        <v>380</v>
      </c>
      <c r="D74" s="18" t="s">
        <v>381</v>
      </c>
      <c r="E74" s="3" t="s">
        <v>1279</v>
      </c>
      <c r="F74" s="3" t="s">
        <v>1060</v>
      </c>
      <c r="G74" s="3" t="s">
        <v>1061</v>
      </c>
      <c r="H74" s="3" t="s">
        <v>1293</v>
      </c>
      <c r="I74" s="105"/>
      <c r="J74" s="3" t="s">
        <v>103</v>
      </c>
    </row>
    <row r="75" spans="1:11" ht="13">
      <c r="A75" s="2">
        <f>A68+1</f>
        <v>28</v>
      </c>
      <c r="C75" s="14" t="s">
        <v>388</v>
      </c>
      <c r="D75" s="479">
        <v>2024</v>
      </c>
      <c r="E75" s="261">
        <f>SUM(F75:H75)</f>
        <v>2880695015.8967805</v>
      </c>
      <c r="F75" s="488">
        <f>G120</f>
        <v>2210497778.1309652</v>
      </c>
      <c r="G75" s="488">
        <f>G160</f>
        <v>553138538.28420568</v>
      </c>
      <c r="H75" s="488">
        <f>G140</f>
        <v>117058699.48160967</v>
      </c>
      <c r="I75" s="239" t="s">
        <v>389</v>
      </c>
      <c r="J75" s="276" t="s">
        <v>1294</v>
      </c>
    </row>
    <row r="76" spans="1:11" ht="13">
      <c r="A76" s="2">
        <f>A75+1</f>
        <v>29</v>
      </c>
      <c r="C76" s="14" t="s">
        <v>390</v>
      </c>
      <c r="D76" s="330">
        <v>2025</v>
      </c>
      <c r="E76" s="261">
        <f t="shared" ref="E76:E87" si="1">SUM(F76:H76)</f>
        <v>2872260007.5885324</v>
      </c>
      <c r="F76" s="488">
        <f t="shared" ref="F76:F87" si="2">G121</f>
        <v>2204106590.5326028</v>
      </c>
      <c r="G76" s="488">
        <f t="shared" ref="G76:G87" si="3">G161</f>
        <v>551489638.32777417</v>
      </c>
      <c r="H76" s="488">
        <f t="shared" ref="H76:H87" si="4">G141</f>
        <v>116663778.7281554</v>
      </c>
      <c r="I76" s="239" t="s">
        <v>389</v>
      </c>
      <c r="J76" s="232" t="s">
        <v>1295</v>
      </c>
    </row>
    <row r="77" spans="1:11" ht="13">
      <c r="A77" s="2">
        <f t="shared" ref="A77:A88" si="5">A76+1</f>
        <v>30</v>
      </c>
      <c r="C77" s="14" t="s">
        <v>391</v>
      </c>
      <c r="D77" s="330">
        <v>2025</v>
      </c>
      <c r="E77" s="261">
        <f t="shared" si="1"/>
        <v>2863824316.987277</v>
      </c>
      <c r="F77" s="488">
        <f t="shared" si="2"/>
        <v>2197714720.641233</v>
      </c>
      <c r="G77" s="488">
        <f t="shared" si="3"/>
        <v>549840738.37134278</v>
      </c>
      <c r="H77" s="488">
        <f t="shared" si="4"/>
        <v>116268857.97470118</v>
      </c>
      <c r="I77" s="239" t="s">
        <v>389</v>
      </c>
      <c r="J77" s="239" t="s">
        <v>1296</v>
      </c>
      <c r="K77" s="2"/>
    </row>
    <row r="78" spans="1:11" ht="13">
      <c r="A78" s="2">
        <f t="shared" si="5"/>
        <v>31</v>
      </c>
      <c r="C78" s="14" t="s">
        <v>392</v>
      </c>
      <c r="D78" s="330">
        <v>2025</v>
      </c>
      <c r="E78" s="261">
        <f t="shared" si="1"/>
        <v>2855389359.2657094</v>
      </c>
      <c r="F78" s="488">
        <f t="shared" si="2"/>
        <v>2191323583.6295514</v>
      </c>
      <c r="G78" s="488">
        <f t="shared" si="3"/>
        <v>548191838.41491127</v>
      </c>
      <c r="H78" s="488">
        <f t="shared" si="4"/>
        <v>115873937.22124691</v>
      </c>
      <c r="I78" s="239" t="s">
        <v>389</v>
      </c>
      <c r="J78" s="239"/>
      <c r="K78" s="2"/>
    </row>
    <row r="79" spans="1:11" ht="13">
      <c r="A79" s="2">
        <f t="shared" si="5"/>
        <v>32</v>
      </c>
      <c r="C79" s="14" t="s">
        <v>393</v>
      </c>
      <c r="D79" s="330">
        <v>2025</v>
      </c>
      <c r="E79" s="261">
        <f t="shared" si="1"/>
        <v>2846953668.6141419</v>
      </c>
      <c r="F79" s="488">
        <f t="shared" si="2"/>
        <v>2184931713.6878695</v>
      </c>
      <c r="G79" s="488">
        <f t="shared" si="3"/>
        <v>546542938.45847988</v>
      </c>
      <c r="H79" s="488">
        <f t="shared" si="4"/>
        <v>115479016.46779265</v>
      </c>
      <c r="I79" s="239" t="s">
        <v>389</v>
      </c>
      <c r="J79" s="239"/>
      <c r="K79" s="2"/>
    </row>
    <row r="80" spans="1:11" ht="13">
      <c r="A80" s="2">
        <f t="shared" si="5"/>
        <v>33</v>
      </c>
      <c r="C80" s="14" t="s">
        <v>394</v>
      </c>
      <c r="D80" s="330">
        <v>2025</v>
      </c>
      <c r="E80" s="261">
        <f t="shared" si="1"/>
        <v>2838517977.9085274</v>
      </c>
      <c r="F80" s="488">
        <f t="shared" si="2"/>
        <v>2178539843.6921406</v>
      </c>
      <c r="G80" s="488">
        <f t="shared" si="3"/>
        <v>544894038.50204849</v>
      </c>
      <c r="H80" s="488">
        <f t="shared" si="4"/>
        <v>115084095.71433841</v>
      </c>
      <c r="I80" s="239" t="s">
        <v>389</v>
      </c>
      <c r="J80" s="239"/>
      <c r="K80" s="2"/>
    </row>
    <row r="81" spans="1:11" ht="13">
      <c r="A81" s="2">
        <f t="shared" si="5"/>
        <v>34</v>
      </c>
      <c r="C81" s="14" t="s">
        <v>395</v>
      </c>
      <c r="D81" s="330">
        <v>2025</v>
      </c>
      <c r="E81" s="261">
        <f t="shared" si="1"/>
        <v>2830090056.7129135</v>
      </c>
      <c r="F81" s="488">
        <f t="shared" si="2"/>
        <v>2172155743.2064123</v>
      </c>
      <c r="G81" s="488">
        <f t="shared" si="3"/>
        <v>543245138.5456171</v>
      </c>
      <c r="H81" s="488">
        <f t="shared" si="4"/>
        <v>114689174.96088415</v>
      </c>
      <c r="I81" s="239" t="s">
        <v>389</v>
      </c>
      <c r="J81" s="239"/>
      <c r="K81" s="2"/>
    </row>
    <row r="82" spans="1:11" ht="13">
      <c r="A82" s="2">
        <f t="shared" si="5"/>
        <v>35</v>
      </c>
      <c r="C82" s="14" t="s">
        <v>396</v>
      </c>
      <c r="D82" s="330">
        <v>2025</v>
      </c>
      <c r="E82" s="261">
        <f t="shared" si="1"/>
        <v>2822295907.7772989</v>
      </c>
      <c r="F82" s="488">
        <f t="shared" si="2"/>
        <v>2166405414.9806833</v>
      </c>
      <c r="G82" s="488">
        <f t="shared" si="3"/>
        <v>541596238.5891856</v>
      </c>
      <c r="H82" s="488">
        <f t="shared" si="4"/>
        <v>114294254.20742992</v>
      </c>
      <c r="I82" s="239" t="s">
        <v>389</v>
      </c>
      <c r="J82" s="239"/>
      <c r="K82" s="47"/>
    </row>
    <row r="83" spans="1:11" ht="13">
      <c r="A83" s="2">
        <f t="shared" si="5"/>
        <v>36</v>
      </c>
      <c r="C83" s="14" t="s">
        <v>397</v>
      </c>
      <c r="D83" s="330">
        <v>2025</v>
      </c>
      <c r="E83" s="261">
        <f t="shared" si="1"/>
        <v>2813860216.4988742</v>
      </c>
      <c r="F83" s="488">
        <f t="shared" si="2"/>
        <v>2160013544.4121442</v>
      </c>
      <c r="G83" s="488">
        <f t="shared" si="3"/>
        <v>539947338.63275433</v>
      </c>
      <c r="H83" s="488">
        <f t="shared" si="4"/>
        <v>113899333.45397566</v>
      </c>
      <c r="I83" s="239" t="s">
        <v>389</v>
      </c>
      <c r="J83" s="239"/>
      <c r="K83" s="2"/>
    </row>
    <row r="84" spans="1:11" ht="13">
      <c r="A84" s="2">
        <f t="shared" si="5"/>
        <v>37</v>
      </c>
      <c r="C84" s="14" t="s">
        <v>398</v>
      </c>
      <c r="D84" s="330">
        <v>2025</v>
      </c>
      <c r="E84" s="261">
        <f t="shared" si="1"/>
        <v>2805424747.8284979</v>
      </c>
      <c r="F84" s="488">
        <f t="shared" si="2"/>
        <v>2153621896.4516535</v>
      </c>
      <c r="G84" s="488">
        <f t="shared" si="3"/>
        <v>538298438.67632282</v>
      </c>
      <c r="H84" s="488">
        <f t="shared" si="4"/>
        <v>113504412.70052142</v>
      </c>
      <c r="I84" s="239" t="s">
        <v>389</v>
      </c>
      <c r="J84" s="239"/>
      <c r="K84" s="2"/>
    </row>
    <row r="85" spans="1:11" ht="13">
      <c r="A85" s="2">
        <f t="shared" si="5"/>
        <v>38</v>
      </c>
      <c r="C85" s="14" t="s">
        <v>1065</v>
      </c>
      <c r="D85" s="330">
        <v>2025</v>
      </c>
      <c r="E85" s="261">
        <f t="shared" si="1"/>
        <v>2796989056.5381203</v>
      </c>
      <c r="F85" s="488">
        <f t="shared" si="2"/>
        <v>2147230025.8711617</v>
      </c>
      <c r="G85" s="488">
        <f t="shared" si="3"/>
        <v>536649538.71989137</v>
      </c>
      <c r="H85" s="488">
        <f t="shared" si="4"/>
        <v>113109491.94706716</v>
      </c>
      <c r="I85" s="239" t="s">
        <v>389</v>
      </c>
      <c r="J85" s="239"/>
      <c r="K85" s="2"/>
    </row>
    <row r="86" spans="1:11" ht="13">
      <c r="A86" s="2">
        <f t="shared" si="5"/>
        <v>39</v>
      </c>
      <c r="C86" s="14" t="s">
        <v>400</v>
      </c>
      <c r="D86" s="330">
        <v>2025</v>
      </c>
      <c r="E86" s="261">
        <f t="shared" si="1"/>
        <v>2788553526.7913232</v>
      </c>
      <c r="F86" s="488">
        <f t="shared" si="2"/>
        <v>2140838316.83425</v>
      </c>
      <c r="G86" s="488">
        <f t="shared" si="3"/>
        <v>535000638.76345998</v>
      </c>
      <c r="H86" s="488">
        <f t="shared" si="4"/>
        <v>112714571.19361292</v>
      </c>
      <c r="I86" s="239" t="s">
        <v>389</v>
      </c>
      <c r="J86" s="239"/>
      <c r="K86" s="2"/>
    </row>
    <row r="87" spans="1:11" ht="13">
      <c r="A87" s="2">
        <f t="shared" si="5"/>
        <v>40</v>
      </c>
      <c r="C87" s="14" t="s">
        <v>388</v>
      </c>
      <c r="D87" s="330">
        <v>2025</v>
      </c>
      <c r="E87" s="36">
        <f t="shared" si="1"/>
        <v>2780117991.3245258</v>
      </c>
      <c r="F87" s="36">
        <f t="shared" si="2"/>
        <v>2134446602.0773385</v>
      </c>
      <c r="G87" s="36">
        <f t="shared" si="3"/>
        <v>533351738.80702853</v>
      </c>
      <c r="H87" s="36">
        <f t="shared" si="4"/>
        <v>112319650.44015865</v>
      </c>
      <c r="I87" s="239" t="s">
        <v>389</v>
      </c>
      <c r="J87" s="239"/>
      <c r="K87" s="2"/>
    </row>
    <row r="88" spans="1:11" ht="13">
      <c r="A88" s="2">
        <f t="shared" si="5"/>
        <v>41</v>
      </c>
      <c r="C88" s="14"/>
      <c r="D88" s="621" t="s">
        <v>1066</v>
      </c>
      <c r="E88" s="261">
        <f>SUM(E75:E87)/13</f>
        <v>2830382449.9794254</v>
      </c>
      <c r="F88" s="261">
        <f>SUM(F75:F87)/13</f>
        <v>2172448136.4729238</v>
      </c>
      <c r="G88" s="261">
        <f>SUM(G75:G87)/13</f>
        <v>543245138.5456171</v>
      </c>
      <c r="H88" s="261">
        <f>SUM(H75:H87)/13</f>
        <v>114689174.96088417</v>
      </c>
      <c r="I88" s="1"/>
      <c r="J88" s="1"/>
      <c r="K88" s="2"/>
    </row>
    <row r="90" spans="1:11" ht="13">
      <c r="A90" s="2"/>
      <c r="C90" s="15" t="s">
        <v>1297</v>
      </c>
      <c r="D90" s="260"/>
      <c r="E90" s="261"/>
      <c r="F90" s="261"/>
      <c r="G90" s="261"/>
      <c r="H90" s="261"/>
      <c r="I90" s="1"/>
      <c r="J90" s="1"/>
    </row>
    <row r="91" spans="1:11" ht="13">
      <c r="A91" s="2"/>
      <c r="C91" s="15"/>
      <c r="D91" s="260"/>
      <c r="E91" s="48" t="s">
        <v>345</v>
      </c>
      <c r="F91" s="48" t="s">
        <v>346</v>
      </c>
      <c r="G91" s="48" t="s">
        <v>347</v>
      </c>
      <c r="H91" s="261"/>
      <c r="I91" s="1"/>
      <c r="J91" s="1"/>
    </row>
    <row r="92" spans="1:11" ht="13">
      <c r="A92" s="2"/>
      <c r="C92" s="252"/>
      <c r="D92" s="260"/>
      <c r="G92" s="239" t="s">
        <v>1298</v>
      </c>
      <c r="H92" s="261"/>
      <c r="I92" s="1"/>
      <c r="J92" s="1"/>
    </row>
    <row r="93" spans="1:11" ht="13">
      <c r="A93" s="2"/>
      <c r="C93" s="252"/>
      <c r="D93" s="260"/>
      <c r="E93" s="181" t="s">
        <v>771</v>
      </c>
      <c r="F93" s="261"/>
      <c r="G93" s="262" t="s">
        <v>1299</v>
      </c>
      <c r="H93" s="261"/>
      <c r="I93" s="1"/>
      <c r="J93" s="1"/>
    </row>
    <row r="94" spans="1:11" ht="13">
      <c r="A94" s="2"/>
      <c r="C94" s="2" t="s">
        <v>1289</v>
      </c>
      <c r="E94" s="181" t="s">
        <v>1300</v>
      </c>
      <c r="F94" s="181" t="s">
        <v>743</v>
      </c>
      <c r="G94" s="181" t="s">
        <v>1300</v>
      </c>
      <c r="H94" s="261"/>
      <c r="I94" s="1"/>
      <c r="J94" s="1"/>
    </row>
    <row r="95" spans="1:11" ht="13">
      <c r="A95" s="2"/>
      <c r="C95" s="2" t="s">
        <v>381</v>
      </c>
      <c r="E95" s="181" t="s">
        <v>1260</v>
      </c>
      <c r="F95" s="4" t="s">
        <v>1301</v>
      </c>
      <c r="G95" s="181" t="s">
        <v>1260</v>
      </c>
      <c r="H95" s="261"/>
      <c r="I95" s="1"/>
      <c r="J95" s="1"/>
    </row>
    <row r="96" spans="1:11" ht="13">
      <c r="A96" s="2"/>
      <c r="C96" s="18" t="s">
        <v>380</v>
      </c>
      <c r="D96" s="18" t="s">
        <v>381</v>
      </c>
      <c r="E96" s="182" t="s">
        <v>1302</v>
      </c>
      <c r="F96" s="3" t="s">
        <v>1303</v>
      </c>
      <c r="G96" s="182" t="s">
        <v>1302</v>
      </c>
      <c r="H96" s="182" t="s">
        <v>1304</v>
      </c>
      <c r="I96" s="1"/>
      <c r="J96" s="1"/>
    </row>
    <row r="97" spans="1:10" ht="12.75" customHeight="1">
      <c r="A97" s="2">
        <f>A88+1</f>
        <v>42</v>
      </c>
      <c r="C97" s="252" t="s">
        <v>388</v>
      </c>
      <c r="D97" s="479">
        <v>2024</v>
      </c>
      <c r="E97" s="6">
        <f>H120+H140+H160+H179+H198+H217+H236+H255+H274+H293+H312+H332+H351+H370</f>
        <v>0</v>
      </c>
      <c r="F97" s="263">
        <v>0</v>
      </c>
      <c r="G97" s="261">
        <f>E97-F97</f>
        <v>0</v>
      </c>
      <c r="H97" s="267" t="s">
        <v>1305</v>
      </c>
      <c r="I97" s="1"/>
      <c r="J97" s="6"/>
    </row>
    <row r="98" spans="1:10" ht="13">
      <c r="A98" s="2">
        <f>A97+1</f>
        <v>43</v>
      </c>
      <c r="C98" s="252" t="s">
        <v>390</v>
      </c>
      <c r="D98" s="330">
        <v>2025</v>
      </c>
      <c r="E98" s="6">
        <f>H121+H141+H161+H180+H199+H218+H237+H256+H275+H294+H313+H333+H352+H371</f>
        <v>340986.36999996006</v>
      </c>
      <c r="F98" s="263">
        <v>0</v>
      </c>
      <c r="G98" s="261">
        <f t="shared" ref="G98:G109" si="6">E98-F98</f>
        <v>340986.36999996006</v>
      </c>
      <c r="H98" s="267" t="s">
        <v>1306</v>
      </c>
      <c r="I98" s="42"/>
      <c r="J98" s="6"/>
    </row>
    <row r="99" spans="1:10" ht="13">
      <c r="A99" s="2">
        <f t="shared" ref="A99:A110" si="7">A98+1</f>
        <v>44</v>
      </c>
      <c r="C99" s="252" t="s">
        <v>391</v>
      </c>
      <c r="D99" s="330">
        <v>2025</v>
      </c>
      <c r="E99" s="6">
        <f>H122+H142+H162+H181+H200+H219+H238+H257+H276+H295+H314+H334+H353+H372</f>
        <v>992366.9200001359</v>
      </c>
      <c r="F99" s="263">
        <v>0</v>
      </c>
      <c r="G99" s="261">
        <f t="shared" si="6"/>
        <v>992366.9200001359</v>
      </c>
      <c r="H99" s="267"/>
      <c r="I99" s="42"/>
      <c r="J99" s="6"/>
    </row>
    <row r="100" spans="1:10" ht="13">
      <c r="A100" s="2">
        <f t="shared" si="7"/>
        <v>45</v>
      </c>
      <c r="C100" s="252" t="s">
        <v>392</v>
      </c>
      <c r="D100" s="330">
        <v>2025</v>
      </c>
      <c r="E100" s="6">
        <f>H123+H143+H163+H182+H201+H220+H239+H258+H277+H296+H315+H335+H354+H373</f>
        <v>17246487.763660237</v>
      </c>
      <c r="F100" s="263">
        <v>0</v>
      </c>
      <c r="G100" s="261">
        <f t="shared" si="6"/>
        <v>17246487.763660237</v>
      </c>
      <c r="H100" s="261"/>
      <c r="I100" s="42"/>
      <c r="J100" s="6"/>
    </row>
    <row r="101" spans="1:10" ht="13">
      <c r="A101" s="2">
        <f t="shared" si="7"/>
        <v>46</v>
      </c>
      <c r="C101" s="252" t="s">
        <v>393</v>
      </c>
      <c r="D101" s="330">
        <v>2025</v>
      </c>
      <c r="E101" s="6">
        <f t="shared" ref="E101:E109" si="8">H124+H144+H164+H183+H202+H221+H240+H259+H278+H297+H316+H336+H355+H374</f>
        <v>1315185.9499999583</v>
      </c>
      <c r="F101" s="263">
        <v>0</v>
      </c>
      <c r="G101" s="261">
        <f t="shared" si="6"/>
        <v>1315185.9499999583</v>
      </c>
      <c r="H101" s="261"/>
      <c r="I101" s="42"/>
      <c r="J101" s="6"/>
    </row>
    <row r="102" spans="1:10" ht="13">
      <c r="A102" s="2">
        <f t="shared" si="7"/>
        <v>47</v>
      </c>
      <c r="C102" s="252" t="s">
        <v>394</v>
      </c>
      <c r="D102" s="330">
        <v>2025</v>
      </c>
      <c r="E102" s="6">
        <f t="shared" si="8"/>
        <v>3126608.6400000453</v>
      </c>
      <c r="F102" s="263">
        <v>0</v>
      </c>
      <c r="G102" s="261">
        <f t="shared" si="6"/>
        <v>3126608.6400000453</v>
      </c>
      <c r="H102" s="261"/>
      <c r="I102" s="42"/>
      <c r="J102" s="6"/>
    </row>
    <row r="103" spans="1:10" ht="13">
      <c r="A103" s="2">
        <f t="shared" si="7"/>
        <v>48</v>
      </c>
      <c r="C103" s="252" t="s">
        <v>395</v>
      </c>
      <c r="D103" s="330">
        <v>2025</v>
      </c>
      <c r="E103" s="6">
        <f t="shared" si="8"/>
        <v>101769341.13999973</v>
      </c>
      <c r="F103" s="263">
        <v>0</v>
      </c>
      <c r="G103" s="261">
        <f t="shared" si="6"/>
        <v>101769341.13999973</v>
      </c>
      <c r="H103" s="261"/>
      <c r="I103" s="42"/>
      <c r="J103" s="6"/>
    </row>
    <row r="104" spans="1:10" ht="13">
      <c r="A104" s="2">
        <f t="shared" si="7"/>
        <v>49</v>
      </c>
      <c r="C104" s="252" t="s">
        <v>396</v>
      </c>
      <c r="D104" s="330">
        <v>2025</v>
      </c>
      <c r="E104" s="6">
        <f t="shared" si="8"/>
        <v>760232.54625995457</v>
      </c>
      <c r="F104" s="263">
        <v>0</v>
      </c>
      <c r="G104" s="261">
        <f t="shared" si="6"/>
        <v>760232.54625995457</v>
      </c>
      <c r="H104" s="261"/>
      <c r="I104" s="42"/>
      <c r="J104" s="6"/>
    </row>
    <row r="105" spans="1:10" ht="13">
      <c r="A105" s="2">
        <f t="shared" si="7"/>
        <v>50</v>
      </c>
      <c r="C105" s="252" t="s">
        <v>397</v>
      </c>
      <c r="D105" s="330">
        <v>2025</v>
      </c>
      <c r="E105" s="6">
        <f t="shared" si="8"/>
        <v>226132.34000006318</v>
      </c>
      <c r="F105" s="263">
        <v>0</v>
      </c>
      <c r="G105" s="261">
        <f t="shared" si="6"/>
        <v>226132.34000006318</v>
      </c>
      <c r="H105" s="261"/>
      <c r="I105" s="42"/>
      <c r="J105" s="6"/>
    </row>
    <row r="106" spans="1:10" ht="13">
      <c r="A106" s="2">
        <f t="shared" si="7"/>
        <v>51</v>
      </c>
      <c r="C106" s="252" t="s">
        <v>398</v>
      </c>
      <c r="D106" s="330">
        <v>2025</v>
      </c>
      <c r="E106" s="6">
        <f t="shared" si="8"/>
        <v>767128.31000041962</v>
      </c>
      <c r="F106" s="263">
        <v>0</v>
      </c>
      <c r="G106" s="261">
        <f t="shared" si="6"/>
        <v>767128.31000041962</v>
      </c>
      <c r="H106" s="261"/>
      <c r="I106" s="42"/>
      <c r="J106" s="6"/>
    </row>
    <row r="107" spans="1:10" ht="13">
      <c r="A107" s="2">
        <f t="shared" si="7"/>
        <v>52</v>
      </c>
      <c r="C107" s="252" t="s">
        <v>1065</v>
      </c>
      <c r="D107" s="330">
        <v>2025</v>
      </c>
      <c r="E107" s="6">
        <f t="shared" si="8"/>
        <v>362024.68999987841</v>
      </c>
      <c r="F107" s="263">
        <v>0</v>
      </c>
      <c r="G107" s="261">
        <f t="shared" si="6"/>
        <v>362024.68999987841</v>
      </c>
      <c r="H107" s="261"/>
      <c r="I107" s="42"/>
      <c r="J107" s="6"/>
    </row>
    <row r="108" spans="1:10" ht="13">
      <c r="A108" s="2">
        <f t="shared" si="7"/>
        <v>53</v>
      </c>
      <c r="C108" s="252" t="s">
        <v>400</v>
      </c>
      <c r="D108" s="330">
        <v>2025</v>
      </c>
      <c r="E108" s="6">
        <f t="shared" si="8"/>
        <v>231770.48999989033</v>
      </c>
      <c r="F108" s="263">
        <v>0</v>
      </c>
      <c r="G108" s="261">
        <f t="shared" si="6"/>
        <v>231770.48999989033</v>
      </c>
      <c r="H108" s="261"/>
      <c r="I108" s="42"/>
      <c r="J108" s="6"/>
    </row>
    <row r="109" spans="1:10" ht="13">
      <c r="A109" s="2">
        <f t="shared" si="7"/>
        <v>54</v>
      </c>
      <c r="C109" s="252" t="s">
        <v>388</v>
      </c>
      <c r="D109" s="330">
        <v>2025</v>
      </c>
      <c r="E109" s="53">
        <f t="shared" si="8"/>
        <v>50140313.779999763</v>
      </c>
      <c r="F109" s="206">
        <v>0</v>
      </c>
      <c r="G109" s="36">
        <f t="shared" si="6"/>
        <v>50140313.779999763</v>
      </c>
      <c r="H109" s="261"/>
      <c r="I109" s="42"/>
      <c r="J109" s="6"/>
    </row>
    <row r="110" spans="1:10" ht="13">
      <c r="A110" s="2">
        <f t="shared" si="7"/>
        <v>55</v>
      </c>
      <c r="C110" s="252" t="s">
        <v>252</v>
      </c>
      <c r="D110" s="256"/>
      <c r="E110" s="6">
        <f>SUM(E97:E109)</f>
        <v>177278578.93992004</v>
      </c>
      <c r="F110" s="6">
        <f t="shared" ref="F110" si="9">SUM(F97:F109)</f>
        <v>0</v>
      </c>
      <c r="G110" s="6">
        <f>SUM(G97:G109)</f>
        <v>177278578.93992004</v>
      </c>
      <c r="H110" s="261"/>
      <c r="I110" s="42"/>
      <c r="J110" s="1"/>
    </row>
    <row r="111" spans="1:10" ht="13">
      <c r="A111" s="2"/>
      <c r="C111" s="252"/>
      <c r="D111" s="256"/>
      <c r="E111" s="6"/>
      <c r="F111" s="261"/>
      <c r="G111" s="261"/>
      <c r="H111" s="261"/>
      <c r="I111" s="42"/>
      <c r="J111" s="1"/>
    </row>
    <row r="113" spans="1:9" ht="13">
      <c r="C113" s="15" t="s">
        <v>1307</v>
      </c>
    </row>
    <row r="115" spans="1:9" ht="13">
      <c r="C115" s="1" t="s">
        <v>1308</v>
      </c>
      <c r="E115" s="48" t="s">
        <v>345</v>
      </c>
      <c r="F115" s="48" t="s">
        <v>346</v>
      </c>
      <c r="G115" s="48" t="s">
        <v>347</v>
      </c>
      <c r="H115" s="48" t="s">
        <v>348</v>
      </c>
    </row>
    <row r="116" spans="1:9">
      <c r="G116" s="239" t="s">
        <v>1298</v>
      </c>
      <c r="H116" s="239" t="s">
        <v>1309</v>
      </c>
    </row>
    <row r="117" spans="1:9" ht="13">
      <c r="C117" s="2" t="s">
        <v>1289</v>
      </c>
      <c r="H117" s="234" t="s">
        <v>1310</v>
      </c>
    </row>
    <row r="118" spans="1:9" ht="13">
      <c r="C118" s="2" t="s">
        <v>381</v>
      </c>
      <c r="E118" s="2" t="s">
        <v>692</v>
      </c>
      <c r="F118" s="2" t="s">
        <v>1311</v>
      </c>
      <c r="G118" s="2" t="s">
        <v>1312</v>
      </c>
      <c r="H118" s="2" t="s">
        <v>741</v>
      </c>
    </row>
    <row r="119" spans="1:9" ht="13">
      <c r="C119" s="18" t="s">
        <v>380</v>
      </c>
      <c r="D119" s="18" t="s">
        <v>381</v>
      </c>
      <c r="E119" s="3" t="s">
        <v>1313</v>
      </c>
      <c r="F119" s="3" t="s">
        <v>40</v>
      </c>
      <c r="G119" s="3" t="s">
        <v>1279</v>
      </c>
      <c r="H119" s="3" t="s">
        <v>1303</v>
      </c>
    </row>
    <row r="120" spans="1:9" ht="13">
      <c r="A120" s="2">
        <f>A110+1</f>
        <v>56</v>
      </c>
      <c r="C120" s="252" t="s">
        <v>388</v>
      </c>
      <c r="D120" s="479">
        <v>2024</v>
      </c>
      <c r="E120" s="59">
        <v>3062605203.3272147</v>
      </c>
      <c r="F120" s="59">
        <v>852107425.1962496</v>
      </c>
      <c r="G120" s="6">
        <f t="shared" ref="G120:G132" si="10">E120-F120</f>
        <v>2210497778.1309652</v>
      </c>
      <c r="H120" s="6">
        <f>E120-E120</f>
        <v>0</v>
      </c>
      <c r="I120" s="286"/>
    </row>
    <row r="121" spans="1:9" ht="13">
      <c r="A121" s="2">
        <f>A120+1</f>
        <v>57</v>
      </c>
      <c r="C121" s="252" t="s">
        <v>390</v>
      </c>
      <c r="D121" s="330">
        <v>2025</v>
      </c>
      <c r="E121" s="59">
        <v>3062605885.5772147</v>
      </c>
      <c r="F121" s="59">
        <v>858499295.04461181</v>
      </c>
      <c r="G121" s="6">
        <f t="shared" si="10"/>
        <v>2204106590.5326028</v>
      </c>
      <c r="H121" s="6">
        <f>E121-E120</f>
        <v>682.25</v>
      </c>
    </row>
    <row r="122" spans="1:9" ht="13">
      <c r="A122" s="2">
        <f t="shared" ref="A122:A132" si="11">A121+1</f>
        <v>58</v>
      </c>
      <c r="C122" s="252" t="s">
        <v>391</v>
      </c>
      <c r="D122" s="330">
        <v>2025</v>
      </c>
      <c r="E122" s="59">
        <v>3062605885.5772147</v>
      </c>
      <c r="F122" s="59">
        <v>864891164.93598175</v>
      </c>
      <c r="G122" s="6">
        <f t="shared" si="10"/>
        <v>2197714720.641233</v>
      </c>
      <c r="H122" s="6">
        <f t="shared" ref="H122:H132" si="12">E122-E121</f>
        <v>0</v>
      </c>
    </row>
    <row r="123" spans="1:9" ht="13">
      <c r="A123" s="2">
        <f t="shared" si="11"/>
        <v>59</v>
      </c>
      <c r="C123" s="252" t="s">
        <v>392</v>
      </c>
      <c r="D123" s="330">
        <v>2025</v>
      </c>
      <c r="E123" s="59">
        <v>3062606618.507215</v>
      </c>
      <c r="F123" s="59">
        <v>871283034.87766349</v>
      </c>
      <c r="G123" s="6">
        <f t="shared" si="10"/>
        <v>2191323583.6295514</v>
      </c>
      <c r="H123" s="6">
        <f t="shared" si="12"/>
        <v>732.93000030517578</v>
      </c>
    </row>
    <row r="124" spans="1:9" ht="13">
      <c r="A124" s="2">
        <f t="shared" si="11"/>
        <v>60</v>
      </c>
      <c r="C124" s="252" t="s">
        <v>393</v>
      </c>
      <c r="D124" s="330">
        <v>2025</v>
      </c>
      <c r="E124" s="59">
        <v>3062606618.507215</v>
      </c>
      <c r="F124" s="59">
        <v>877674904.81934536</v>
      </c>
      <c r="G124" s="6">
        <f t="shared" si="10"/>
        <v>2184931713.6878695</v>
      </c>
      <c r="H124" s="6">
        <f t="shared" si="12"/>
        <v>0</v>
      </c>
    </row>
    <row r="125" spans="1:9" ht="13">
      <c r="A125" s="2">
        <f t="shared" si="11"/>
        <v>61</v>
      </c>
      <c r="C125" s="252" t="s">
        <v>394</v>
      </c>
      <c r="D125" s="330">
        <v>2025</v>
      </c>
      <c r="E125" s="59">
        <v>3062606618.507215</v>
      </c>
      <c r="F125" s="59">
        <v>884066774.81507421</v>
      </c>
      <c r="G125" s="6">
        <f t="shared" si="10"/>
        <v>2178539843.6921406</v>
      </c>
      <c r="H125" s="6">
        <f t="shared" si="12"/>
        <v>0</v>
      </c>
    </row>
    <row r="126" spans="1:9" ht="13">
      <c r="A126" s="2">
        <f t="shared" si="11"/>
        <v>62</v>
      </c>
      <c r="C126" s="252" t="s">
        <v>395</v>
      </c>
      <c r="D126" s="330">
        <v>2025</v>
      </c>
      <c r="E126" s="59">
        <v>3062614388.0172148</v>
      </c>
      <c r="F126" s="59">
        <v>890458644.81080258</v>
      </c>
      <c r="G126" s="6">
        <f t="shared" si="10"/>
        <v>2172155743.2064123</v>
      </c>
      <c r="H126" s="6">
        <f t="shared" si="12"/>
        <v>7769.5099997520447</v>
      </c>
    </row>
    <row r="127" spans="1:9" ht="13">
      <c r="A127" s="2">
        <f t="shared" si="11"/>
        <v>63</v>
      </c>
      <c r="C127" s="252" t="s">
        <v>396</v>
      </c>
      <c r="D127" s="330">
        <v>2025</v>
      </c>
      <c r="E127" s="59">
        <v>3063255929.7872148</v>
      </c>
      <c r="F127" s="59">
        <v>896850514.80653131</v>
      </c>
      <c r="G127" s="6">
        <f t="shared" si="10"/>
        <v>2166405414.9806833</v>
      </c>
      <c r="H127" s="6">
        <f t="shared" si="12"/>
        <v>641541.76999998093</v>
      </c>
    </row>
    <row r="128" spans="1:9" ht="13">
      <c r="A128" s="2">
        <f t="shared" si="11"/>
        <v>64</v>
      </c>
      <c r="C128" s="252" t="s">
        <v>397</v>
      </c>
      <c r="D128" s="330">
        <v>2025</v>
      </c>
      <c r="E128" s="59">
        <v>3063255929.7872148</v>
      </c>
      <c r="F128" s="59">
        <v>903242385.37507057</v>
      </c>
      <c r="G128" s="6">
        <f t="shared" si="10"/>
        <v>2160013544.4121442</v>
      </c>
      <c r="H128" s="6">
        <f t="shared" si="12"/>
        <v>0</v>
      </c>
    </row>
    <row r="129" spans="1:8" ht="13">
      <c r="A129" s="2">
        <f t="shared" si="11"/>
        <v>65</v>
      </c>
      <c r="C129" s="252" t="s">
        <v>398</v>
      </c>
      <c r="D129" s="330">
        <v>2025</v>
      </c>
      <c r="E129" s="59">
        <v>3063256152.4072151</v>
      </c>
      <c r="F129" s="59">
        <v>909634255.95556188</v>
      </c>
      <c r="G129" s="6">
        <f t="shared" si="10"/>
        <v>2153621896.4516535</v>
      </c>
      <c r="H129" s="6">
        <f t="shared" si="12"/>
        <v>222.62000036239624</v>
      </c>
    </row>
    <row r="130" spans="1:8" ht="13">
      <c r="A130" s="2">
        <f t="shared" si="11"/>
        <v>66</v>
      </c>
      <c r="C130" s="252" t="s">
        <v>1065</v>
      </c>
      <c r="D130" s="330">
        <v>2025</v>
      </c>
      <c r="E130" s="59">
        <v>3063256152.4072151</v>
      </c>
      <c r="F130" s="59">
        <v>916026126.53605342</v>
      </c>
      <c r="G130" s="6">
        <f t="shared" si="10"/>
        <v>2147230025.8711617</v>
      </c>
      <c r="H130" s="6">
        <f t="shared" si="12"/>
        <v>0</v>
      </c>
    </row>
    <row r="131" spans="1:8" ht="13">
      <c r="A131" s="2">
        <f t="shared" si="11"/>
        <v>67</v>
      </c>
      <c r="C131" s="252" t="s">
        <v>400</v>
      </c>
      <c r="D131" s="330">
        <v>2025</v>
      </c>
      <c r="E131" s="59">
        <v>3063256313.9672151</v>
      </c>
      <c r="F131" s="59">
        <v>922417997.13296509</v>
      </c>
      <c r="G131" s="6">
        <f t="shared" si="10"/>
        <v>2140838316.83425</v>
      </c>
      <c r="H131" s="6">
        <f t="shared" si="12"/>
        <v>161.55999994277954</v>
      </c>
    </row>
    <row r="132" spans="1:8" ht="13">
      <c r="A132" s="2">
        <f t="shared" si="11"/>
        <v>68</v>
      </c>
      <c r="C132" s="252" t="s">
        <v>388</v>
      </c>
      <c r="D132" s="330">
        <v>2025</v>
      </c>
      <c r="E132" s="59">
        <v>3063256469.8072147</v>
      </c>
      <c r="F132" s="59">
        <v>928809867.72987628</v>
      </c>
      <c r="G132" s="6">
        <f t="shared" si="10"/>
        <v>2134446602.0773385</v>
      </c>
      <c r="H132" s="6">
        <f t="shared" si="12"/>
        <v>155.83999967575073</v>
      </c>
    </row>
    <row r="133" spans="1:8" ht="13">
      <c r="A133" s="2"/>
      <c r="C133" s="252"/>
      <c r="D133" s="256"/>
    </row>
    <row r="135" spans="1:8" ht="13">
      <c r="C135" s="15" t="s">
        <v>1314</v>
      </c>
      <c r="E135" s="48" t="s">
        <v>345</v>
      </c>
      <c r="F135" s="48" t="s">
        <v>346</v>
      </c>
      <c r="G135" s="48" t="s">
        <v>347</v>
      </c>
      <c r="H135" s="48" t="s">
        <v>348</v>
      </c>
    </row>
    <row r="136" spans="1:8">
      <c r="G136" s="239" t="s">
        <v>1298</v>
      </c>
      <c r="H136" s="239" t="s">
        <v>1309</v>
      </c>
    </row>
    <row r="137" spans="1:8" ht="13">
      <c r="C137" s="2" t="s">
        <v>1289</v>
      </c>
      <c r="H137" s="234" t="s">
        <v>1310</v>
      </c>
    </row>
    <row r="138" spans="1:8" ht="13">
      <c r="C138" s="2" t="s">
        <v>381</v>
      </c>
      <c r="E138" s="2" t="s">
        <v>692</v>
      </c>
      <c r="F138" s="2" t="s">
        <v>1311</v>
      </c>
      <c r="G138" s="2" t="s">
        <v>1312</v>
      </c>
      <c r="H138" s="2" t="s">
        <v>741</v>
      </c>
    </row>
    <row r="139" spans="1:8" ht="13">
      <c r="C139" s="18" t="s">
        <v>380</v>
      </c>
      <c r="D139" s="18" t="s">
        <v>381</v>
      </c>
      <c r="E139" s="3" t="s">
        <v>1313</v>
      </c>
      <c r="F139" s="3" t="s">
        <v>40</v>
      </c>
      <c r="G139" s="3" t="s">
        <v>1279</v>
      </c>
      <c r="H139" s="3" t="s">
        <v>1303</v>
      </c>
    </row>
    <row r="140" spans="1:8" ht="13">
      <c r="A140" s="2">
        <f>A132+1</f>
        <v>69</v>
      </c>
      <c r="C140" s="252" t="s">
        <v>388</v>
      </c>
      <c r="D140" s="479">
        <v>2024</v>
      </c>
      <c r="E140" s="59">
        <v>191500873.53999996</v>
      </c>
      <c r="F140" s="59">
        <v>74442174.05839029</v>
      </c>
      <c r="G140" s="6">
        <f>E140-F140</f>
        <v>117058699.48160967</v>
      </c>
      <c r="H140" s="6">
        <f>E140-E140</f>
        <v>0</v>
      </c>
    </row>
    <row r="141" spans="1:8" ht="13">
      <c r="A141" s="2">
        <f>A140+1</f>
        <v>70</v>
      </c>
      <c r="C141" s="252" t="s">
        <v>390</v>
      </c>
      <c r="D141" s="330">
        <v>2025</v>
      </c>
      <c r="E141" s="59">
        <v>191500873.53999996</v>
      </c>
      <c r="F141" s="59">
        <v>74837094.811844558</v>
      </c>
      <c r="G141" s="6">
        <f t="shared" ref="G141:G152" si="13">E141-F141</f>
        <v>116663778.7281554</v>
      </c>
      <c r="H141" s="6">
        <f>E141-E140</f>
        <v>0</v>
      </c>
    </row>
    <row r="142" spans="1:8" ht="13">
      <c r="A142" s="2">
        <f t="shared" ref="A142:A152" si="14">A141+1</f>
        <v>71</v>
      </c>
      <c r="C142" s="252" t="s">
        <v>391</v>
      </c>
      <c r="D142" s="330">
        <v>2025</v>
      </c>
      <c r="E142" s="59">
        <v>191500873.53999996</v>
      </c>
      <c r="F142" s="59">
        <v>75232015.565298781</v>
      </c>
      <c r="G142" s="6">
        <f t="shared" si="13"/>
        <v>116268857.97470118</v>
      </c>
      <c r="H142" s="6">
        <f t="shared" ref="H142:H152" si="15">E142-E141</f>
        <v>0</v>
      </c>
    </row>
    <row r="143" spans="1:8" ht="13">
      <c r="A143" s="2">
        <f t="shared" si="14"/>
        <v>72</v>
      </c>
      <c r="C143" s="252" t="s">
        <v>392</v>
      </c>
      <c r="D143" s="330">
        <v>2025</v>
      </c>
      <c r="E143" s="59">
        <v>191500873.53999996</v>
      </c>
      <c r="F143" s="59">
        <v>75626936.318753049</v>
      </c>
      <c r="G143" s="6">
        <f t="shared" si="13"/>
        <v>115873937.22124691</v>
      </c>
      <c r="H143" s="6">
        <f t="shared" si="15"/>
        <v>0</v>
      </c>
    </row>
    <row r="144" spans="1:8" ht="13">
      <c r="A144" s="2">
        <f t="shared" si="14"/>
        <v>73</v>
      </c>
      <c r="C144" s="252" t="s">
        <v>393</v>
      </c>
      <c r="D144" s="330">
        <v>2025</v>
      </c>
      <c r="E144" s="59">
        <v>191500873.53999996</v>
      </c>
      <c r="F144" s="59">
        <v>76021857.072207317</v>
      </c>
      <c r="G144" s="6">
        <f t="shared" si="13"/>
        <v>115479016.46779265</v>
      </c>
      <c r="H144" s="6">
        <f t="shared" si="15"/>
        <v>0</v>
      </c>
    </row>
    <row r="145" spans="1:8" ht="13">
      <c r="A145" s="2">
        <f t="shared" si="14"/>
        <v>74</v>
      </c>
      <c r="C145" s="252" t="s">
        <v>394</v>
      </c>
      <c r="D145" s="330">
        <v>2025</v>
      </c>
      <c r="E145" s="59">
        <v>191500873.53999996</v>
      </c>
      <c r="F145" s="59">
        <v>76416777.825661555</v>
      </c>
      <c r="G145" s="6">
        <f t="shared" si="13"/>
        <v>115084095.71433841</v>
      </c>
      <c r="H145" s="6">
        <f t="shared" si="15"/>
        <v>0</v>
      </c>
    </row>
    <row r="146" spans="1:8" ht="13">
      <c r="A146" s="2">
        <f t="shared" si="14"/>
        <v>75</v>
      </c>
      <c r="C146" s="252" t="s">
        <v>395</v>
      </c>
      <c r="D146" s="330">
        <v>2025</v>
      </c>
      <c r="E146" s="59">
        <v>191500873.53999996</v>
      </c>
      <c r="F146" s="59">
        <v>76811698.579115808</v>
      </c>
      <c r="G146" s="6">
        <f t="shared" si="13"/>
        <v>114689174.96088415</v>
      </c>
      <c r="H146" s="6">
        <f t="shared" si="15"/>
        <v>0</v>
      </c>
    </row>
    <row r="147" spans="1:8" ht="13">
      <c r="A147" s="2">
        <f t="shared" si="14"/>
        <v>76</v>
      </c>
      <c r="C147" s="252" t="s">
        <v>396</v>
      </c>
      <c r="D147" s="330">
        <v>2025</v>
      </c>
      <c r="E147" s="59">
        <v>191500873.53999996</v>
      </c>
      <c r="F147" s="59">
        <v>77206619.332570046</v>
      </c>
      <c r="G147" s="6">
        <f t="shared" si="13"/>
        <v>114294254.20742992</v>
      </c>
      <c r="H147" s="6">
        <f t="shared" si="15"/>
        <v>0</v>
      </c>
    </row>
    <row r="148" spans="1:8" ht="13">
      <c r="A148" s="2">
        <f t="shared" si="14"/>
        <v>77</v>
      </c>
      <c r="C148" s="252" t="s">
        <v>397</v>
      </c>
      <c r="D148" s="330">
        <v>2025</v>
      </c>
      <c r="E148" s="59">
        <v>191500873.53999996</v>
      </c>
      <c r="F148" s="59">
        <v>77601540.086024299</v>
      </c>
      <c r="G148" s="6">
        <f t="shared" si="13"/>
        <v>113899333.45397566</v>
      </c>
      <c r="H148" s="6">
        <f t="shared" si="15"/>
        <v>0</v>
      </c>
    </row>
    <row r="149" spans="1:8" ht="13">
      <c r="A149" s="2">
        <f t="shared" si="14"/>
        <v>78</v>
      </c>
      <c r="C149" s="252" t="s">
        <v>398</v>
      </c>
      <c r="D149" s="330">
        <v>2025</v>
      </c>
      <c r="E149" s="59">
        <v>191500873.53999996</v>
      </c>
      <c r="F149" s="59">
        <v>77996460.839478537</v>
      </c>
      <c r="G149" s="6">
        <f t="shared" si="13"/>
        <v>113504412.70052142</v>
      </c>
      <c r="H149" s="6">
        <f t="shared" si="15"/>
        <v>0</v>
      </c>
    </row>
    <row r="150" spans="1:8" ht="13">
      <c r="A150" s="2">
        <f t="shared" si="14"/>
        <v>79</v>
      </c>
      <c r="C150" s="252" t="s">
        <v>1065</v>
      </c>
      <c r="D150" s="330">
        <v>2025</v>
      </c>
      <c r="E150" s="59">
        <v>191500873.53999996</v>
      </c>
      <c r="F150" s="59">
        <v>78391381.592932805</v>
      </c>
      <c r="G150" s="6">
        <f t="shared" si="13"/>
        <v>113109491.94706716</v>
      </c>
      <c r="H150" s="6">
        <f t="shared" si="15"/>
        <v>0</v>
      </c>
    </row>
    <row r="151" spans="1:8" ht="13">
      <c r="A151" s="2">
        <f t="shared" si="14"/>
        <v>80</v>
      </c>
      <c r="C151" s="252" t="s">
        <v>400</v>
      </c>
      <c r="D151" s="330">
        <v>2025</v>
      </c>
      <c r="E151" s="59">
        <v>191500873.53999996</v>
      </c>
      <c r="F151" s="59">
        <v>78786302.346387044</v>
      </c>
      <c r="G151" s="6">
        <f t="shared" si="13"/>
        <v>112714571.19361292</v>
      </c>
      <c r="H151" s="6">
        <f t="shared" si="15"/>
        <v>0</v>
      </c>
    </row>
    <row r="152" spans="1:8" ht="13">
      <c r="A152" s="2">
        <f t="shared" si="14"/>
        <v>81</v>
      </c>
      <c r="C152" s="252" t="s">
        <v>388</v>
      </c>
      <c r="D152" s="330">
        <v>2025</v>
      </c>
      <c r="E152" s="59">
        <v>191500873.53999996</v>
      </c>
      <c r="F152" s="59">
        <v>79181223.099841312</v>
      </c>
      <c r="G152" s="6">
        <f t="shared" si="13"/>
        <v>112319650.44015865</v>
      </c>
      <c r="H152" s="6">
        <f t="shared" si="15"/>
        <v>0</v>
      </c>
    </row>
    <row r="153" spans="1:8" ht="13">
      <c r="A153" s="2"/>
    </row>
    <row r="154" spans="1:8" ht="12.75" customHeight="1"/>
    <row r="155" spans="1:8" ht="13">
      <c r="C155" s="15" t="s">
        <v>1315</v>
      </c>
      <c r="E155" s="48" t="s">
        <v>345</v>
      </c>
      <c r="F155" s="48" t="s">
        <v>346</v>
      </c>
      <c r="G155" s="48" t="s">
        <v>347</v>
      </c>
      <c r="H155" s="48" t="s">
        <v>348</v>
      </c>
    </row>
    <row r="156" spans="1:8">
      <c r="G156" s="239" t="s">
        <v>1298</v>
      </c>
      <c r="H156" s="239" t="s">
        <v>1309</v>
      </c>
    </row>
    <row r="157" spans="1:8" ht="13">
      <c r="C157" s="2" t="s">
        <v>1289</v>
      </c>
      <c r="H157" s="234" t="s">
        <v>1310</v>
      </c>
    </row>
    <row r="158" spans="1:8" ht="13">
      <c r="C158" s="2" t="s">
        <v>381</v>
      </c>
      <c r="E158" s="2" t="s">
        <v>692</v>
      </c>
      <c r="F158" s="2" t="s">
        <v>1311</v>
      </c>
      <c r="G158" s="2" t="s">
        <v>1312</v>
      </c>
      <c r="H158" s="2" t="s">
        <v>741</v>
      </c>
    </row>
    <row r="159" spans="1:8" ht="13">
      <c r="C159" s="18" t="s">
        <v>380</v>
      </c>
      <c r="D159" s="18" t="s">
        <v>381</v>
      </c>
      <c r="E159" s="3" t="s">
        <v>1313</v>
      </c>
      <c r="F159" s="3" t="s">
        <v>40</v>
      </c>
      <c r="G159" s="3" t="s">
        <v>1279</v>
      </c>
      <c r="H159" s="3" t="s">
        <v>1303</v>
      </c>
    </row>
    <row r="160" spans="1:8" ht="13">
      <c r="A160" s="2">
        <f>A152+1</f>
        <v>82</v>
      </c>
      <c r="C160" s="252" t="s">
        <v>388</v>
      </c>
      <c r="D160" s="479">
        <v>2024</v>
      </c>
      <c r="E160" s="59">
        <v>777073194.57999992</v>
      </c>
      <c r="F160" s="59">
        <v>223934656.29579431</v>
      </c>
      <c r="G160" s="6">
        <f t="shared" ref="G160:G172" si="16">E160-F160</f>
        <v>553138538.28420568</v>
      </c>
      <c r="H160" s="6">
        <f>E160-E160</f>
        <v>0</v>
      </c>
    </row>
    <row r="161" spans="1:8" ht="13">
      <c r="A161" s="2">
        <f>A160+1</f>
        <v>83</v>
      </c>
      <c r="C161" s="252" t="s">
        <v>390</v>
      </c>
      <c r="D161" s="330">
        <v>2025</v>
      </c>
      <c r="E161" s="59">
        <v>777073194.57999992</v>
      </c>
      <c r="F161" s="59">
        <v>225583556.25222573</v>
      </c>
      <c r="G161" s="6">
        <f t="shared" si="16"/>
        <v>551489638.32777417</v>
      </c>
      <c r="H161" s="6">
        <f>E161-E160</f>
        <v>0</v>
      </c>
    </row>
    <row r="162" spans="1:8" ht="13">
      <c r="A162" s="2">
        <f t="shared" ref="A162:A172" si="17">A161+1</f>
        <v>84</v>
      </c>
      <c r="C162" s="252" t="s">
        <v>391</v>
      </c>
      <c r="D162" s="330">
        <v>2025</v>
      </c>
      <c r="E162" s="59">
        <v>777073194.57999992</v>
      </c>
      <c r="F162" s="59">
        <v>227232456.20865715</v>
      </c>
      <c r="G162" s="6">
        <f t="shared" si="16"/>
        <v>549840738.37134278</v>
      </c>
      <c r="H162" s="6">
        <f t="shared" ref="H162:H172" si="18">E162-E161</f>
        <v>0</v>
      </c>
    </row>
    <row r="163" spans="1:8" ht="13">
      <c r="A163" s="2">
        <f t="shared" si="17"/>
        <v>85</v>
      </c>
      <c r="C163" s="252" t="s">
        <v>392</v>
      </c>
      <c r="D163" s="330">
        <v>2025</v>
      </c>
      <c r="E163" s="59">
        <v>777073194.57999992</v>
      </c>
      <c r="F163" s="59">
        <v>228881356.16508859</v>
      </c>
      <c r="G163" s="6">
        <f t="shared" si="16"/>
        <v>548191838.41491127</v>
      </c>
      <c r="H163" s="6">
        <f t="shared" si="18"/>
        <v>0</v>
      </c>
    </row>
    <row r="164" spans="1:8" ht="13">
      <c r="A164" s="2">
        <f t="shared" si="17"/>
        <v>86</v>
      </c>
      <c r="C164" s="252" t="s">
        <v>393</v>
      </c>
      <c r="D164" s="330">
        <v>2025</v>
      </c>
      <c r="E164" s="59">
        <v>777073194.57999992</v>
      </c>
      <c r="F164" s="59">
        <v>230530256.12151998</v>
      </c>
      <c r="G164" s="6">
        <f t="shared" si="16"/>
        <v>546542938.45847988</v>
      </c>
      <c r="H164" s="6">
        <f t="shared" si="18"/>
        <v>0</v>
      </c>
    </row>
    <row r="165" spans="1:8" ht="13">
      <c r="A165" s="2">
        <f t="shared" si="17"/>
        <v>87</v>
      </c>
      <c r="C165" s="252" t="s">
        <v>394</v>
      </c>
      <c r="D165" s="330">
        <v>2025</v>
      </c>
      <c r="E165" s="59">
        <v>777073194.57999992</v>
      </c>
      <c r="F165" s="59">
        <v>232179156.07795143</v>
      </c>
      <c r="G165" s="6">
        <f t="shared" si="16"/>
        <v>544894038.50204849</v>
      </c>
      <c r="H165" s="6">
        <f t="shared" si="18"/>
        <v>0</v>
      </c>
    </row>
    <row r="166" spans="1:8" ht="13">
      <c r="A166" s="2">
        <f t="shared" si="17"/>
        <v>88</v>
      </c>
      <c r="C166" s="252" t="s">
        <v>395</v>
      </c>
      <c r="D166" s="330">
        <v>2025</v>
      </c>
      <c r="E166" s="59">
        <v>777073194.57999992</v>
      </c>
      <c r="F166" s="59">
        <v>233828056.03438288</v>
      </c>
      <c r="G166" s="6">
        <f t="shared" si="16"/>
        <v>543245138.5456171</v>
      </c>
      <c r="H166" s="6">
        <f t="shared" si="18"/>
        <v>0</v>
      </c>
    </row>
    <row r="167" spans="1:8" ht="13">
      <c r="A167" s="2">
        <f t="shared" si="17"/>
        <v>89</v>
      </c>
      <c r="C167" s="252" t="s">
        <v>396</v>
      </c>
      <c r="D167" s="330">
        <v>2025</v>
      </c>
      <c r="E167" s="59">
        <v>777073194.57999992</v>
      </c>
      <c r="F167" s="59">
        <v>235476955.9908143</v>
      </c>
      <c r="G167" s="6">
        <f t="shared" si="16"/>
        <v>541596238.5891856</v>
      </c>
      <c r="H167" s="6">
        <f t="shared" si="18"/>
        <v>0</v>
      </c>
    </row>
    <row r="168" spans="1:8" ht="13">
      <c r="A168" s="2">
        <f t="shared" si="17"/>
        <v>90</v>
      </c>
      <c r="C168" s="252" t="s">
        <v>397</v>
      </c>
      <c r="D168" s="330">
        <v>2025</v>
      </c>
      <c r="E168" s="59">
        <v>777073194.57999992</v>
      </c>
      <c r="F168" s="59">
        <v>237125855.94724566</v>
      </c>
      <c r="G168" s="6">
        <f t="shared" si="16"/>
        <v>539947338.63275433</v>
      </c>
      <c r="H168" s="6">
        <f t="shared" si="18"/>
        <v>0</v>
      </c>
    </row>
    <row r="169" spans="1:8" ht="13">
      <c r="A169" s="2">
        <f t="shared" si="17"/>
        <v>91</v>
      </c>
      <c r="C169" s="252" t="s">
        <v>398</v>
      </c>
      <c r="D169" s="330">
        <v>2025</v>
      </c>
      <c r="E169" s="59">
        <v>777073194.57999992</v>
      </c>
      <c r="F169" s="59">
        <v>238774755.90367711</v>
      </c>
      <c r="G169" s="6">
        <f t="shared" si="16"/>
        <v>538298438.67632282</v>
      </c>
      <c r="H169" s="6">
        <f t="shared" si="18"/>
        <v>0</v>
      </c>
    </row>
    <row r="170" spans="1:8" ht="13">
      <c r="A170" s="2">
        <f t="shared" si="17"/>
        <v>92</v>
      </c>
      <c r="C170" s="252" t="s">
        <v>1065</v>
      </c>
      <c r="D170" s="330">
        <v>2025</v>
      </c>
      <c r="E170" s="59">
        <v>777073194.57999992</v>
      </c>
      <c r="F170" s="59">
        <v>240423655.86010855</v>
      </c>
      <c r="G170" s="6">
        <f t="shared" si="16"/>
        <v>536649538.71989137</v>
      </c>
      <c r="H170" s="6">
        <f t="shared" si="18"/>
        <v>0</v>
      </c>
    </row>
    <row r="171" spans="1:8" ht="13">
      <c r="A171" s="2">
        <f t="shared" si="17"/>
        <v>93</v>
      </c>
      <c r="C171" s="252" t="s">
        <v>400</v>
      </c>
      <c r="D171" s="330">
        <v>2025</v>
      </c>
      <c r="E171" s="59">
        <v>777073194.57999992</v>
      </c>
      <c r="F171" s="59">
        <v>242072555.81653994</v>
      </c>
      <c r="G171" s="6">
        <f t="shared" si="16"/>
        <v>535000638.76345998</v>
      </c>
      <c r="H171" s="6">
        <f t="shared" si="18"/>
        <v>0</v>
      </c>
    </row>
    <row r="172" spans="1:8" ht="13">
      <c r="A172" s="2">
        <f t="shared" si="17"/>
        <v>94</v>
      </c>
      <c r="C172" s="252" t="s">
        <v>388</v>
      </c>
      <c r="D172" s="330">
        <v>2025</v>
      </c>
      <c r="E172" s="59">
        <v>777073194.57999992</v>
      </c>
      <c r="F172" s="59">
        <v>243721455.77297136</v>
      </c>
      <c r="G172" s="6">
        <f t="shared" si="16"/>
        <v>533351738.80702853</v>
      </c>
      <c r="H172" s="6">
        <f t="shared" si="18"/>
        <v>0</v>
      </c>
    </row>
    <row r="174" spans="1:8" ht="13">
      <c r="C174" s="15" t="s">
        <v>1316</v>
      </c>
      <c r="E174" s="48" t="s">
        <v>345</v>
      </c>
      <c r="F174" s="48" t="s">
        <v>346</v>
      </c>
      <c r="G174" s="48" t="s">
        <v>347</v>
      </c>
      <c r="H174" s="48" t="s">
        <v>348</v>
      </c>
    </row>
    <row r="175" spans="1:8">
      <c r="G175" s="239" t="s">
        <v>1298</v>
      </c>
      <c r="H175" s="239" t="s">
        <v>1309</v>
      </c>
    </row>
    <row r="176" spans="1:8" ht="13">
      <c r="C176" s="2" t="s">
        <v>1289</v>
      </c>
      <c r="H176" s="234" t="s">
        <v>1310</v>
      </c>
    </row>
    <row r="177" spans="1:8" ht="13">
      <c r="C177" s="2" t="s">
        <v>381</v>
      </c>
      <c r="E177" s="2" t="s">
        <v>692</v>
      </c>
      <c r="F177" s="2" t="s">
        <v>1311</v>
      </c>
      <c r="G177" s="2" t="s">
        <v>1312</v>
      </c>
      <c r="H177" s="2" t="s">
        <v>741</v>
      </c>
    </row>
    <row r="178" spans="1:8" ht="13">
      <c r="C178" s="18" t="s">
        <v>380</v>
      </c>
      <c r="D178" s="18" t="s">
        <v>381</v>
      </c>
      <c r="E178" s="3" t="s">
        <v>1313</v>
      </c>
      <c r="F178" s="3" t="s">
        <v>40</v>
      </c>
      <c r="G178" s="3" t="s">
        <v>1279</v>
      </c>
      <c r="H178" s="3" t="s">
        <v>1303</v>
      </c>
    </row>
    <row r="179" spans="1:8" ht="13">
      <c r="A179" s="2">
        <f>A172+1</f>
        <v>95</v>
      </c>
      <c r="C179" s="252" t="s">
        <v>388</v>
      </c>
      <c r="D179" s="479">
        <v>2024</v>
      </c>
      <c r="E179" s="59">
        <v>0</v>
      </c>
      <c r="F179" s="59">
        <v>0</v>
      </c>
      <c r="G179" s="6">
        <f t="shared" ref="G179:G191" si="19">E179-F179</f>
        <v>0</v>
      </c>
      <c r="H179" s="6">
        <f>E179-E179</f>
        <v>0</v>
      </c>
    </row>
    <row r="180" spans="1:8" ht="13">
      <c r="A180" s="2">
        <f>A179+1</f>
        <v>96</v>
      </c>
      <c r="C180" s="252" t="s">
        <v>390</v>
      </c>
      <c r="D180" s="330">
        <v>2025</v>
      </c>
      <c r="E180" s="59">
        <v>0</v>
      </c>
      <c r="F180" s="59">
        <v>0</v>
      </c>
      <c r="G180" s="6">
        <f t="shared" si="19"/>
        <v>0</v>
      </c>
      <c r="H180" s="6">
        <f>E180-E179</f>
        <v>0</v>
      </c>
    </row>
    <row r="181" spans="1:8" ht="13">
      <c r="A181" s="2">
        <f t="shared" ref="A181:A191" si="20">A180+1</f>
        <v>97</v>
      </c>
      <c r="C181" s="252" t="s">
        <v>391</v>
      </c>
      <c r="D181" s="330">
        <v>2025</v>
      </c>
      <c r="E181" s="59">
        <v>0</v>
      </c>
      <c r="F181" s="59">
        <v>0</v>
      </c>
      <c r="G181" s="6">
        <f t="shared" si="19"/>
        <v>0</v>
      </c>
      <c r="H181" s="6">
        <f t="shared" ref="H181:H191" si="21">E181-E180</f>
        <v>0</v>
      </c>
    </row>
    <row r="182" spans="1:8" ht="13">
      <c r="A182" s="2">
        <f t="shared" si="20"/>
        <v>98</v>
      </c>
      <c r="C182" s="252" t="s">
        <v>392</v>
      </c>
      <c r="D182" s="330">
        <v>2025</v>
      </c>
      <c r="E182" s="59">
        <v>0</v>
      </c>
      <c r="F182" s="59">
        <v>0</v>
      </c>
      <c r="G182" s="6">
        <f t="shared" si="19"/>
        <v>0</v>
      </c>
      <c r="H182" s="6">
        <f t="shared" si="21"/>
        <v>0</v>
      </c>
    </row>
    <row r="183" spans="1:8" ht="13">
      <c r="A183" s="2">
        <f t="shared" si="20"/>
        <v>99</v>
      </c>
      <c r="C183" s="252" t="s">
        <v>393</v>
      </c>
      <c r="D183" s="330">
        <v>2025</v>
      </c>
      <c r="E183" s="59">
        <v>0</v>
      </c>
      <c r="F183" s="59">
        <v>0</v>
      </c>
      <c r="G183" s="6">
        <f t="shared" si="19"/>
        <v>0</v>
      </c>
      <c r="H183" s="6">
        <f t="shared" si="21"/>
        <v>0</v>
      </c>
    </row>
    <row r="184" spans="1:8" ht="13">
      <c r="A184" s="2">
        <f t="shared" si="20"/>
        <v>100</v>
      </c>
      <c r="C184" s="252" t="s">
        <v>394</v>
      </c>
      <c r="D184" s="330">
        <v>2025</v>
      </c>
      <c r="E184" s="59">
        <v>0</v>
      </c>
      <c r="F184" s="59">
        <v>0</v>
      </c>
      <c r="G184" s="6">
        <f t="shared" si="19"/>
        <v>0</v>
      </c>
      <c r="H184" s="6">
        <f t="shared" si="21"/>
        <v>0</v>
      </c>
    </row>
    <row r="185" spans="1:8" ht="13">
      <c r="A185" s="2">
        <f t="shared" si="20"/>
        <v>101</v>
      </c>
      <c r="C185" s="252" t="s">
        <v>395</v>
      </c>
      <c r="D185" s="330">
        <v>2025</v>
      </c>
      <c r="E185" s="59">
        <v>0</v>
      </c>
      <c r="F185" s="59">
        <v>0</v>
      </c>
      <c r="G185" s="6">
        <f t="shared" si="19"/>
        <v>0</v>
      </c>
      <c r="H185" s="6">
        <f t="shared" si="21"/>
        <v>0</v>
      </c>
    </row>
    <row r="186" spans="1:8" ht="13">
      <c r="A186" s="2">
        <f t="shared" si="20"/>
        <v>102</v>
      </c>
      <c r="C186" s="252" t="s">
        <v>396</v>
      </c>
      <c r="D186" s="330">
        <v>2025</v>
      </c>
      <c r="E186" s="59">
        <v>0</v>
      </c>
      <c r="F186" s="59">
        <v>0</v>
      </c>
      <c r="G186" s="6">
        <f t="shared" si="19"/>
        <v>0</v>
      </c>
      <c r="H186" s="6">
        <f t="shared" si="21"/>
        <v>0</v>
      </c>
    </row>
    <row r="187" spans="1:8" ht="13">
      <c r="A187" s="2">
        <f t="shared" si="20"/>
        <v>103</v>
      </c>
      <c r="C187" s="252" t="s">
        <v>397</v>
      </c>
      <c r="D187" s="330">
        <v>2025</v>
      </c>
      <c r="E187" s="59">
        <v>0</v>
      </c>
      <c r="F187" s="59">
        <v>0</v>
      </c>
      <c r="G187" s="6">
        <f t="shared" si="19"/>
        <v>0</v>
      </c>
      <c r="H187" s="6">
        <f t="shared" si="21"/>
        <v>0</v>
      </c>
    </row>
    <row r="188" spans="1:8" ht="13">
      <c r="A188" s="2">
        <f t="shared" si="20"/>
        <v>104</v>
      </c>
      <c r="C188" s="252" t="s">
        <v>398</v>
      </c>
      <c r="D188" s="330">
        <v>2025</v>
      </c>
      <c r="E188" s="59">
        <v>0</v>
      </c>
      <c r="F188" s="59">
        <v>0</v>
      </c>
      <c r="G188" s="6">
        <f t="shared" si="19"/>
        <v>0</v>
      </c>
      <c r="H188" s="6">
        <f t="shared" si="21"/>
        <v>0</v>
      </c>
    </row>
    <row r="189" spans="1:8" ht="13">
      <c r="A189" s="2">
        <f t="shared" si="20"/>
        <v>105</v>
      </c>
      <c r="C189" s="252" t="s">
        <v>1065</v>
      </c>
      <c r="D189" s="330">
        <v>2025</v>
      </c>
      <c r="E189" s="59">
        <v>0</v>
      </c>
      <c r="F189" s="59">
        <v>0</v>
      </c>
      <c r="G189" s="6">
        <f t="shared" si="19"/>
        <v>0</v>
      </c>
      <c r="H189" s="6">
        <f t="shared" si="21"/>
        <v>0</v>
      </c>
    </row>
    <row r="190" spans="1:8" ht="13">
      <c r="A190" s="2">
        <f t="shared" si="20"/>
        <v>106</v>
      </c>
      <c r="C190" s="252" t="s">
        <v>400</v>
      </c>
      <c r="D190" s="330">
        <v>2025</v>
      </c>
      <c r="E190" s="59">
        <v>0</v>
      </c>
      <c r="F190" s="59">
        <v>0</v>
      </c>
      <c r="G190" s="6">
        <f t="shared" si="19"/>
        <v>0</v>
      </c>
      <c r="H190" s="6">
        <f t="shared" si="21"/>
        <v>0</v>
      </c>
    </row>
    <row r="191" spans="1:8" ht="13">
      <c r="A191" s="2">
        <f t="shared" si="20"/>
        <v>107</v>
      </c>
      <c r="C191" s="252" t="s">
        <v>388</v>
      </c>
      <c r="D191" s="330">
        <v>2025</v>
      </c>
      <c r="E191" s="59">
        <v>0</v>
      </c>
      <c r="F191" s="59">
        <v>0</v>
      </c>
      <c r="G191" s="6">
        <f t="shared" si="19"/>
        <v>0</v>
      </c>
      <c r="H191" s="6">
        <f t="shared" si="21"/>
        <v>0</v>
      </c>
    </row>
    <row r="193" spans="1:8" ht="13">
      <c r="C193" s="15" t="s">
        <v>1317</v>
      </c>
      <c r="E193" s="48" t="s">
        <v>345</v>
      </c>
      <c r="F193" s="48" t="s">
        <v>346</v>
      </c>
      <c r="G193" s="48" t="s">
        <v>347</v>
      </c>
      <c r="H193" s="48" t="s">
        <v>348</v>
      </c>
    </row>
    <row r="194" spans="1:8">
      <c r="G194" s="239" t="s">
        <v>1298</v>
      </c>
      <c r="H194" s="239" t="s">
        <v>1309</v>
      </c>
    </row>
    <row r="195" spans="1:8" ht="13">
      <c r="C195" s="2" t="s">
        <v>1289</v>
      </c>
      <c r="H195" s="234" t="s">
        <v>1310</v>
      </c>
    </row>
    <row r="196" spans="1:8" ht="13">
      <c r="C196" s="2" t="s">
        <v>381</v>
      </c>
      <c r="E196" s="2" t="s">
        <v>692</v>
      </c>
      <c r="F196" s="2" t="s">
        <v>1311</v>
      </c>
      <c r="G196" s="2" t="s">
        <v>1312</v>
      </c>
      <c r="H196" s="2" t="s">
        <v>741</v>
      </c>
    </row>
    <row r="197" spans="1:8" ht="13">
      <c r="C197" s="18" t="s">
        <v>380</v>
      </c>
      <c r="D197" s="18" t="s">
        <v>381</v>
      </c>
      <c r="E197" s="3" t="s">
        <v>1313</v>
      </c>
      <c r="F197" s="3" t="s">
        <v>40</v>
      </c>
      <c r="G197" s="3" t="s">
        <v>1279</v>
      </c>
      <c r="H197" s="3" t="s">
        <v>1303</v>
      </c>
    </row>
    <row r="198" spans="1:8" ht="13">
      <c r="A198" s="2">
        <f>A191+1</f>
        <v>108</v>
      </c>
      <c r="C198" s="252" t="s">
        <v>388</v>
      </c>
      <c r="D198" s="479">
        <v>2024</v>
      </c>
      <c r="E198" s="59">
        <v>309999464.05000007</v>
      </c>
      <c r="F198" s="59">
        <v>30832118.575502258</v>
      </c>
      <c r="G198" s="6">
        <f t="shared" ref="G198:G210" si="22">E198-F198</f>
        <v>279167345.4744978</v>
      </c>
      <c r="H198" s="6">
        <f>E198-E198</f>
        <v>0</v>
      </c>
    </row>
    <row r="199" spans="1:8" ht="13">
      <c r="A199" s="2">
        <f>A198+1</f>
        <v>109</v>
      </c>
      <c r="C199" s="252" t="s">
        <v>390</v>
      </c>
      <c r="D199" s="330">
        <v>2025</v>
      </c>
      <c r="E199" s="59">
        <v>310014088.69</v>
      </c>
      <c r="F199" s="59">
        <v>31512331.417147506</v>
      </c>
      <c r="G199" s="6">
        <f t="shared" si="22"/>
        <v>278501757.27285248</v>
      </c>
      <c r="H199" s="6">
        <f>E199-E198</f>
        <v>14624.63999992609</v>
      </c>
    </row>
    <row r="200" spans="1:8" ht="13">
      <c r="A200" s="2">
        <f t="shared" ref="A200:A210" si="23">A199+1</f>
        <v>110</v>
      </c>
      <c r="C200" s="252" t="s">
        <v>391</v>
      </c>
      <c r="D200" s="330">
        <v>2025</v>
      </c>
      <c r="E200" s="59">
        <v>310031125.47000009</v>
      </c>
      <c r="F200" s="59">
        <v>32192576.982424259</v>
      </c>
      <c r="G200" s="6">
        <f t="shared" si="22"/>
        <v>277838548.48757583</v>
      </c>
      <c r="H200" s="6">
        <f t="shared" ref="H200:H210" si="24">E200-E199</f>
        <v>17036.780000090599</v>
      </c>
    </row>
    <row r="201" spans="1:8" ht="13">
      <c r="A201" s="2">
        <f t="shared" si="23"/>
        <v>111</v>
      </c>
      <c r="C201" s="252" t="s">
        <v>392</v>
      </c>
      <c r="D201" s="330">
        <v>2025</v>
      </c>
      <c r="E201" s="59">
        <v>310050846.99000007</v>
      </c>
      <c r="F201" s="59">
        <v>32872860.66866567</v>
      </c>
      <c r="G201" s="6">
        <f t="shared" si="22"/>
        <v>277177986.32133442</v>
      </c>
      <c r="H201" s="6">
        <f t="shared" si="24"/>
        <v>19721.519999980927</v>
      </c>
    </row>
    <row r="202" spans="1:8" ht="13">
      <c r="A202" s="2">
        <f t="shared" si="23"/>
        <v>112</v>
      </c>
      <c r="C202" s="252" t="s">
        <v>393</v>
      </c>
      <c r="D202" s="330">
        <v>2025</v>
      </c>
      <c r="E202" s="59">
        <v>309276350.16000003</v>
      </c>
      <c r="F202" s="59">
        <v>33553188.483168174</v>
      </c>
      <c r="G202" s="6">
        <f t="shared" si="22"/>
        <v>275723161.67683184</v>
      </c>
      <c r="H202" s="6">
        <f t="shared" si="24"/>
        <v>-774496.83000004292</v>
      </c>
    </row>
    <row r="203" spans="1:8" ht="13">
      <c r="A203" s="2">
        <f t="shared" si="23"/>
        <v>113</v>
      </c>
      <c r="C203" s="252" t="s">
        <v>394</v>
      </c>
      <c r="D203" s="330">
        <v>2025</v>
      </c>
      <c r="E203" s="59">
        <v>309286256.60000002</v>
      </c>
      <c r="F203" s="59">
        <v>34231783.307802841</v>
      </c>
      <c r="G203" s="6">
        <f t="shared" si="22"/>
        <v>275054473.29219717</v>
      </c>
      <c r="H203" s="6">
        <f t="shared" si="24"/>
        <v>9906.4399999976158</v>
      </c>
    </row>
    <row r="204" spans="1:8" ht="13">
      <c r="A204" s="2">
        <f t="shared" si="23"/>
        <v>114</v>
      </c>
      <c r="C204" s="252" t="s">
        <v>395</v>
      </c>
      <c r="D204" s="330">
        <v>2025</v>
      </c>
      <c r="E204" s="59">
        <v>309290091.50000006</v>
      </c>
      <c r="F204" s="59">
        <v>34910400.287677348</v>
      </c>
      <c r="G204" s="6">
        <f t="shared" si="22"/>
        <v>274379691.21232271</v>
      </c>
      <c r="H204" s="6">
        <f t="shared" si="24"/>
        <v>3834.9000000357628</v>
      </c>
    </row>
    <row r="205" spans="1:8" ht="13">
      <c r="A205" s="2">
        <f t="shared" si="23"/>
        <v>115</v>
      </c>
      <c r="C205" s="252" t="s">
        <v>396</v>
      </c>
      <c r="D205" s="330">
        <v>2025</v>
      </c>
      <c r="E205" s="59">
        <v>309403356.84000003</v>
      </c>
      <c r="F205" s="59">
        <v>35589025.848402426</v>
      </c>
      <c r="G205" s="6">
        <f t="shared" si="22"/>
        <v>273814330.99159759</v>
      </c>
      <c r="H205" s="6">
        <f t="shared" si="24"/>
        <v>113265.33999997377</v>
      </c>
    </row>
    <row r="206" spans="1:8" ht="13">
      <c r="A206" s="2">
        <f t="shared" si="23"/>
        <v>116</v>
      </c>
      <c r="C206" s="252" t="s">
        <v>397</v>
      </c>
      <c r="D206" s="330">
        <v>2025</v>
      </c>
      <c r="E206" s="59">
        <v>309425441.03000009</v>
      </c>
      <c r="F206" s="59">
        <v>36267904.848112002</v>
      </c>
      <c r="G206" s="6">
        <f t="shared" si="22"/>
        <v>273157536.1818881</v>
      </c>
      <c r="H206" s="6">
        <f t="shared" si="24"/>
        <v>22084.19000005722</v>
      </c>
    </row>
    <row r="207" spans="1:8" ht="13">
      <c r="A207" s="2">
        <f t="shared" si="23"/>
        <v>117</v>
      </c>
      <c r="C207" s="252" t="s">
        <v>398</v>
      </c>
      <c r="D207" s="330">
        <v>2025</v>
      </c>
      <c r="E207" s="59">
        <v>309561266.6400001</v>
      </c>
      <c r="F207" s="59">
        <v>36946833.262725182</v>
      </c>
      <c r="G207" s="6">
        <f t="shared" si="22"/>
        <v>272614433.37727493</v>
      </c>
      <c r="H207" s="6">
        <f t="shared" si="24"/>
        <v>135825.61000001431</v>
      </c>
    </row>
    <row r="208" spans="1:8" ht="13">
      <c r="A208" s="2">
        <f t="shared" si="23"/>
        <v>118</v>
      </c>
      <c r="C208" s="252" t="s">
        <v>1065</v>
      </c>
      <c r="D208" s="330">
        <v>2025</v>
      </c>
      <c r="E208" s="59">
        <v>309674519.28000003</v>
      </c>
      <c r="F208" s="59">
        <v>37626065.596457094</v>
      </c>
      <c r="G208" s="6">
        <f t="shared" si="22"/>
        <v>272048453.68354297</v>
      </c>
      <c r="H208" s="6">
        <f t="shared" si="24"/>
        <v>113252.63999992609</v>
      </c>
    </row>
    <row r="209" spans="1:8" ht="13">
      <c r="A209" s="2">
        <f t="shared" si="23"/>
        <v>119</v>
      </c>
      <c r="C209" s="252" t="s">
        <v>400</v>
      </c>
      <c r="D209" s="330">
        <v>2025</v>
      </c>
      <c r="E209" s="59">
        <v>309777591.94</v>
      </c>
      <c r="F209" s="59">
        <v>38305551.340748593</v>
      </c>
      <c r="G209" s="6">
        <f t="shared" si="22"/>
        <v>271472040.59925139</v>
      </c>
      <c r="H209" s="6">
        <f t="shared" si="24"/>
        <v>103072.65999996662</v>
      </c>
    </row>
    <row r="210" spans="1:8" ht="13">
      <c r="A210" s="2">
        <f t="shared" si="23"/>
        <v>120</v>
      </c>
      <c r="C210" s="252" t="s">
        <v>388</v>
      </c>
      <c r="D210" s="330">
        <v>2025</v>
      </c>
      <c r="E210" s="59">
        <v>309331097.07000005</v>
      </c>
      <c r="F210" s="59">
        <v>38985267.717191264</v>
      </c>
      <c r="G210" s="6">
        <f t="shared" si="22"/>
        <v>270345829.35280877</v>
      </c>
      <c r="H210" s="6">
        <f t="shared" si="24"/>
        <v>-446494.86999994516</v>
      </c>
    </row>
    <row r="212" spans="1:8" ht="13">
      <c r="C212" s="15" t="s">
        <v>1318</v>
      </c>
      <c r="E212" s="48" t="s">
        <v>345</v>
      </c>
      <c r="F212" s="48" t="s">
        <v>346</v>
      </c>
      <c r="G212" s="48" t="s">
        <v>347</v>
      </c>
      <c r="H212" s="48" t="s">
        <v>348</v>
      </c>
    </row>
    <row r="213" spans="1:8">
      <c r="G213" s="239" t="s">
        <v>1298</v>
      </c>
      <c r="H213" s="239" t="s">
        <v>1309</v>
      </c>
    </row>
    <row r="214" spans="1:8" ht="13">
      <c r="C214" s="2" t="s">
        <v>1289</v>
      </c>
      <c r="H214" s="234" t="s">
        <v>1310</v>
      </c>
    </row>
    <row r="215" spans="1:8" ht="13">
      <c r="C215" s="2" t="s">
        <v>381</v>
      </c>
      <c r="E215" s="2" t="s">
        <v>692</v>
      </c>
      <c r="F215" s="2" t="s">
        <v>1311</v>
      </c>
      <c r="G215" s="2" t="s">
        <v>1312</v>
      </c>
      <c r="H215" s="2" t="s">
        <v>741</v>
      </c>
    </row>
    <row r="216" spans="1:8" ht="13">
      <c r="C216" s="18" t="s">
        <v>380</v>
      </c>
      <c r="D216" s="18" t="s">
        <v>381</v>
      </c>
      <c r="E216" s="3" t="s">
        <v>1313</v>
      </c>
      <c r="F216" s="3" t="s">
        <v>40</v>
      </c>
      <c r="G216" s="3" t="s">
        <v>1279</v>
      </c>
      <c r="H216" s="3" t="s">
        <v>1303</v>
      </c>
    </row>
    <row r="217" spans="1:8" ht="13">
      <c r="A217" s="2">
        <f>A210+1</f>
        <v>121</v>
      </c>
      <c r="C217" s="252" t="s">
        <v>388</v>
      </c>
      <c r="D217" s="479">
        <v>2024</v>
      </c>
      <c r="E217" s="59">
        <v>235653780.98999995</v>
      </c>
      <c r="F217" s="59">
        <v>67273912.065177187</v>
      </c>
      <c r="G217" s="6">
        <f t="shared" ref="G217:G229" si="25">E217-F217</f>
        <v>168379868.92482275</v>
      </c>
      <c r="H217" s="6">
        <f>E217-E217</f>
        <v>0</v>
      </c>
    </row>
    <row r="218" spans="1:8" ht="13">
      <c r="A218" s="2">
        <f>A217+1</f>
        <v>122</v>
      </c>
      <c r="C218" s="252" t="s">
        <v>390</v>
      </c>
      <c r="D218" s="330">
        <v>2025</v>
      </c>
      <c r="E218" s="59">
        <v>235653780.98999995</v>
      </c>
      <c r="F218" s="59">
        <v>67770662.765779525</v>
      </c>
      <c r="G218" s="6">
        <f t="shared" si="25"/>
        <v>167883118.22422042</v>
      </c>
      <c r="H218" s="6">
        <f>E218-E217</f>
        <v>0</v>
      </c>
    </row>
    <row r="219" spans="1:8" ht="13">
      <c r="A219" s="2">
        <f t="shared" ref="A219:A229" si="26">A218+1</f>
        <v>123</v>
      </c>
      <c r="C219" s="252" t="s">
        <v>391</v>
      </c>
      <c r="D219" s="330">
        <v>2025</v>
      </c>
      <c r="E219" s="59">
        <v>235653780.98999995</v>
      </c>
      <c r="F219" s="59">
        <v>68267413.466381848</v>
      </c>
      <c r="G219" s="6">
        <f t="shared" si="25"/>
        <v>167386367.5236181</v>
      </c>
      <c r="H219" s="6">
        <f t="shared" ref="H219:H229" si="27">E219-E218</f>
        <v>0</v>
      </c>
    </row>
    <row r="220" spans="1:8" ht="13">
      <c r="A220" s="2">
        <f t="shared" si="26"/>
        <v>124</v>
      </c>
      <c r="C220" s="252" t="s">
        <v>392</v>
      </c>
      <c r="D220" s="330">
        <v>2025</v>
      </c>
      <c r="E220" s="59">
        <v>235653780.98999995</v>
      </c>
      <c r="F220" s="59">
        <v>68764164.166984171</v>
      </c>
      <c r="G220" s="6">
        <f t="shared" si="25"/>
        <v>166889616.82301578</v>
      </c>
      <c r="H220" s="6">
        <f t="shared" si="27"/>
        <v>0</v>
      </c>
    </row>
    <row r="221" spans="1:8" ht="13">
      <c r="A221" s="2">
        <f t="shared" si="26"/>
        <v>125</v>
      </c>
      <c r="C221" s="252" t="s">
        <v>393</v>
      </c>
      <c r="D221" s="330">
        <v>2025</v>
      </c>
      <c r="E221" s="59">
        <v>235653780.98999995</v>
      </c>
      <c r="F221" s="59">
        <v>69260914.867586523</v>
      </c>
      <c r="G221" s="6">
        <f t="shared" si="25"/>
        <v>166392866.12241343</v>
      </c>
      <c r="H221" s="6">
        <f t="shared" si="27"/>
        <v>0</v>
      </c>
    </row>
    <row r="222" spans="1:8" ht="13">
      <c r="A222" s="2">
        <f t="shared" si="26"/>
        <v>126</v>
      </c>
      <c r="C222" s="252" t="s">
        <v>394</v>
      </c>
      <c r="D222" s="330">
        <v>2025</v>
      </c>
      <c r="E222" s="59">
        <v>235653780.98999995</v>
      </c>
      <c r="F222" s="59">
        <v>69757665.568188861</v>
      </c>
      <c r="G222" s="6">
        <f t="shared" si="25"/>
        <v>165896115.4218111</v>
      </c>
      <c r="H222" s="6">
        <f t="shared" si="27"/>
        <v>0</v>
      </c>
    </row>
    <row r="223" spans="1:8" ht="13">
      <c r="A223" s="2">
        <f t="shared" si="26"/>
        <v>127</v>
      </c>
      <c r="C223" s="252" t="s">
        <v>395</v>
      </c>
      <c r="D223" s="330">
        <v>2025</v>
      </c>
      <c r="E223" s="59">
        <v>235653780.98999995</v>
      </c>
      <c r="F223" s="59">
        <v>70254416.268791169</v>
      </c>
      <c r="G223" s="6">
        <f t="shared" si="25"/>
        <v>165399364.72120878</v>
      </c>
      <c r="H223" s="6">
        <f t="shared" si="27"/>
        <v>0</v>
      </c>
    </row>
    <row r="224" spans="1:8" ht="13">
      <c r="A224" s="2">
        <f t="shared" si="26"/>
        <v>128</v>
      </c>
      <c r="C224" s="252" t="s">
        <v>396</v>
      </c>
      <c r="D224" s="330">
        <v>2025</v>
      </c>
      <c r="E224" s="59">
        <v>235653780.98999995</v>
      </c>
      <c r="F224" s="59">
        <v>70751166.969393522</v>
      </c>
      <c r="G224" s="6">
        <f t="shared" si="25"/>
        <v>164902614.02060643</v>
      </c>
      <c r="H224" s="6">
        <f t="shared" si="27"/>
        <v>0</v>
      </c>
    </row>
    <row r="225" spans="1:8" ht="13">
      <c r="A225" s="2">
        <f t="shared" si="26"/>
        <v>129</v>
      </c>
      <c r="C225" s="252" t="s">
        <v>397</v>
      </c>
      <c r="D225" s="330">
        <v>2025</v>
      </c>
      <c r="E225" s="59">
        <v>235653780.98999995</v>
      </c>
      <c r="F225" s="59">
        <v>71247917.669995844</v>
      </c>
      <c r="G225" s="6">
        <f t="shared" si="25"/>
        <v>164405863.32000411</v>
      </c>
      <c r="H225" s="6">
        <f t="shared" si="27"/>
        <v>0</v>
      </c>
    </row>
    <row r="226" spans="1:8" ht="13">
      <c r="A226" s="2">
        <f t="shared" si="26"/>
        <v>130</v>
      </c>
      <c r="C226" s="252" t="s">
        <v>398</v>
      </c>
      <c r="D226" s="330">
        <v>2025</v>
      </c>
      <c r="E226" s="59">
        <v>235653780.98999995</v>
      </c>
      <c r="F226" s="59">
        <v>71744668.370598167</v>
      </c>
      <c r="G226" s="6">
        <f t="shared" si="25"/>
        <v>163909112.61940178</v>
      </c>
      <c r="H226" s="6">
        <f t="shared" si="27"/>
        <v>0</v>
      </c>
    </row>
    <row r="227" spans="1:8" ht="13">
      <c r="A227" s="2">
        <f t="shared" si="26"/>
        <v>131</v>
      </c>
      <c r="C227" s="252" t="s">
        <v>1065</v>
      </c>
      <c r="D227" s="330">
        <v>2025</v>
      </c>
      <c r="E227" s="59">
        <v>235653780.98999995</v>
      </c>
      <c r="F227" s="59">
        <v>72241419.071200505</v>
      </c>
      <c r="G227" s="6">
        <f t="shared" si="25"/>
        <v>163412361.91879946</v>
      </c>
      <c r="H227" s="6">
        <f t="shared" si="27"/>
        <v>0</v>
      </c>
    </row>
    <row r="228" spans="1:8" ht="13">
      <c r="A228" s="2">
        <f t="shared" si="26"/>
        <v>132</v>
      </c>
      <c r="C228" s="252" t="s">
        <v>400</v>
      </c>
      <c r="D228" s="330">
        <v>2025</v>
      </c>
      <c r="E228" s="59">
        <v>235653780.98999995</v>
      </c>
      <c r="F228" s="59">
        <v>72738169.771802843</v>
      </c>
      <c r="G228" s="6">
        <f t="shared" si="25"/>
        <v>162915611.21819711</v>
      </c>
      <c r="H228" s="6">
        <f t="shared" si="27"/>
        <v>0</v>
      </c>
    </row>
    <row r="229" spans="1:8" ht="13">
      <c r="A229" s="2">
        <f t="shared" si="26"/>
        <v>133</v>
      </c>
      <c r="C229" s="252" t="s">
        <v>388</v>
      </c>
      <c r="D229" s="330">
        <v>2025</v>
      </c>
      <c r="E229" s="59">
        <v>235653780.98999995</v>
      </c>
      <c r="F229" s="59">
        <v>73234920.47240518</v>
      </c>
      <c r="G229" s="6">
        <f t="shared" si="25"/>
        <v>162418860.51759475</v>
      </c>
      <c r="H229" s="6">
        <f t="shared" si="27"/>
        <v>0</v>
      </c>
    </row>
    <row r="231" spans="1:8" ht="13">
      <c r="C231" s="334" t="s">
        <v>1319</v>
      </c>
      <c r="H231" s="48" t="s">
        <v>348</v>
      </c>
    </row>
    <row r="232" spans="1:8" ht="13">
      <c r="E232" s="48" t="s">
        <v>345</v>
      </c>
      <c r="F232" s="48" t="s">
        <v>346</v>
      </c>
      <c r="G232" s="48" t="s">
        <v>347</v>
      </c>
      <c r="H232" s="239" t="s">
        <v>1309</v>
      </c>
    </row>
    <row r="233" spans="1:8" ht="13">
      <c r="C233" s="2" t="s">
        <v>1289</v>
      </c>
      <c r="G233" s="239" t="s">
        <v>1298</v>
      </c>
      <c r="H233" s="234" t="s">
        <v>1310</v>
      </c>
    </row>
    <row r="234" spans="1:8" ht="13">
      <c r="C234" s="2" t="s">
        <v>381</v>
      </c>
      <c r="E234" s="2" t="s">
        <v>692</v>
      </c>
      <c r="F234" s="2" t="s">
        <v>1311</v>
      </c>
      <c r="G234" s="2" t="s">
        <v>1312</v>
      </c>
      <c r="H234" s="2" t="s">
        <v>741</v>
      </c>
    </row>
    <row r="235" spans="1:8" ht="13">
      <c r="C235" s="18" t="s">
        <v>380</v>
      </c>
      <c r="D235" s="18" t="s">
        <v>381</v>
      </c>
      <c r="E235" s="3" t="s">
        <v>1313</v>
      </c>
      <c r="F235" s="3" t="s">
        <v>40</v>
      </c>
      <c r="G235" s="3" t="s">
        <v>1279</v>
      </c>
      <c r="H235" s="3" t="s">
        <v>1303</v>
      </c>
    </row>
    <row r="236" spans="1:8" ht="13">
      <c r="A236" s="2">
        <f>A229+1</f>
        <v>134</v>
      </c>
      <c r="C236" s="252" t="s">
        <v>388</v>
      </c>
      <c r="D236" s="479">
        <v>2024</v>
      </c>
      <c r="E236" s="59">
        <v>87604169.900000021</v>
      </c>
      <c r="F236" s="59">
        <v>20053895.401804522</v>
      </c>
      <c r="G236" s="6">
        <f t="shared" ref="G236:G248" si="28">E236-F236</f>
        <v>67550274.498195499</v>
      </c>
      <c r="H236" s="6">
        <f>E236-E236</f>
        <v>0</v>
      </c>
    </row>
    <row r="237" spans="1:8" ht="13">
      <c r="A237" s="2">
        <f>A236+1</f>
        <v>135</v>
      </c>
      <c r="C237" s="252" t="s">
        <v>390</v>
      </c>
      <c r="D237" s="330">
        <v>2025</v>
      </c>
      <c r="E237" s="59">
        <v>87604169.900000021</v>
      </c>
      <c r="F237" s="59">
        <v>20234367.160582855</v>
      </c>
      <c r="G237" s="6">
        <f t="shared" si="28"/>
        <v>67369802.739417166</v>
      </c>
      <c r="H237" s="6">
        <f>E237-E236</f>
        <v>0</v>
      </c>
    </row>
    <row r="238" spans="1:8" ht="13">
      <c r="A238" s="2">
        <f t="shared" ref="A238:A248" si="29">A237+1</f>
        <v>136</v>
      </c>
      <c r="C238" s="252" t="s">
        <v>391</v>
      </c>
      <c r="D238" s="330">
        <v>2025</v>
      </c>
      <c r="E238" s="59">
        <v>87604169.900000021</v>
      </c>
      <c r="F238" s="59">
        <v>20414838.919361185</v>
      </c>
      <c r="G238" s="6">
        <f t="shared" si="28"/>
        <v>67189330.980638832</v>
      </c>
      <c r="H238" s="6">
        <f t="shared" ref="H238:H248" si="30">E238-E237</f>
        <v>0</v>
      </c>
    </row>
    <row r="239" spans="1:8" ht="13">
      <c r="A239" s="2">
        <f t="shared" si="29"/>
        <v>137</v>
      </c>
      <c r="C239" s="252" t="s">
        <v>392</v>
      </c>
      <c r="D239" s="330">
        <v>2025</v>
      </c>
      <c r="E239" s="59">
        <v>87604169.900000021</v>
      </c>
      <c r="F239" s="59">
        <v>20595310.678139519</v>
      </c>
      <c r="G239" s="6">
        <f t="shared" si="28"/>
        <v>67008859.221860498</v>
      </c>
      <c r="H239" s="6">
        <f t="shared" si="30"/>
        <v>0</v>
      </c>
    </row>
    <row r="240" spans="1:8" ht="13">
      <c r="A240" s="2">
        <f t="shared" si="29"/>
        <v>138</v>
      </c>
      <c r="C240" s="252" t="s">
        <v>393</v>
      </c>
      <c r="D240" s="330">
        <v>2025</v>
      </c>
      <c r="E240" s="59">
        <v>87604169.900000021</v>
      </c>
      <c r="F240" s="59">
        <v>20775782.436917849</v>
      </c>
      <c r="G240" s="6">
        <f t="shared" si="28"/>
        <v>66828387.463082172</v>
      </c>
      <c r="H240" s="6">
        <f t="shared" si="30"/>
        <v>0</v>
      </c>
    </row>
    <row r="241" spans="1:8" ht="13">
      <c r="A241" s="2">
        <f t="shared" si="29"/>
        <v>139</v>
      </c>
      <c r="C241" s="252" t="s">
        <v>394</v>
      </c>
      <c r="D241" s="330">
        <v>2025</v>
      </c>
      <c r="E241" s="59">
        <v>87604169.900000021</v>
      </c>
      <c r="F241" s="59">
        <v>20956254.195696183</v>
      </c>
      <c r="G241" s="6">
        <f t="shared" si="28"/>
        <v>66647915.704303838</v>
      </c>
      <c r="H241" s="6">
        <f t="shared" si="30"/>
        <v>0</v>
      </c>
    </row>
    <row r="242" spans="1:8" ht="13">
      <c r="A242" s="2">
        <f t="shared" si="29"/>
        <v>140</v>
      </c>
      <c r="C242" s="252" t="s">
        <v>395</v>
      </c>
      <c r="D242" s="330">
        <v>2025</v>
      </c>
      <c r="E242" s="59">
        <v>87604169.900000021</v>
      </c>
      <c r="F242" s="59">
        <v>21136725.954474512</v>
      </c>
      <c r="G242" s="6">
        <f t="shared" si="28"/>
        <v>66467443.945525512</v>
      </c>
      <c r="H242" s="6">
        <f t="shared" si="30"/>
        <v>0</v>
      </c>
    </row>
    <row r="243" spans="1:8" ht="13">
      <c r="A243" s="2">
        <f t="shared" si="29"/>
        <v>141</v>
      </c>
      <c r="C243" s="252" t="s">
        <v>396</v>
      </c>
      <c r="D243" s="330">
        <v>2025</v>
      </c>
      <c r="E243" s="59">
        <v>87604169.900000021</v>
      </c>
      <c r="F243" s="59">
        <v>21317197.713252846</v>
      </c>
      <c r="G243" s="6">
        <f t="shared" si="28"/>
        <v>66286972.186747178</v>
      </c>
      <c r="H243" s="6">
        <f t="shared" si="30"/>
        <v>0</v>
      </c>
    </row>
    <row r="244" spans="1:8" ht="13">
      <c r="A244" s="2">
        <f t="shared" si="29"/>
        <v>142</v>
      </c>
      <c r="C244" s="252" t="s">
        <v>397</v>
      </c>
      <c r="D244" s="330">
        <v>2025</v>
      </c>
      <c r="E244" s="59">
        <v>87604169.900000021</v>
      </c>
      <c r="F244" s="59">
        <v>21497669.472031176</v>
      </c>
      <c r="G244" s="6">
        <f t="shared" si="28"/>
        <v>66106500.427968845</v>
      </c>
      <c r="H244" s="6">
        <f t="shared" si="30"/>
        <v>0</v>
      </c>
    </row>
    <row r="245" spans="1:8" ht="13">
      <c r="A245" s="2">
        <f t="shared" si="29"/>
        <v>143</v>
      </c>
      <c r="C245" s="252" t="s">
        <v>398</v>
      </c>
      <c r="D245" s="330">
        <v>2025</v>
      </c>
      <c r="E245" s="59">
        <v>87604169.900000021</v>
      </c>
      <c r="F245" s="59">
        <v>21678141.23080951</v>
      </c>
      <c r="G245" s="6">
        <f t="shared" si="28"/>
        <v>65926028.669190511</v>
      </c>
      <c r="H245" s="6">
        <f t="shared" si="30"/>
        <v>0</v>
      </c>
    </row>
    <row r="246" spans="1:8" ht="13">
      <c r="A246" s="2">
        <f t="shared" si="29"/>
        <v>144</v>
      </c>
      <c r="C246" s="252" t="s">
        <v>1065</v>
      </c>
      <c r="D246" s="330">
        <v>2025</v>
      </c>
      <c r="E246" s="59">
        <v>87604169.900000021</v>
      </c>
      <c r="F246" s="59">
        <v>21858612.98958784</v>
      </c>
      <c r="G246" s="6">
        <f t="shared" si="28"/>
        <v>65745556.910412177</v>
      </c>
      <c r="H246" s="6">
        <f t="shared" si="30"/>
        <v>0</v>
      </c>
    </row>
    <row r="247" spans="1:8" ht="13">
      <c r="A247" s="2">
        <f t="shared" si="29"/>
        <v>145</v>
      </c>
      <c r="C247" s="252" t="s">
        <v>400</v>
      </c>
      <c r="D247" s="330">
        <v>2025</v>
      </c>
      <c r="E247" s="59">
        <v>87604169.900000021</v>
      </c>
      <c r="F247" s="59">
        <v>22039084.748366173</v>
      </c>
      <c r="G247" s="6">
        <f t="shared" si="28"/>
        <v>65565085.151633844</v>
      </c>
      <c r="H247" s="6">
        <f t="shared" si="30"/>
        <v>0</v>
      </c>
    </row>
    <row r="248" spans="1:8" ht="13">
      <c r="A248" s="2">
        <f t="shared" si="29"/>
        <v>146</v>
      </c>
      <c r="C248" s="252" t="s">
        <v>388</v>
      </c>
      <c r="D248" s="330">
        <v>2025</v>
      </c>
      <c r="E248" s="59">
        <v>87604169.900000021</v>
      </c>
      <c r="F248" s="59">
        <v>22219556.507144503</v>
      </c>
      <c r="G248" s="6">
        <f t="shared" si="28"/>
        <v>65384613.392855518</v>
      </c>
      <c r="H248" s="6">
        <f t="shared" si="30"/>
        <v>0</v>
      </c>
    </row>
    <row r="250" spans="1:8" ht="13">
      <c r="C250" s="15" t="s">
        <v>1320</v>
      </c>
      <c r="H250" s="48" t="s">
        <v>348</v>
      </c>
    </row>
    <row r="251" spans="1:8" ht="13">
      <c r="E251" s="48" t="s">
        <v>345</v>
      </c>
      <c r="F251" s="48" t="s">
        <v>346</v>
      </c>
      <c r="G251" s="48" t="s">
        <v>347</v>
      </c>
      <c r="H251" s="239" t="s">
        <v>1309</v>
      </c>
    </row>
    <row r="252" spans="1:8" ht="13">
      <c r="C252" s="2" t="s">
        <v>1289</v>
      </c>
      <c r="G252" s="239" t="s">
        <v>1298</v>
      </c>
      <c r="H252" s="234" t="s">
        <v>1310</v>
      </c>
    </row>
    <row r="253" spans="1:8" ht="13">
      <c r="C253" s="2" t="s">
        <v>381</v>
      </c>
      <c r="E253" s="2" t="s">
        <v>692</v>
      </c>
      <c r="F253" s="2" t="s">
        <v>1311</v>
      </c>
      <c r="G253" s="2" t="s">
        <v>1312</v>
      </c>
      <c r="H253" s="2" t="s">
        <v>741</v>
      </c>
    </row>
    <row r="254" spans="1:8" ht="13">
      <c r="C254" s="18" t="s">
        <v>380</v>
      </c>
      <c r="D254" s="18" t="s">
        <v>381</v>
      </c>
      <c r="E254" s="3" t="s">
        <v>1313</v>
      </c>
      <c r="F254" s="3" t="s">
        <v>40</v>
      </c>
      <c r="G254" s="3" t="s">
        <v>1279</v>
      </c>
      <c r="H254" s="3" t="s">
        <v>1303</v>
      </c>
    </row>
    <row r="255" spans="1:8" ht="13">
      <c r="A255" s="2">
        <f>A248+1</f>
        <v>147</v>
      </c>
      <c r="C255" s="252" t="s">
        <v>388</v>
      </c>
      <c r="D255" s="479">
        <v>2024</v>
      </c>
      <c r="E255" s="59">
        <v>96643055.700000063</v>
      </c>
      <c r="F255" s="59">
        <v>22107524.846546255</v>
      </c>
      <c r="G255" s="6">
        <f t="shared" ref="G255:G267" si="31">E255-F255</f>
        <v>74535530.853453815</v>
      </c>
      <c r="H255" s="6">
        <f>E255-E255</f>
        <v>0</v>
      </c>
    </row>
    <row r="256" spans="1:8" ht="13">
      <c r="A256" s="2">
        <f>A255+1</f>
        <v>148</v>
      </c>
      <c r="C256" s="252" t="s">
        <v>390</v>
      </c>
      <c r="D256" s="330">
        <v>2025</v>
      </c>
      <c r="E256" s="59">
        <v>96643055.700000063</v>
      </c>
      <c r="F256" s="59">
        <v>22307439.109566256</v>
      </c>
      <c r="G256" s="6">
        <f t="shared" si="31"/>
        <v>74335616.590433806</v>
      </c>
      <c r="H256" s="6">
        <f>E256-E255</f>
        <v>0</v>
      </c>
    </row>
    <row r="257" spans="1:8" ht="13">
      <c r="A257" s="2">
        <f t="shared" ref="A257:A267" si="32">A256+1</f>
        <v>149</v>
      </c>
      <c r="C257" s="252" t="s">
        <v>391</v>
      </c>
      <c r="D257" s="330">
        <v>2025</v>
      </c>
      <c r="E257" s="59">
        <v>96643055.700000063</v>
      </c>
      <c r="F257" s="59">
        <v>22507353.372586258</v>
      </c>
      <c r="G257" s="6">
        <f t="shared" si="31"/>
        <v>74135702.327413797</v>
      </c>
      <c r="H257" s="6">
        <f t="shared" ref="H257:H267" si="33">E257-E256</f>
        <v>0</v>
      </c>
    </row>
    <row r="258" spans="1:8" ht="13">
      <c r="A258" s="2">
        <f t="shared" si="32"/>
        <v>150</v>
      </c>
      <c r="C258" s="252" t="s">
        <v>392</v>
      </c>
      <c r="D258" s="330">
        <v>2025</v>
      </c>
      <c r="E258" s="59">
        <v>96643398.210000068</v>
      </c>
      <c r="F258" s="59">
        <v>22707267.635606259</v>
      </c>
      <c r="G258" s="6">
        <f t="shared" si="31"/>
        <v>73936130.574393809</v>
      </c>
      <c r="H258" s="6">
        <f t="shared" si="33"/>
        <v>342.51000000536442</v>
      </c>
    </row>
    <row r="259" spans="1:8" ht="13">
      <c r="A259" s="2">
        <f t="shared" si="32"/>
        <v>151</v>
      </c>
      <c r="C259" s="252" t="s">
        <v>393</v>
      </c>
      <c r="D259" s="330">
        <v>2025</v>
      </c>
      <c r="E259" s="59">
        <v>96643575.960000068</v>
      </c>
      <c r="F259" s="59">
        <v>22907182.603626013</v>
      </c>
      <c r="G259" s="6">
        <f t="shared" si="31"/>
        <v>73736393.356374055</v>
      </c>
      <c r="H259" s="6">
        <f t="shared" si="33"/>
        <v>177.75</v>
      </c>
    </row>
    <row r="260" spans="1:8" ht="13">
      <c r="A260" s="2">
        <f t="shared" si="32"/>
        <v>152</v>
      </c>
      <c r="C260" s="252" t="s">
        <v>394</v>
      </c>
      <c r="D260" s="330">
        <v>2025</v>
      </c>
      <c r="E260" s="59">
        <v>96643516.890000075</v>
      </c>
      <c r="F260" s="59">
        <v>23107097.937514506</v>
      </c>
      <c r="G260" s="6">
        <f t="shared" si="31"/>
        <v>73536418.952485561</v>
      </c>
      <c r="H260" s="6">
        <f t="shared" si="33"/>
        <v>-59.069999992847443</v>
      </c>
    </row>
    <row r="261" spans="1:8" ht="13">
      <c r="A261" s="2">
        <f t="shared" si="32"/>
        <v>153</v>
      </c>
      <c r="C261" s="252" t="s">
        <v>395</v>
      </c>
      <c r="D261" s="330">
        <v>2025</v>
      </c>
      <c r="E261" s="59">
        <v>96644508.250000075</v>
      </c>
      <c r="F261" s="59">
        <v>23307013.149817258</v>
      </c>
      <c r="G261" s="6">
        <f t="shared" si="31"/>
        <v>73337495.100182816</v>
      </c>
      <c r="H261" s="6">
        <f t="shared" si="33"/>
        <v>991.35999999940395</v>
      </c>
    </row>
    <row r="262" spans="1:8" ht="13">
      <c r="A262" s="2">
        <f t="shared" si="32"/>
        <v>154</v>
      </c>
      <c r="C262" s="252" t="s">
        <v>396</v>
      </c>
      <c r="D262" s="330">
        <v>2025</v>
      </c>
      <c r="E262" s="59">
        <v>96644319.790000081</v>
      </c>
      <c r="F262" s="59">
        <v>23506930.40266934</v>
      </c>
      <c r="G262" s="6">
        <f t="shared" si="31"/>
        <v>73137389.387330741</v>
      </c>
      <c r="H262" s="6">
        <f t="shared" si="33"/>
        <v>-188.45999999344349</v>
      </c>
    </row>
    <row r="263" spans="1:8" ht="13">
      <c r="A263" s="2">
        <f t="shared" si="32"/>
        <v>155</v>
      </c>
      <c r="C263" s="252" t="s">
        <v>397</v>
      </c>
      <c r="D263" s="330">
        <v>2025</v>
      </c>
      <c r="E263" s="59">
        <v>96644319.790000081</v>
      </c>
      <c r="F263" s="59">
        <v>23706847.267607927</v>
      </c>
      <c r="G263" s="6">
        <f t="shared" si="31"/>
        <v>72937472.522392154</v>
      </c>
      <c r="H263" s="6">
        <f t="shared" si="33"/>
        <v>0</v>
      </c>
    </row>
    <row r="264" spans="1:8" ht="13">
      <c r="A264" s="2">
        <f t="shared" si="32"/>
        <v>156</v>
      </c>
      <c r="C264" s="252" t="s">
        <v>398</v>
      </c>
      <c r="D264" s="330">
        <v>2025</v>
      </c>
      <c r="E264" s="59">
        <v>96644319.790000081</v>
      </c>
      <c r="F264" s="59">
        <v>23906764.132546514</v>
      </c>
      <c r="G264" s="6">
        <f t="shared" si="31"/>
        <v>72737555.657453567</v>
      </c>
      <c r="H264" s="6">
        <f t="shared" si="33"/>
        <v>0</v>
      </c>
    </row>
    <row r="265" spans="1:8" ht="13">
      <c r="A265" s="2">
        <f t="shared" si="32"/>
        <v>157</v>
      </c>
      <c r="C265" s="252" t="s">
        <v>1065</v>
      </c>
      <c r="D265" s="330">
        <v>2025</v>
      </c>
      <c r="E265" s="59">
        <v>96644319.790000081</v>
      </c>
      <c r="F265" s="59">
        <v>24106680.997485097</v>
      </c>
      <c r="G265" s="6">
        <f t="shared" si="31"/>
        <v>72537638.79251498</v>
      </c>
      <c r="H265" s="6">
        <f t="shared" si="33"/>
        <v>0</v>
      </c>
    </row>
    <row r="266" spans="1:8" ht="13">
      <c r="A266" s="2">
        <f t="shared" si="32"/>
        <v>158</v>
      </c>
      <c r="C266" s="252" t="s">
        <v>400</v>
      </c>
      <c r="D266" s="330">
        <v>2025</v>
      </c>
      <c r="E266" s="59">
        <v>96644319.790000081</v>
      </c>
      <c r="F266" s="59">
        <v>24306597.862423684</v>
      </c>
      <c r="G266" s="6">
        <f t="shared" si="31"/>
        <v>72337721.927576393</v>
      </c>
      <c r="H266" s="6">
        <f t="shared" si="33"/>
        <v>0</v>
      </c>
    </row>
    <row r="267" spans="1:8" ht="13">
      <c r="A267" s="2">
        <f t="shared" si="32"/>
        <v>159</v>
      </c>
      <c r="C267" s="252" t="s">
        <v>388</v>
      </c>
      <c r="D267" s="330">
        <v>2025</v>
      </c>
      <c r="E267" s="59">
        <v>96644319.790000081</v>
      </c>
      <c r="F267" s="59">
        <v>24506514.727362268</v>
      </c>
      <c r="G267" s="6">
        <f t="shared" si="31"/>
        <v>72137805.062637806</v>
      </c>
      <c r="H267" s="6">
        <f t="shared" si="33"/>
        <v>0</v>
      </c>
    </row>
    <row r="269" spans="1:8" ht="13">
      <c r="C269" s="15" t="s">
        <v>1321</v>
      </c>
      <c r="E269" s="48" t="s">
        <v>345</v>
      </c>
      <c r="F269" s="48" t="s">
        <v>346</v>
      </c>
      <c r="G269" s="48" t="s">
        <v>347</v>
      </c>
      <c r="H269" s="48" t="s">
        <v>348</v>
      </c>
    </row>
    <row r="270" spans="1:8">
      <c r="G270" s="239" t="s">
        <v>1298</v>
      </c>
      <c r="H270" s="239" t="s">
        <v>1309</v>
      </c>
    </row>
    <row r="271" spans="1:8" ht="13">
      <c r="C271" s="2" t="s">
        <v>1289</v>
      </c>
      <c r="H271" s="234" t="s">
        <v>1310</v>
      </c>
    </row>
    <row r="272" spans="1:8" ht="13">
      <c r="C272" s="2" t="s">
        <v>381</v>
      </c>
      <c r="E272" s="2" t="s">
        <v>692</v>
      </c>
      <c r="F272" s="2" t="s">
        <v>1311</v>
      </c>
      <c r="G272" s="2" t="s">
        <v>1312</v>
      </c>
      <c r="H272" s="2" t="s">
        <v>741</v>
      </c>
    </row>
    <row r="273" spans="1:8" ht="13">
      <c r="C273" s="18" t="s">
        <v>380</v>
      </c>
      <c r="D273" s="18" t="s">
        <v>381</v>
      </c>
      <c r="E273" s="3" t="s">
        <v>1313</v>
      </c>
      <c r="F273" s="3" t="s">
        <v>40</v>
      </c>
      <c r="G273" s="3" t="s">
        <v>1279</v>
      </c>
      <c r="H273" s="3" t="s">
        <v>1303</v>
      </c>
    </row>
    <row r="274" spans="1:8" ht="13">
      <c r="A274" s="2">
        <f>A267+1</f>
        <v>160</v>
      </c>
      <c r="C274" s="252" t="s">
        <v>388</v>
      </c>
      <c r="D274" s="479">
        <v>2024</v>
      </c>
      <c r="E274" s="59">
        <v>458328575.58092588</v>
      </c>
      <c r="F274" s="59">
        <v>40282474.827735811</v>
      </c>
      <c r="G274" s="6">
        <f t="shared" ref="G274:G286" si="34">E274-F274</f>
        <v>418046100.75319004</v>
      </c>
      <c r="H274" s="6">
        <f>E274-E274</f>
        <v>0</v>
      </c>
    </row>
    <row r="275" spans="1:8" ht="13">
      <c r="A275" s="2">
        <f>A274+1</f>
        <v>161</v>
      </c>
      <c r="C275" s="252" t="s">
        <v>390</v>
      </c>
      <c r="D275" s="330">
        <v>2025</v>
      </c>
      <c r="E275" s="59">
        <v>458444957.48092592</v>
      </c>
      <c r="F275" s="59">
        <v>41243562.741328709</v>
      </c>
      <c r="G275" s="6">
        <f t="shared" si="34"/>
        <v>417201394.7395972</v>
      </c>
      <c r="H275" s="6">
        <f>E275-E274</f>
        <v>116381.90000003576</v>
      </c>
    </row>
    <row r="276" spans="1:8" ht="13">
      <c r="A276" s="2">
        <f t="shared" ref="A276:A286" si="35">A275+1</f>
        <v>162</v>
      </c>
      <c r="C276" s="252" t="s">
        <v>391</v>
      </c>
      <c r="D276" s="330">
        <v>2025</v>
      </c>
      <c r="E276" s="59">
        <v>458514205.62092596</v>
      </c>
      <c r="F276" s="59">
        <v>42204891.876789927</v>
      </c>
      <c r="G276" s="6">
        <f t="shared" si="34"/>
        <v>416309313.74413604</v>
      </c>
      <c r="H276" s="6">
        <f t="shared" ref="H276:H286" si="36">E276-E275</f>
        <v>69248.1400000453</v>
      </c>
    </row>
    <row r="277" spans="1:8" ht="13">
      <c r="A277" s="2">
        <f t="shared" si="35"/>
        <v>163</v>
      </c>
      <c r="C277" s="252" t="s">
        <v>392</v>
      </c>
      <c r="D277" s="330">
        <v>2025</v>
      </c>
      <c r="E277" s="59">
        <v>458686518.67458594</v>
      </c>
      <c r="F277" s="59">
        <v>43166364.541148491</v>
      </c>
      <c r="G277" s="6">
        <f t="shared" si="34"/>
        <v>415520154.13343745</v>
      </c>
      <c r="H277" s="6">
        <f t="shared" si="36"/>
        <v>172313.05365997553</v>
      </c>
    </row>
    <row r="278" spans="1:8" ht="13">
      <c r="A278" s="2">
        <f t="shared" si="35"/>
        <v>164</v>
      </c>
      <c r="C278" s="252" t="s">
        <v>393</v>
      </c>
      <c r="D278" s="330">
        <v>2025</v>
      </c>
      <c r="E278" s="59">
        <v>458697425.2145859</v>
      </c>
      <c r="F278" s="59">
        <v>44128194.357465111</v>
      </c>
      <c r="G278" s="6">
        <f t="shared" si="34"/>
        <v>414569230.85712081</v>
      </c>
      <c r="H278" s="6">
        <f t="shared" si="36"/>
        <v>10906.539999961853</v>
      </c>
    </row>
    <row r="279" spans="1:8" ht="13">
      <c r="A279" s="2">
        <f t="shared" si="35"/>
        <v>165</v>
      </c>
      <c r="C279" s="252" t="s">
        <v>394</v>
      </c>
      <c r="D279" s="330">
        <v>2025</v>
      </c>
      <c r="E279" s="59">
        <v>458880091.10458595</v>
      </c>
      <c r="F279" s="59">
        <v>45090046.779495716</v>
      </c>
      <c r="G279" s="6">
        <f t="shared" si="34"/>
        <v>413790044.32509023</v>
      </c>
      <c r="H279" s="6">
        <f t="shared" si="36"/>
        <v>182665.8900000453</v>
      </c>
    </row>
    <row r="280" spans="1:8" ht="13">
      <c r="A280" s="2">
        <f t="shared" si="35"/>
        <v>166</v>
      </c>
      <c r="C280" s="252" t="s">
        <v>395</v>
      </c>
      <c r="D280" s="330">
        <v>2025</v>
      </c>
      <c r="E280" s="59">
        <v>458985129.66458589</v>
      </c>
      <c r="F280" s="59">
        <v>46052277.808573253</v>
      </c>
      <c r="G280" s="6">
        <f t="shared" si="34"/>
        <v>412932851.85601264</v>
      </c>
      <c r="H280" s="6">
        <f t="shared" si="36"/>
        <v>105038.55999994278</v>
      </c>
    </row>
    <row r="281" spans="1:8" ht="13">
      <c r="A281" s="2">
        <f t="shared" si="35"/>
        <v>167</v>
      </c>
      <c r="C281" s="252" t="s">
        <v>396</v>
      </c>
      <c r="D281" s="330">
        <v>2025</v>
      </c>
      <c r="E281" s="59">
        <v>458641257.28084588</v>
      </c>
      <c r="F281" s="59">
        <v>47014726.548461787</v>
      </c>
      <c r="G281" s="6">
        <f t="shared" si="34"/>
        <v>411626530.73238409</v>
      </c>
      <c r="H281" s="6">
        <f t="shared" si="36"/>
        <v>-343872.38374000788</v>
      </c>
    </row>
    <row r="282" spans="1:8" ht="13">
      <c r="A282" s="2">
        <f t="shared" si="35"/>
        <v>168</v>
      </c>
      <c r="C282" s="252" t="s">
        <v>397</v>
      </c>
      <c r="D282" s="330">
        <v>2025</v>
      </c>
      <c r="E282" s="59">
        <v>458672727.75084591</v>
      </c>
      <c r="F282" s="59">
        <v>47976462.534248777</v>
      </c>
      <c r="G282" s="6">
        <f t="shared" si="34"/>
        <v>410696265.21659714</v>
      </c>
      <c r="H282" s="6">
        <f t="shared" si="36"/>
        <v>31470.47000002861</v>
      </c>
    </row>
    <row r="283" spans="1:8" ht="13">
      <c r="A283" s="2">
        <f t="shared" si="35"/>
        <v>169</v>
      </c>
      <c r="C283" s="252" t="s">
        <v>398</v>
      </c>
      <c r="D283" s="330">
        <v>2025</v>
      </c>
      <c r="E283" s="59">
        <v>459116666.48084593</v>
      </c>
      <c r="F283" s="59">
        <v>48938263.748096526</v>
      </c>
      <c r="G283" s="6">
        <f t="shared" si="34"/>
        <v>410178402.7327494</v>
      </c>
      <c r="H283" s="6">
        <f t="shared" si="36"/>
        <v>443938.73000001907</v>
      </c>
    </row>
    <row r="284" spans="1:8" ht="13">
      <c r="A284" s="2">
        <f t="shared" si="35"/>
        <v>170</v>
      </c>
      <c r="C284" s="252" t="s">
        <v>1065</v>
      </c>
      <c r="D284" s="330">
        <v>2025</v>
      </c>
      <c r="E284" s="59">
        <v>459149170.59084588</v>
      </c>
      <c r="F284" s="59">
        <v>49900985.102711014</v>
      </c>
      <c r="G284" s="6">
        <f t="shared" si="34"/>
        <v>409248185.48813486</v>
      </c>
      <c r="H284" s="6">
        <f t="shared" si="36"/>
        <v>32504.1099999547</v>
      </c>
    </row>
    <row r="285" spans="1:8" ht="13">
      <c r="A285" s="2">
        <f t="shared" si="35"/>
        <v>171</v>
      </c>
      <c r="C285" s="252" t="s">
        <v>400</v>
      </c>
      <c r="D285" s="330">
        <v>2025</v>
      </c>
      <c r="E285" s="59">
        <v>459156422.80084586</v>
      </c>
      <c r="F285" s="59">
        <v>50863774.277486578</v>
      </c>
      <c r="G285" s="6">
        <f t="shared" si="34"/>
        <v>408292648.5233593</v>
      </c>
      <c r="H285" s="6">
        <f t="shared" si="36"/>
        <v>7252.2099999785423</v>
      </c>
    </row>
    <row r="286" spans="1:8" ht="13">
      <c r="A286" s="2">
        <f t="shared" si="35"/>
        <v>172</v>
      </c>
      <c r="C286" s="252" t="s">
        <v>388</v>
      </c>
      <c r="D286" s="330">
        <v>2025</v>
      </c>
      <c r="E286" s="59">
        <v>459224524.61084592</v>
      </c>
      <c r="F286" s="59">
        <v>51826578.483737737</v>
      </c>
      <c r="G286" s="6">
        <f t="shared" si="34"/>
        <v>407397946.12710822</v>
      </c>
      <c r="H286" s="6">
        <f t="shared" si="36"/>
        <v>68101.810000061989</v>
      </c>
    </row>
    <row r="288" spans="1:8" ht="13">
      <c r="C288" s="334" t="s">
        <v>1322</v>
      </c>
      <c r="E288" s="48" t="s">
        <v>345</v>
      </c>
      <c r="F288" s="48" t="s">
        <v>346</v>
      </c>
      <c r="G288" s="48" t="s">
        <v>347</v>
      </c>
      <c r="H288" s="48" t="s">
        <v>348</v>
      </c>
    </row>
    <row r="289" spans="1:8">
      <c r="G289" s="239" t="s">
        <v>1298</v>
      </c>
      <c r="H289" s="239" t="s">
        <v>1309</v>
      </c>
    </row>
    <row r="290" spans="1:8" ht="13">
      <c r="C290" s="2" t="s">
        <v>1289</v>
      </c>
      <c r="H290" s="234" t="s">
        <v>1310</v>
      </c>
    </row>
    <row r="291" spans="1:8" ht="13">
      <c r="C291" s="2" t="s">
        <v>381</v>
      </c>
      <c r="E291" s="2" t="s">
        <v>692</v>
      </c>
      <c r="F291" s="2" t="s">
        <v>1311</v>
      </c>
      <c r="G291" s="2" t="s">
        <v>1312</v>
      </c>
      <c r="H291" s="2" t="s">
        <v>741</v>
      </c>
    </row>
    <row r="292" spans="1:8" ht="13">
      <c r="C292" s="18" t="s">
        <v>380</v>
      </c>
      <c r="D292" s="18" t="s">
        <v>381</v>
      </c>
      <c r="E292" s="3" t="s">
        <v>1313</v>
      </c>
      <c r="F292" s="3" t="s">
        <v>40</v>
      </c>
      <c r="G292" s="3" t="s">
        <v>1279</v>
      </c>
      <c r="H292" s="3" t="s">
        <v>1303</v>
      </c>
    </row>
    <row r="293" spans="1:8" ht="13">
      <c r="A293" s="2">
        <f>A286+1</f>
        <v>173</v>
      </c>
      <c r="C293" s="252" t="s">
        <v>388</v>
      </c>
      <c r="D293" s="479">
        <v>2024</v>
      </c>
      <c r="E293" s="59">
        <v>810117.00000000023</v>
      </c>
      <c r="F293" s="59">
        <v>0</v>
      </c>
      <c r="G293" s="6">
        <f t="shared" ref="G293:G305" si="37">E293-F293</f>
        <v>810117.00000000023</v>
      </c>
      <c r="H293" s="6">
        <f>E293-E293</f>
        <v>0</v>
      </c>
    </row>
    <row r="294" spans="1:8" ht="13">
      <c r="A294" s="2">
        <f>A293+1</f>
        <v>174</v>
      </c>
      <c r="C294" s="252" t="s">
        <v>390</v>
      </c>
      <c r="D294" s="330">
        <v>2025</v>
      </c>
      <c r="E294" s="59">
        <v>810117.00000000023</v>
      </c>
      <c r="F294" s="59">
        <v>0</v>
      </c>
      <c r="G294" s="6">
        <f t="shared" si="37"/>
        <v>810117.00000000023</v>
      </c>
      <c r="H294" s="6">
        <f>E294-E293</f>
        <v>0</v>
      </c>
    </row>
    <row r="295" spans="1:8" ht="13">
      <c r="A295" s="2">
        <f t="shared" ref="A295:A305" si="38">A294+1</f>
        <v>175</v>
      </c>
      <c r="C295" s="252" t="s">
        <v>391</v>
      </c>
      <c r="D295" s="330">
        <v>2025</v>
      </c>
      <c r="E295" s="59">
        <v>810117.00000000023</v>
      </c>
      <c r="F295" s="59">
        <v>0</v>
      </c>
      <c r="G295" s="6">
        <f t="shared" si="37"/>
        <v>810117.00000000023</v>
      </c>
      <c r="H295" s="6">
        <f t="shared" ref="H295:H305" si="39">E295-E294</f>
        <v>0</v>
      </c>
    </row>
    <row r="296" spans="1:8" ht="13">
      <c r="A296" s="2">
        <f t="shared" si="38"/>
        <v>176</v>
      </c>
      <c r="C296" s="252" t="s">
        <v>392</v>
      </c>
      <c r="D296" s="330">
        <v>2025</v>
      </c>
      <c r="E296" s="59">
        <v>810117.00000000023</v>
      </c>
      <c r="F296" s="59">
        <v>0</v>
      </c>
      <c r="G296" s="6">
        <f t="shared" si="37"/>
        <v>810117.00000000023</v>
      </c>
      <c r="H296" s="6">
        <f t="shared" si="39"/>
        <v>0</v>
      </c>
    </row>
    <row r="297" spans="1:8" ht="13">
      <c r="A297" s="2">
        <f t="shared" si="38"/>
        <v>177</v>
      </c>
      <c r="C297" s="252" t="s">
        <v>393</v>
      </c>
      <c r="D297" s="330">
        <v>2025</v>
      </c>
      <c r="E297" s="59">
        <v>810117.00000000023</v>
      </c>
      <c r="F297" s="59">
        <v>0</v>
      </c>
      <c r="G297" s="6">
        <f t="shared" si="37"/>
        <v>810117.00000000023</v>
      </c>
      <c r="H297" s="6">
        <f t="shared" si="39"/>
        <v>0</v>
      </c>
    </row>
    <row r="298" spans="1:8" ht="13">
      <c r="A298" s="2">
        <f t="shared" si="38"/>
        <v>178</v>
      </c>
      <c r="C298" s="252" t="s">
        <v>394</v>
      </c>
      <c r="D298" s="330">
        <v>2025</v>
      </c>
      <c r="E298" s="59">
        <v>810117.00000000023</v>
      </c>
      <c r="F298" s="59">
        <v>0</v>
      </c>
      <c r="G298" s="6">
        <f t="shared" si="37"/>
        <v>810117.00000000023</v>
      </c>
      <c r="H298" s="6">
        <f t="shared" si="39"/>
        <v>0</v>
      </c>
    </row>
    <row r="299" spans="1:8" ht="13">
      <c r="A299" s="2">
        <f t="shared" si="38"/>
        <v>179</v>
      </c>
      <c r="C299" s="252" t="s">
        <v>395</v>
      </c>
      <c r="D299" s="330">
        <v>2025</v>
      </c>
      <c r="E299" s="59">
        <v>810117.00000000023</v>
      </c>
      <c r="F299" s="59">
        <v>0</v>
      </c>
      <c r="G299" s="6">
        <f t="shared" si="37"/>
        <v>810117.00000000023</v>
      </c>
      <c r="H299" s="6">
        <f t="shared" si="39"/>
        <v>0</v>
      </c>
    </row>
    <row r="300" spans="1:8" ht="13">
      <c r="A300" s="2">
        <f t="shared" si="38"/>
        <v>180</v>
      </c>
      <c r="C300" s="252" t="s">
        <v>396</v>
      </c>
      <c r="D300" s="330">
        <v>2025</v>
      </c>
      <c r="E300" s="59">
        <v>810117.00000000023</v>
      </c>
      <c r="F300" s="59">
        <v>0</v>
      </c>
      <c r="G300" s="6">
        <f t="shared" si="37"/>
        <v>810117.00000000023</v>
      </c>
      <c r="H300" s="6">
        <f t="shared" si="39"/>
        <v>0</v>
      </c>
    </row>
    <row r="301" spans="1:8" ht="13">
      <c r="A301" s="2">
        <f t="shared" si="38"/>
        <v>181</v>
      </c>
      <c r="C301" s="252" t="s">
        <v>397</v>
      </c>
      <c r="D301" s="330">
        <v>2025</v>
      </c>
      <c r="E301" s="59">
        <v>810117.00000000023</v>
      </c>
      <c r="F301" s="59">
        <v>0</v>
      </c>
      <c r="G301" s="6">
        <f t="shared" si="37"/>
        <v>810117.00000000023</v>
      </c>
      <c r="H301" s="6">
        <f t="shared" si="39"/>
        <v>0</v>
      </c>
    </row>
    <row r="302" spans="1:8" ht="13">
      <c r="A302" s="2">
        <f t="shared" si="38"/>
        <v>182</v>
      </c>
      <c r="C302" s="252" t="s">
        <v>398</v>
      </c>
      <c r="D302" s="330">
        <v>2025</v>
      </c>
      <c r="E302" s="59">
        <v>810117.00000000023</v>
      </c>
      <c r="F302" s="59">
        <v>0</v>
      </c>
      <c r="G302" s="6">
        <f t="shared" si="37"/>
        <v>810117.00000000023</v>
      </c>
      <c r="H302" s="6">
        <f t="shared" si="39"/>
        <v>0</v>
      </c>
    </row>
    <row r="303" spans="1:8" ht="13">
      <c r="A303" s="2">
        <f t="shared" si="38"/>
        <v>183</v>
      </c>
      <c r="C303" s="252" t="s">
        <v>1065</v>
      </c>
      <c r="D303" s="330">
        <v>2025</v>
      </c>
      <c r="E303" s="59">
        <v>810117.00000000023</v>
      </c>
      <c r="F303" s="59">
        <v>0</v>
      </c>
      <c r="G303" s="6">
        <f t="shared" si="37"/>
        <v>810117.00000000023</v>
      </c>
      <c r="H303" s="6">
        <f t="shared" si="39"/>
        <v>0</v>
      </c>
    </row>
    <row r="304" spans="1:8" ht="13">
      <c r="A304" s="2">
        <f t="shared" si="38"/>
        <v>184</v>
      </c>
      <c r="C304" s="252" t="s">
        <v>400</v>
      </c>
      <c r="D304" s="330">
        <v>2025</v>
      </c>
      <c r="E304" s="59">
        <v>810117.00000000023</v>
      </c>
      <c r="F304" s="59">
        <v>0</v>
      </c>
      <c r="G304" s="6">
        <f t="shared" si="37"/>
        <v>810117.00000000023</v>
      </c>
      <c r="H304" s="6">
        <f t="shared" si="39"/>
        <v>0</v>
      </c>
    </row>
    <row r="305" spans="1:11" ht="13">
      <c r="A305" s="2">
        <f t="shared" si="38"/>
        <v>185</v>
      </c>
      <c r="C305" s="252" t="s">
        <v>388</v>
      </c>
      <c r="D305" s="330">
        <v>2025</v>
      </c>
      <c r="E305" s="59">
        <v>810117.00000000023</v>
      </c>
      <c r="F305" s="59">
        <v>0</v>
      </c>
      <c r="G305" s="6">
        <f t="shared" si="37"/>
        <v>810117.00000000023</v>
      </c>
      <c r="H305" s="6">
        <f t="shared" si="39"/>
        <v>0</v>
      </c>
    </row>
    <row r="307" spans="1:11" ht="13">
      <c r="C307" s="334" t="s">
        <v>1323</v>
      </c>
      <c r="E307" s="48" t="s">
        <v>345</v>
      </c>
      <c r="F307" s="48" t="s">
        <v>346</v>
      </c>
      <c r="G307" s="48" t="s">
        <v>347</v>
      </c>
      <c r="H307" s="48" t="s">
        <v>348</v>
      </c>
    </row>
    <row r="308" spans="1:11">
      <c r="G308" s="239" t="s">
        <v>1298</v>
      </c>
      <c r="H308" s="239" t="s">
        <v>1309</v>
      </c>
    </row>
    <row r="309" spans="1:11" ht="13">
      <c r="C309" s="2" t="s">
        <v>1289</v>
      </c>
      <c r="H309" s="234" t="s">
        <v>1310</v>
      </c>
    </row>
    <row r="310" spans="1:11" ht="13">
      <c r="C310" s="2" t="s">
        <v>381</v>
      </c>
      <c r="E310" s="2" t="s">
        <v>692</v>
      </c>
      <c r="F310" s="2" t="s">
        <v>1311</v>
      </c>
      <c r="G310" s="2" t="s">
        <v>1312</v>
      </c>
      <c r="H310" s="2" t="s">
        <v>741</v>
      </c>
    </row>
    <row r="311" spans="1:11" ht="13">
      <c r="C311" s="18" t="s">
        <v>380</v>
      </c>
      <c r="D311" s="18" t="s">
        <v>381</v>
      </c>
      <c r="E311" s="3" t="s">
        <v>1313</v>
      </c>
      <c r="F311" s="3" t="s">
        <v>40</v>
      </c>
      <c r="G311" s="3" t="s">
        <v>1279</v>
      </c>
      <c r="H311" s="3" t="s">
        <v>1303</v>
      </c>
    </row>
    <row r="312" spans="1:11" ht="13">
      <c r="A312" s="2">
        <f>A305+1</f>
        <v>186</v>
      </c>
      <c r="C312" s="252" t="s">
        <v>388</v>
      </c>
      <c r="D312" s="479">
        <v>2024</v>
      </c>
      <c r="E312" s="59">
        <v>131831780.90999998</v>
      </c>
      <c r="F312" s="59">
        <v>1779423.6706795837</v>
      </c>
      <c r="G312" s="6">
        <f t="shared" ref="G312:G324" si="40">E312-F312</f>
        <v>130052357.2393204</v>
      </c>
      <c r="H312" s="6">
        <f>E312-E312</f>
        <v>0</v>
      </c>
    </row>
    <row r="313" spans="1:11" ht="13">
      <c r="A313" s="2">
        <f>A312+1</f>
        <v>187</v>
      </c>
      <c r="C313" s="252" t="s">
        <v>390</v>
      </c>
      <c r="D313" s="330">
        <v>2025</v>
      </c>
      <c r="E313" s="59">
        <v>132041078.48999998</v>
      </c>
      <c r="F313" s="59">
        <v>2054955.6726010004</v>
      </c>
      <c r="G313" s="6">
        <f t="shared" si="40"/>
        <v>129986122.81739898</v>
      </c>
      <c r="H313" s="6">
        <f>E313-E312</f>
        <v>209297.57999999821</v>
      </c>
    </row>
    <row r="314" spans="1:11" ht="13">
      <c r="A314" s="2">
        <f t="shared" ref="A314:A324" si="41">A313+1</f>
        <v>188</v>
      </c>
      <c r="C314" s="252" t="s">
        <v>391</v>
      </c>
      <c r="D314" s="330">
        <v>2025</v>
      </c>
      <c r="E314" s="59">
        <v>132947160.48999998</v>
      </c>
      <c r="F314" s="59">
        <v>2330922.3862355002</v>
      </c>
      <c r="G314" s="6">
        <f t="shared" si="40"/>
        <v>130616238.10376447</v>
      </c>
      <c r="H314" s="6">
        <f t="shared" ref="H314:H324" si="42">E314-E313</f>
        <v>906082</v>
      </c>
    </row>
    <row r="315" spans="1:11" ht="13">
      <c r="A315" s="2">
        <f t="shared" si="41"/>
        <v>189</v>
      </c>
      <c r="C315" s="252" t="s">
        <v>392</v>
      </c>
      <c r="D315" s="330">
        <v>2025</v>
      </c>
      <c r="E315" s="59">
        <v>150000538.23999995</v>
      </c>
      <c r="F315" s="59">
        <v>2608757.2456164164</v>
      </c>
      <c r="G315" s="6">
        <f t="shared" si="40"/>
        <v>147391780.99438354</v>
      </c>
      <c r="H315" s="6">
        <f t="shared" si="42"/>
        <v>17053377.74999997</v>
      </c>
    </row>
    <row r="316" spans="1:11" ht="13">
      <c r="A316" s="2">
        <f t="shared" si="41"/>
        <v>190</v>
      </c>
      <c r="C316" s="252" t="s">
        <v>393</v>
      </c>
      <c r="D316" s="330">
        <v>2025</v>
      </c>
      <c r="E316" s="59">
        <v>152079136.72999999</v>
      </c>
      <c r="F316" s="59">
        <v>2921740.0576896667</v>
      </c>
      <c r="G316" s="6">
        <f t="shared" si="40"/>
        <v>149157396.67231032</v>
      </c>
      <c r="H316" s="6">
        <f t="shared" si="42"/>
        <v>2078598.4900000393</v>
      </c>
    </row>
    <row r="317" spans="1:11" ht="13">
      <c r="A317" s="2">
        <f t="shared" si="41"/>
        <v>191</v>
      </c>
      <c r="C317" s="252" t="s">
        <v>394</v>
      </c>
      <c r="D317" s="330">
        <v>2025</v>
      </c>
      <c r="E317" s="59">
        <v>155013232.10999998</v>
      </c>
      <c r="F317" s="59">
        <v>3239009.0582915833</v>
      </c>
      <c r="G317" s="6">
        <f t="shared" si="40"/>
        <v>151774223.0517084</v>
      </c>
      <c r="H317" s="6">
        <f t="shared" si="42"/>
        <v>2934095.3799999952</v>
      </c>
      <c r="K317" t="s">
        <v>1324</v>
      </c>
    </row>
    <row r="318" spans="1:11" ht="13">
      <c r="A318" s="2">
        <f t="shared" si="41"/>
        <v>192</v>
      </c>
      <c r="C318" s="252" t="s">
        <v>395</v>
      </c>
      <c r="D318" s="330">
        <v>2025</v>
      </c>
      <c r="E318" s="59">
        <v>256664938.91999999</v>
      </c>
      <c r="F318" s="59">
        <v>3562325.2262254171</v>
      </c>
      <c r="G318" s="6">
        <f t="shared" si="40"/>
        <v>253102613.69377458</v>
      </c>
      <c r="H318" s="6">
        <f t="shared" si="42"/>
        <v>101651706.81</v>
      </c>
    </row>
    <row r="319" spans="1:11" ht="13">
      <c r="A319" s="2">
        <f t="shared" si="41"/>
        <v>193</v>
      </c>
      <c r="C319" s="252" t="s">
        <v>396</v>
      </c>
      <c r="D319" s="330">
        <v>2025</v>
      </c>
      <c r="E319" s="59">
        <v>257014425.19999999</v>
      </c>
      <c r="F319" s="59">
        <v>4094889.083126667</v>
      </c>
      <c r="G319" s="6">
        <f t="shared" si="40"/>
        <v>252919536.11687332</v>
      </c>
      <c r="H319" s="6">
        <f t="shared" si="42"/>
        <v>349486.28000000119</v>
      </c>
    </row>
    <row r="320" spans="1:11" ht="13">
      <c r="A320" s="2">
        <f t="shared" si="41"/>
        <v>194</v>
      </c>
      <c r="C320" s="252" t="s">
        <v>397</v>
      </c>
      <c r="D320" s="330">
        <v>2025</v>
      </c>
      <c r="E320" s="59">
        <v>257187002.87999997</v>
      </c>
      <c r="F320" s="59">
        <v>4628174.455333</v>
      </c>
      <c r="G320" s="6">
        <f t="shared" si="40"/>
        <v>252558828.42466697</v>
      </c>
      <c r="H320" s="6">
        <f t="shared" si="42"/>
        <v>172577.67999997735</v>
      </c>
    </row>
    <row r="321" spans="1:8" ht="13">
      <c r="A321" s="2">
        <f t="shared" si="41"/>
        <v>195</v>
      </c>
      <c r="C321" s="252" t="s">
        <v>398</v>
      </c>
      <c r="D321" s="330">
        <v>2025</v>
      </c>
      <c r="E321" s="59">
        <v>257374144.22999999</v>
      </c>
      <c r="F321" s="59">
        <v>5161817.5694216676</v>
      </c>
      <c r="G321" s="6">
        <f t="shared" si="40"/>
        <v>252212326.66057831</v>
      </c>
      <c r="H321" s="6">
        <f t="shared" si="42"/>
        <v>187141.35000002384</v>
      </c>
    </row>
    <row r="322" spans="1:8" ht="13">
      <c r="A322" s="2">
        <f t="shared" si="41"/>
        <v>196</v>
      </c>
      <c r="C322" s="252" t="s">
        <v>1065</v>
      </c>
      <c r="D322" s="330">
        <v>2025</v>
      </c>
      <c r="E322" s="59">
        <v>257590412.16999999</v>
      </c>
      <c r="F322" s="59">
        <v>5695848.5862909174</v>
      </c>
      <c r="G322" s="6">
        <f t="shared" si="40"/>
        <v>251894563.58370906</v>
      </c>
      <c r="H322" s="6">
        <f t="shared" si="42"/>
        <v>216267.93999999762</v>
      </c>
    </row>
    <row r="323" spans="1:8" ht="13">
      <c r="A323" s="2">
        <f t="shared" si="41"/>
        <v>197</v>
      </c>
      <c r="C323" s="252" t="s">
        <v>400</v>
      </c>
      <c r="D323" s="330">
        <v>2025</v>
      </c>
      <c r="E323" s="59">
        <v>257711696.22999999</v>
      </c>
      <c r="F323" s="59">
        <v>6230327.5774672497</v>
      </c>
      <c r="G323" s="6">
        <f t="shared" si="40"/>
        <v>251481368.65253273</v>
      </c>
      <c r="H323" s="6">
        <f t="shared" si="42"/>
        <v>121284.06000000238</v>
      </c>
    </row>
    <row r="324" spans="1:8" ht="13">
      <c r="A324" s="2">
        <f t="shared" si="41"/>
        <v>198</v>
      </c>
      <c r="C324" s="252" t="s">
        <v>388</v>
      </c>
      <c r="D324" s="330">
        <v>2025</v>
      </c>
      <c r="E324" s="59">
        <v>308230247.22999996</v>
      </c>
      <c r="F324" s="59">
        <v>6765058.5849029161</v>
      </c>
      <c r="G324" s="6">
        <f t="shared" si="40"/>
        <v>301465188.64509702</v>
      </c>
      <c r="H324" s="6">
        <f t="shared" si="42"/>
        <v>50518550.99999997</v>
      </c>
    </row>
    <row r="325" spans="1:8" ht="13">
      <c r="A325" s="2"/>
      <c r="C325" s="252"/>
      <c r="D325" s="565"/>
      <c r="E325" s="6"/>
      <c r="F325" s="6"/>
      <c r="G325" s="6"/>
      <c r="H325" s="6"/>
    </row>
    <row r="326" spans="1:8" ht="13">
      <c r="A326" s="2"/>
      <c r="C326" s="334" t="s">
        <v>1325</v>
      </c>
      <c r="D326" s="252"/>
      <c r="E326" s="252"/>
      <c r="F326" s="252"/>
      <c r="G326" s="6"/>
      <c r="H326" s="6"/>
    </row>
    <row r="327" spans="1:8" ht="13">
      <c r="C327" s="334"/>
      <c r="E327" s="48" t="s">
        <v>345</v>
      </c>
      <c r="F327" s="48" t="s">
        <v>346</v>
      </c>
      <c r="G327" s="48" t="s">
        <v>347</v>
      </c>
      <c r="H327" s="48" t="s">
        <v>348</v>
      </c>
    </row>
    <row r="328" spans="1:8">
      <c r="G328" s="239" t="s">
        <v>1298</v>
      </c>
      <c r="H328" s="239" t="s">
        <v>1309</v>
      </c>
    </row>
    <row r="329" spans="1:8" ht="13">
      <c r="C329" s="2" t="s">
        <v>1289</v>
      </c>
      <c r="H329" s="234" t="s">
        <v>1310</v>
      </c>
    </row>
    <row r="330" spans="1:8" ht="13">
      <c r="C330" s="2" t="s">
        <v>381</v>
      </c>
      <c r="E330" s="2" t="s">
        <v>692</v>
      </c>
      <c r="F330" s="2" t="s">
        <v>1311</v>
      </c>
      <c r="G330" s="2" t="s">
        <v>1312</v>
      </c>
      <c r="H330" s="2" t="s">
        <v>741</v>
      </c>
    </row>
    <row r="331" spans="1:8" ht="13">
      <c r="C331" s="18" t="s">
        <v>380</v>
      </c>
      <c r="D331" s="18" t="s">
        <v>381</v>
      </c>
      <c r="E331" s="3" t="s">
        <v>1313</v>
      </c>
      <c r="F331" s="3" t="s">
        <v>40</v>
      </c>
      <c r="G331" s="3" t="s">
        <v>1279</v>
      </c>
      <c r="H331" s="3" t="s">
        <v>1303</v>
      </c>
    </row>
    <row r="332" spans="1:8" ht="13">
      <c r="A332" s="2">
        <f>A324+1</f>
        <v>199</v>
      </c>
      <c r="C332" s="252" t="s">
        <v>388</v>
      </c>
      <c r="D332" s="479">
        <v>2024</v>
      </c>
      <c r="E332" s="59">
        <v>93.669999999999845</v>
      </c>
      <c r="F332" s="59">
        <v>0</v>
      </c>
      <c r="G332" s="6">
        <f t="shared" ref="G332:G344" si="43">E332-F332</f>
        <v>93.669999999999845</v>
      </c>
      <c r="H332" s="6">
        <f>E332-E332</f>
        <v>0</v>
      </c>
    </row>
    <row r="333" spans="1:8" ht="13">
      <c r="A333" s="2">
        <f>A332+1</f>
        <v>200</v>
      </c>
      <c r="C333" s="252" t="s">
        <v>390</v>
      </c>
      <c r="D333" s="330">
        <v>2025</v>
      </c>
      <c r="E333" s="59">
        <v>93.669999999999845</v>
      </c>
      <c r="F333" s="59">
        <v>0</v>
      </c>
      <c r="G333" s="6">
        <f t="shared" si="43"/>
        <v>93.669999999999845</v>
      </c>
      <c r="H333" s="6">
        <f>E333-E332</f>
        <v>0</v>
      </c>
    </row>
    <row r="334" spans="1:8" ht="13">
      <c r="A334" s="2">
        <f t="shared" ref="A334:A344" si="44">A333+1</f>
        <v>201</v>
      </c>
      <c r="C334" s="252" t="s">
        <v>391</v>
      </c>
      <c r="D334" s="330">
        <v>2025</v>
      </c>
      <c r="E334" s="59">
        <v>93.669999999999845</v>
      </c>
      <c r="F334" s="59">
        <v>0</v>
      </c>
      <c r="G334" s="6">
        <f t="shared" si="43"/>
        <v>93.669999999999845</v>
      </c>
      <c r="H334" s="6">
        <f t="shared" ref="H334:H344" si="45">E334-E333</f>
        <v>0</v>
      </c>
    </row>
    <row r="335" spans="1:8" ht="13">
      <c r="A335" s="2">
        <f t="shared" si="44"/>
        <v>202</v>
      </c>
      <c r="C335" s="252" t="s">
        <v>392</v>
      </c>
      <c r="D335" s="330">
        <v>2025</v>
      </c>
      <c r="E335" s="59">
        <v>93.669999999999845</v>
      </c>
      <c r="F335" s="59">
        <v>0</v>
      </c>
      <c r="G335" s="6">
        <f t="shared" si="43"/>
        <v>93.669999999999845</v>
      </c>
      <c r="H335" s="6">
        <f t="shared" si="45"/>
        <v>0</v>
      </c>
    </row>
    <row r="336" spans="1:8" ht="13">
      <c r="A336" s="2">
        <f t="shared" si="44"/>
        <v>203</v>
      </c>
      <c r="C336" s="252" t="s">
        <v>393</v>
      </c>
      <c r="D336" s="330">
        <v>2025</v>
      </c>
      <c r="E336" s="59">
        <v>93.669999999999845</v>
      </c>
      <c r="F336" s="59">
        <v>0</v>
      </c>
      <c r="G336" s="6">
        <f t="shared" si="43"/>
        <v>93.669999999999845</v>
      </c>
      <c r="H336" s="6">
        <f t="shared" si="45"/>
        <v>0</v>
      </c>
    </row>
    <row r="337" spans="1:8" ht="13">
      <c r="A337" s="2">
        <f t="shared" si="44"/>
        <v>204</v>
      </c>
      <c r="C337" s="252" t="s">
        <v>394</v>
      </c>
      <c r="D337" s="330">
        <v>2025</v>
      </c>
      <c r="E337" s="59">
        <v>93.669999999999845</v>
      </c>
      <c r="F337" s="59">
        <v>0</v>
      </c>
      <c r="G337" s="6">
        <f t="shared" si="43"/>
        <v>93.669999999999845</v>
      </c>
      <c r="H337" s="6">
        <f t="shared" si="45"/>
        <v>0</v>
      </c>
    </row>
    <row r="338" spans="1:8" ht="13">
      <c r="A338" s="2">
        <f t="shared" si="44"/>
        <v>205</v>
      </c>
      <c r="C338" s="252" t="s">
        <v>395</v>
      </c>
      <c r="D338" s="330">
        <v>2025</v>
      </c>
      <c r="E338" s="59">
        <v>93.669999999999845</v>
      </c>
      <c r="F338" s="59">
        <v>0</v>
      </c>
      <c r="G338" s="6">
        <f t="shared" si="43"/>
        <v>93.669999999999845</v>
      </c>
      <c r="H338" s="6">
        <f t="shared" si="45"/>
        <v>0</v>
      </c>
    </row>
    <row r="339" spans="1:8" ht="13">
      <c r="A339" s="2">
        <f t="shared" si="44"/>
        <v>206</v>
      </c>
      <c r="C339" s="252" t="s">
        <v>396</v>
      </c>
      <c r="D339" s="330">
        <v>2025</v>
      </c>
      <c r="E339" s="59">
        <v>93.669999999999845</v>
      </c>
      <c r="F339" s="59">
        <v>0</v>
      </c>
      <c r="G339" s="6">
        <f t="shared" si="43"/>
        <v>93.669999999999845</v>
      </c>
      <c r="H339" s="6">
        <f t="shared" si="45"/>
        <v>0</v>
      </c>
    </row>
    <row r="340" spans="1:8" ht="13">
      <c r="A340" s="2">
        <f t="shared" si="44"/>
        <v>207</v>
      </c>
      <c r="C340" s="252" t="s">
        <v>397</v>
      </c>
      <c r="D340" s="330">
        <v>2025</v>
      </c>
      <c r="E340" s="59">
        <v>93.669999999999845</v>
      </c>
      <c r="F340" s="59">
        <v>0</v>
      </c>
      <c r="G340" s="6">
        <f t="shared" si="43"/>
        <v>93.669999999999845</v>
      </c>
      <c r="H340" s="6">
        <f t="shared" si="45"/>
        <v>0</v>
      </c>
    </row>
    <row r="341" spans="1:8" ht="13">
      <c r="A341" s="2">
        <f t="shared" si="44"/>
        <v>208</v>
      </c>
      <c r="C341" s="252" t="s">
        <v>398</v>
      </c>
      <c r="D341" s="330">
        <v>2025</v>
      </c>
      <c r="E341" s="59">
        <v>93.669999999999845</v>
      </c>
      <c r="F341" s="59">
        <v>0</v>
      </c>
      <c r="G341" s="6">
        <f t="shared" si="43"/>
        <v>93.669999999999845</v>
      </c>
      <c r="H341" s="6">
        <f t="shared" si="45"/>
        <v>0</v>
      </c>
    </row>
    <row r="342" spans="1:8" ht="13">
      <c r="A342" s="2">
        <f t="shared" si="44"/>
        <v>209</v>
      </c>
      <c r="C342" s="252" t="s">
        <v>1065</v>
      </c>
      <c r="D342" s="330">
        <v>2025</v>
      </c>
      <c r="E342" s="59">
        <v>93.669999999999845</v>
      </c>
      <c r="F342" s="59">
        <v>0</v>
      </c>
      <c r="G342" s="6">
        <f t="shared" si="43"/>
        <v>93.669999999999845</v>
      </c>
      <c r="H342" s="6">
        <f t="shared" si="45"/>
        <v>0</v>
      </c>
    </row>
    <row r="343" spans="1:8" ht="13">
      <c r="A343" s="2">
        <f t="shared" si="44"/>
        <v>210</v>
      </c>
      <c r="C343" s="252" t="s">
        <v>400</v>
      </c>
      <c r="D343" s="330">
        <v>2025</v>
      </c>
      <c r="E343" s="59">
        <v>93.669999999999845</v>
      </c>
      <c r="F343" s="59">
        <v>0</v>
      </c>
      <c r="G343" s="6">
        <f t="shared" si="43"/>
        <v>93.669999999999845</v>
      </c>
      <c r="H343" s="6">
        <f t="shared" si="45"/>
        <v>0</v>
      </c>
    </row>
    <row r="344" spans="1:8" ht="13">
      <c r="A344" s="2">
        <f t="shared" si="44"/>
        <v>211</v>
      </c>
      <c r="C344" s="252" t="s">
        <v>388</v>
      </c>
      <c r="D344" s="330">
        <v>2025</v>
      </c>
      <c r="E344" s="59">
        <v>93.669999999999845</v>
      </c>
      <c r="F344" s="59">
        <v>0</v>
      </c>
      <c r="G344" s="6">
        <f t="shared" si="43"/>
        <v>93.669999999999845</v>
      </c>
      <c r="H344" s="6">
        <f t="shared" si="45"/>
        <v>0</v>
      </c>
    </row>
    <row r="345" spans="1:8" ht="13">
      <c r="A345" s="2"/>
      <c r="C345" s="252"/>
      <c r="D345" s="565"/>
      <c r="E345" s="6"/>
      <c r="F345" s="6"/>
      <c r="G345" s="6"/>
      <c r="H345" s="6"/>
    </row>
    <row r="346" spans="1:8" ht="13">
      <c r="C346" s="334" t="s">
        <v>1326</v>
      </c>
      <c r="E346" s="48" t="s">
        <v>345</v>
      </c>
      <c r="F346" s="48" t="s">
        <v>346</v>
      </c>
      <c r="G346" s="48" t="s">
        <v>347</v>
      </c>
      <c r="H346" s="48" t="s">
        <v>348</v>
      </c>
    </row>
    <row r="347" spans="1:8">
      <c r="G347" s="239" t="s">
        <v>1298</v>
      </c>
      <c r="H347" s="239" t="s">
        <v>1309</v>
      </c>
    </row>
    <row r="348" spans="1:8" ht="13">
      <c r="C348" s="2" t="s">
        <v>1289</v>
      </c>
      <c r="H348" s="234" t="s">
        <v>1310</v>
      </c>
    </row>
    <row r="349" spans="1:8" ht="13">
      <c r="C349" s="2" t="s">
        <v>381</v>
      </c>
      <c r="E349" s="2" t="s">
        <v>692</v>
      </c>
      <c r="F349" s="2" t="s">
        <v>1311</v>
      </c>
      <c r="G349" s="2" t="s">
        <v>1312</v>
      </c>
      <c r="H349" s="2" t="s">
        <v>741</v>
      </c>
    </row>
    <row r="350" spans="1:8" ht="13">
      <c r="C350" s="18" t="s">
        <v>380</v>
      </c>
      <c r="D350" s="18" t="s">
        <v>381</v>
      </c>
      <c r="E350" s="3" t="s">
        <v>1313</v>
      </c>
      <c r="F350" s="3" t="s">
        <v>40</v>
      </c>
      <c r="G350" s="3" t="s">
        <v>1279</v>
      </c>
      <c r="H350" s="3" t="s">
        <v>1303</v>
      </c>
    </row>
    <row r="351" spans="1:8" ht="13">
      <c r="A351" s="2">
        <f>A344+1</f>
        <v>212</v>
      </c>
      <c r="C351" s="252" t="s">
        <v>388</v>
      </c>
      <c r="D351" s="479">
        <v>2024</v>
      </c>
      <c r="E351" s="59"/>
      <c r="F351" s="59"/>
      <c r="G351" s="6">
        <f t="shared" ref="G351:G363" si="46">E351-F351</f>
        <v>0</v>
      </c>
      <c r="H351" s="6">
        <f>E351-E351</f>
        <v>0</v>
      </c>
    </row>
    <row r="352" spans="1:8" ht="13">
      <c r="A352" s="2">
        <f>A351+1</f>
        <v>213</v>
      </c>
      <c r="C352" s="252" t="s">
        <v>390</v>
      </c>
      <c r="D352" s="330">
        <v>2025</v>
      </c>
      <c r="E352" s="59"/>
      <c r="F352" s="59"/>
      <c r="G352" s="6">
        <f t="shared" si="46"/>
        <v>0</v>
      </c>
      <c r="H352" s="6">
        <f>E352-E351</f>
        <v>0</v>
      </c>
    </row>
    <row r="353" spans="1:8" ht="13">
      <c r="A353" s="2">
        <f t="shared" ref="A353:A363" si="47">A352+1</f>
        <v>214</v>
      </c>
      <c r="C353" s="252" t="s">
        <v>391</v>
      </c>
      <c r="D353" s="330">
        <v>2025</v>
      </c>
      <c r="E353" s="59"/>
      <c r="F353" s="59"/>
      <c r="G353" s="6">
        <f t="shared" si="46"/>
        <v>0</v>
      </c>
      <c r="H353" s="6">
        <f t="shared" ref="H353:H363" si="48">E353-E352</f>
        <v>0</v>
      </c>
    </row>
    <row r="354" spans="1:8" ht="13">
      <c r="A354" s="2">
        <f t="shared" si="47"/>
        <v>215</v>
      </c>
      <c r="C354" s="252" t="s">
        <v>392</v>
      </c>
      <c r="D354" s="330">
        <v>2025</v>
      </c>
      <c r="E354" s="59"/>
      <c r="F354" s="59"/>
      <c r="G354" s="6">
        <f t="shared" si="46"/>
        <v>0</v>
      </c>
      <c r="H354" s="6">
        <f t="shared" si="48"/>
        <v>0</v>
      </c>
    </row>
    <row r="355" spans="1:8" ht="13">
      <c r="A355" s="2">
        <f t="shared" si="47"/>
        <v>216</v>
      </c>
      <c r="C355" s="252" t="s">
        <v>393</v>
      </c>
      <c r="D355" s="330">
        <v>2025</v>
      </c>
      <c r="E355" s="59"/>
      <c r="F355" s="59"/>
      <c r="G355" s="6">
        <f t="shared" si="46"/>
        <v>0</v>
      </c>
      <c r="H355" s="6">
        <f t="shared" si="48"/>
        <v>0</v>
      </c>
    </row>
    <row r="356" spans="1:8" ht="13">
      <c r="A356" s="2">
        <f t="shared" si="47"/>
        <v>217</v>
      </c>
      <c r="C356" s="252" t="s">
        <v>394</v>
      </c>
      <c r="D356" s="330">
        <v>2025</v>
      </c>
      <c r="E356" s="59"/>
      <c r="F356" s="59"/>
      <c r="G356" s="6">
        <f t="shared" si="46"/>
        <v>0</v>
      </c>
      <c r="H356" s="6">
        <f t="shared" si="48"/>
        <v>0</v>
      </c>
    </row>
    <row r="357" spans="1:8" ht="13">
      <c r="A357" s="2">
        <f t="shared" si="47"/>
        <v>218</v>
      </c>
      <c r="C357" s="252" t="s">
        <v>395</v>
      </c>
      <c r="D357" s="330">
        <v>2025</v>
      </c>
      <c r="E357" s="59"/>
      <c r="F357" s="59"/>
      <c r="G357" s="6">
        <f t="shared" si="46"/>
        <v>0</v>
      </c>
      <c r="H357" s="6">
        <f t="shared" si="48"/>
        <v>0</v>
      </c>
    </row>
    <row r="358" spans="1:8" ht="13">
      <c r="A358" s="2">
        <f t="shared" si="47"/>
        <v>219</v>
      </c>
      <c r="C358" s="252" t="s">
        <v>396</v>
      </c>
      <c r="D358" s="330">
        <v>2025</v>
      </c>
      <c r="E358" s="59"/>
      <c r="F358" s="59"/>
      <c r="G358" s="6">
        <f t="shared" si="46"/>
        <v>0</v>
      </c>
      <c r="H358" s="6">
        <f t="shared" si="48"/>
        <v>0</v>
      </c>
    </row>
    <row r="359" spans="1:8" ht="13">
      <c r="A359" s="2">
        <f t="shared" si="47"/>
        <v>220</v>
      </c>
      <c r="C359" s="252" t="s">
        <v>397</v>
      </c>
      <c r="D359" s="330">
        <v>2025</v>
      </c>
      <c r="E359" s="59"/>
      <c r="F359" s="59"/>
      <c r="G359" s="6">
        <f t="shared" si="46"/>
        <v>0</v>
      </c>
      <c r="H359" s="6">
        <f t="shared" si="48"/>
        <v>0</v>
      </c>
    </row>
    <row r="360" spans="1:8" ht="13">
      <c r="A360" s="2">
        <f t="shared" si="47"/>
        <v>221</v>
      </c>
      <c r="C360" s="252" t="s">
        <v>398</v>
      </c>
      <c r="D360" s="330">
        <v>2025</v>
      </c>
      <c r="E360" s="59"/>
      <c r="F360" s="59"/>
      <c r="G360" s="6">
        <f t="shared" si="46"/>
        <v>0</v>
      </c>
      <c r="H360" s="6">
        <f t="shared" si="48"/>
        <v>0</v>
      </c>
    </row>
    <row r="361" spans="1:8" ht="13">
      <c r="A361" s="2">
        <f t="shared" si="47"/>
        <v>222</v>
      </c>
      <c r="C361" s="252" t="s">
        <v>1065</v>
      </c>
      <c r="D361" s="330">
        <v>2025</v>
      </c>
      <c r="E361" s="59"/>
      <c r="F361" s="59"/>
      <c r="G361" s="6">
        <f t="shared" si="46"/>
        <v>0</v>
      </c>
      <c r="H361" s="6">
        <f t="shared" si="48"/>
        <v>0</v>
      </c>
    </row>
    <row r="362" spans="1:8" ht="13">
      <c r="A362" s="2">
        <f t="shared" si="47"/>
        <v>223</v>
      </c>
      <c r="C362" s="252" t="s">
        <v>400</v>
      </c>
      <c r="D362" s="330">
        <v>2025</v>
      </c>
      <c r="E362" s="59"/>
      <c r="F362" s="59"/>
      <c r="G362" s="6">
        <f t="shared" si="46"/>
        <v>0</v>
      </c>
      <c r="H362" s="6">
        <f t="shared" si="48"/>
        <v>0</v>
      </c>
    </row>
    <row r="363" spans="1:8" ht="13">
      <c r="A363" s="2">
        <f t="shared" si="47"/>
        <v>224</v>
      </c>
      <c r="C363" s="252" t="s">
        <v>388</v>
      </c>
      <c r="D363" s="330">
        <v>2025</v>
      </c>
      <c r="E363" s="59"/>
      <c r="F363" s="59"/>
      <c r="G363" s="6">
        <f t="shared" si="46"/>
        <v>0</v>
      </c>
      <c r="H363" s="6">
        <f t="shared" si="48"/>
        <v>0</v>
      </c>
    </row>
    <row r="364" spans="1:8" ht="13">
      <c r="A364" s="2"/>
      <c r="C364" s="252"/>
      <c r="D364" s="565"/>
      <c r="E364" s="6"/>
      <c r="F364" s="6"/>
      <c r="G364" s="6"/>
      <c r="H364" s="6"/>
    </row>
    <row r="365" spans="1:8" ht="13">
      <c r="C365" s="334" t="s">
        <v>1327</v>
      </c>
      <c r="E365" s="48" t="s">
        <v>345</v>
      </c>
      <c r="F365" s="48" t="s">
        <v>346</v>
      </c>
      <c r="G365" s="48" t="s">
        <v>347</v>
      </c>
      <c r="H365" s="48" t="s">
        <v>348</v>
      </c>
    </row>
    <row r="366" spans="1:8">
      <c r="E366" s="233"/>
      <c r="F366" s="233"/>
      <c r="G366" s="239" t="s">
        <v>1298</v>
      </c>
      <c r="H366" s="239" t="s">
        <v>1309</v>
      </c>
    </row>
    <row r="367" spans="1:8" ht="13">
      <c r="A367" s="233"/>
      <c r="B367" s="233"/>
      <c r="C367" s="2" t="s">
        <v>1289</v>
      </c>
      <c r="D367" s="233"/>
      <c r="E367" s="233"/>
      <c r="F367" s="233"/>
      <c r="G367" s="233"/>
      <c r="H367" s="234" t="s">
        <v>1310</v>
      </c>
    </row>
    <row r="368" spans="1:8" ht="13">
      <c r="A368" s="233"/>
      <c r="B368" s="233"/>
      <c r="C368" s="2" t="s">
        <v>381</v>
      </c>
      <c r="D368" s="233"/>
      <c r="E368" s="2" t="s">
        <v>692</v>
      </c>
      <c r="F368" s="2" t="s">
        <v>1311</v>
      </c>
      <c r="G368" s="2" t="s">
        <v>1312</v>
      </c>
      <c r="H368" s="2" t="s">
        <v>741</v>
      </c>
    </row>
    <row r="369" spans="1:8" ht="13">
      <c r="A369" s="233"/>
      <c r="B369" s="233"/>
      <c r="C369" s="18" t="s">
        <v>380</v>
      </c>
      <c r="D369" s="18" t="s">
        <v>381</v>
      </c>
      <c r="E369" s="3" t="s">
        <v>1313</v>
      </c>
      <c r="F369" s="3" t="s">
        <v>40</v>
      </c>
      <c r="G369" s="3" t="s">
        <v>1279</v>
      </c>
      <c r="H369" s="3" t="s">
        <v>1303</v>
      </c>
    </row>
    <row r="370" spans="1:8" ht="13">
      <c r="A370" s="2">
        <f>A363+1</f>
        <v>225</v>
      </c>
      <c r="B370" s="233"/>
      <c r="C370" s="252" t="s">
        <v>388</v>
      </c>
      <c r="D370" s="479">
        <v>2024</v>
      </c>
      <c r="E370" s="253"/>
      <c r="F370" s="253"/>
      <c r="G370" s="235">
        <f t="shared" ref="G370:G382" si="49">E370-F370</f>
        <v>0</v>
      </c>
      <c r="H370" s="235">
        <f>E370-E370</f>
        <v>0</v>
      </c>
    </row>
    <row r="371" spans="1:8" ht="13">
      <c r="A371" s="2">
        <f>A370+1</f>
        <v>226</v>
      </c>
      <c r="B371" s="233"/>
      <c r="C371" s="252" t="s">
        <v>390</v>
      </c>
      <c r="D371" s="330">
        <v>2025</v>
      </c>
      <c r="E371" s="253"/>
      <c r="F371" s="253"/>
      <c r="G371" s="235">
        <f t="shared" si="49"/>
        <v>0</v>
      </c>
      <c r="H371" s="235">
        <f>E371-E370</f>
        <v>0</v>
      </c>
    </row>
    <row r="372" spans="1:8" ht="13">
      <c r="A372" s="2">
        <f t="shared" ref="A372:A382" si="50">A371+1</f>
        <v>227</v>
      </c>
      <c r="B372" s="233"/>
      <c r="C372" s="252" t="s">
        <v>391</v>
      </c>
      <c r="D372" s="330">
        <v>2025</v>
      </c>
      <c r="E372" s="253"/>
      <c r="F372" s="253"/>
      <c r="G372" s="235">
        <f t="shared" si="49"/>
        <v>0</v>
      </c>
      <c r="H372" s="235">
        <f t="shared" ref="H372:H382" si="51">E372-E371</f>
        <v>0</v>
      </c>
    </row>
    <row r="373" spans="1:8" ht="13">
      <c r="A373" s="2">
        <f t="shared" si="50"/>
        <v>228</v>
      </c>
      <c r="B373" s="233"/>
      <c r="C373" s="252" t="s">
        <v>392</v>
      </c>
      <c r="D373" s="330">
        <v>2025</v>
      </c>
      <c r="E373" s="253"/>
      <c r="F373" s="253"/>
      <c r="G373" s="235">
        <f t="shared" si="49"/>
        <v>0</v>
      </c>
      <c r="H373" s="235">
        <f t="shared" si="51"/>
        <v>0</v>
      </c>
    </row>
    <row r="374" spans="1:8" ht="13">
      <c r="A374" s="2">
        <f t="shared" si="50"/>
        <v>229</v>
      </c>
      <c r="B374" s="233"/>
      <c r="C374" s="252" t="s">
        <v>393</v>
      </c>
      <c r="D374" s="330">
        <v>2025</v>
      </c>
      <c r="E374" s="253"/>
      <c r="F374" s="253"/>
      <c r="G374" s="235">
        <f t="shared" si="49"/>
        <v>0</v>
      </c>
      <c r="H374" s="235">
        <f t="shared" si="51"/>
        <v>0</v>
      </c>
    </row>
    <row r="375" spans="1:8" ht="13">
      <c r="A375" s="2">
        <f t="shared" si="50"/>
        <v>230</v>
      </c>
      <c r="B375" s="233"/>
      <c r="C375" s="252" t="s">
        <v>394</v>
      </c>
      <c r="D375" s="330">
        <v>2025</v>
      </c>
      <c r="E375" s="253"/>
      <c r="F375" s="253"/>
      <c r="G375" s="235">
        <f t="shared" si="49"/>
        <v>0</v>
      </c>
      <c r="H375" s="235">
        <f t="shared" si="51"/>
        <v>0</v>
      </c>
    </row>
    <row r="376" spans="1:8" ht="13">
      <c r="A376" s="2">
        <f t="shared" si="50"/>
        <v>231</v>
      </c>
      <c r="B376" s="233"/>
      <c r="C376" s="252" t="s">
        <v>395</v>
      </c>
      <c r="D376" s="330">
        <v>2025</v>
      </c>
      <c r="E376" s="253"/>
      <c r="F376" s="253"/>
      <c r="G376" s="235">
        <f t="shared" si="49"/>
        <v>0</v>
      </c>
      <c r="H376" s="235">
        <f t="shared" si="51"/>
        <v>0</v>
      </c>
    </row>
    <row r="377" spans="1:8" ht="13">
      <c r="A377" s="2">
        <f t="shared" si="50"/>
        <v>232</v>
      </c>
      <c r="B377" s="233"/>
      <c r="C377" s="252" t="s">
        <v>396</v>
      </c>
      <c r="D377" s="330">
        <v>2025</v>
      </c>
      <c r="E377" s="253"/>
      <c r="F377" s="253"/>
      <c r="G377" s="235">
        <f t="shared" si="49"/>
        <v>0</v>
      </c>
      <c r="H377" s="235">
        <f t="shared" si="51"/>
        <v>0</v>
      </c>
    </row>
    <row r="378" spans="1:8" ht="13">
      <c r="A378" s="2">
        <f t="shared" si="50"/>
        <v>233</v>
      </c>
      <c r="B378" s="233"/>
      <c r="C378" s="252" t="s">
        <v>397</v>
      </c>
      <c r="D378" s="330">
        <v>2025</v>
      </c>
      <c r="E378" s="253"/>
      <c r="F378" s="253"/>
      <c r="G378" s="235">
        <f t="shared" si="49"/>
        <v>0</v>
      </c>
      <c r="H378" s="235">
        <f t="shared" si="51"/>
        <v>0</v>
      </c>
    </row>
    <row r="379" spans="1:8" ht="13">
      <c r="A379" s="2">
        <f t="shared" si="50"/>
        <v>234</v>
      </c>
      <c r="B379" s="233"/>
      <c r="C379" s="252" t="s">
        <v>398</v>
      </c>
      <c r="D379" s="330">
        <v>2025</v>
      </c>
      <c r="E379" s="253"/>
      <c r="F379" s="253"/>
      <c r="G379" s="235">
        <f t="shared" si="49"/>
        <v>0</v>
      </c>
      <c r="H379" s="235">
        <f t="shared" si="51"/>
        <v>0</v>
      </c>
    </row>
    <row r="380" spans="1:8" ht="13">
      <c r="A380" s="2">
        <f t="shared" si="50"/>
        <v>235</v>
      </c>
      <c r="B380" s="233"/>
      <c r="C380" s="252" t="s">
        <v>1065</v>
      </c>
      <c r="D380" s="330">
        <v>2025</v>
      </c>
      <c r="E380" s="253"/>
      <c r="F380" s="253"/>
      <c r="G380" s="235">
        <f t="shared" si="49"/>
        <v>0</v>
      </c>
      <c r="H380" s="235">
        <f t="shared" si="51"/>
        <v>0</v>
      </c>
    </row>
    <row r="381" spans="1:8" ht="13">
      <c r="A381" s="2">
        <f t="shared" si="50"/>
        <v>236</v>
      </c>
      <c r="B381" s="233"/>
      <c r="C381" s="252" t="s">
        <v>400</v>
      </c>
      <c r="D381" s="330">
        <v>2025</v>
      </c>
      <c r="E381" s="253"/>
      <c r="F381" s="253"/>
      <c r="G381" s="235">
        <f t="shared" si="49"/>
        <v>0</v>
      </c>
      <c r="H381" s="235">
        <f t="shared" si="51"/>
        <v>0</v>
      </c>
    </row>
    <row r="382" spans="1:8" ht="13">
      <c r="A382" s="2">
        <f t="shared" si="50"/>
        <v>237</v>
      </c>
      <c r="B382" s="233"/>
      <c r="C382" s="252" t="s">
        <v>388</v>
      </c>
      <c r="D382" s="330">
        <v>2025</v>
      </c>
      <c r="E382" s="253"/>
      <c r="F382" s="253"/>
      <c r="G382" s="235">
        <f t="shared" si="49"/>
        <v>0</v>
      </c>
      <c r="H382" s="235">
        <f t="shared" si="51"/>
        <v>0</v>
      </c>
    </row>
    <row r="383" spans="1:8" ht="13">
      <c r="A383" s="1058"/>
      <c r="C383" s="1063"/>
      <c r="D383" s="1064"/>
      <c r="E383" s="813"/>
      <c r="F383" s="813"/>
      <c r="G383" s="813"/>
      <c r="H383" s="813"/>
    </row>
    <row r="384" spans="1:8" ht="13">
      <c r="C384" s="1073" t="s">
        <v>1328</v>
      </c>
      <c r="D384" s="54"/>
      <c r="E384" s="48" t="s">
        <v>345</v>
      </c>
      <c r="F384" s="48" t="s">
        <v>346</v>
      </c>
      <c r="G384" s="48" t="s">
        <v>347</v>
      </c>
      <c r="H384" s="48" t="s">
        <v>348</v>
      </c>
    </row>
    <row r="385" spans="1:8">
      <c r="E385" s="233"/>
      <c r="F385" s="233"/>
      <c r="G385" s="239" t="s">
        <v>1298</v>
      </c>
      <c r="H385" s="239" t="s">
        <v>1309</v>
      </c>
    </row>
    <row r="386" spans="1:8" ht="13">
      <c r="A386" s="233"/>
      <c r="B386" s="233"/>
      <c r="C386" s="2" t="s">
        <v>1289</v>
      </c>
      <c r="D386" s="233"/>
      <c r="E386" s="233"/>
      <c r="F386" s="233"/>
      <c r="G386" s="233"/>
      <c r="H386" s="234" t="s">
        <v>1310</v>
      </c>
    </row>
    <row r="387" spans="1:8" ht="13">
      <c r="A387" s="233"/>
      <c r="B387" s="233"/>
      <c r="C387" s="2" t="s">
        <v>381</v>
      </c>
      <c r="D387" s="233"/>
      <c r="E387" s="2" t="s">
        <v>692</v>
      </c>
      <c r="F387" s="2" t="s">
        <v>1311</v>
      </c>
      <c r="G387" s="2" t="s">
        <v>1312</v>
      </c>
      <c r="H387" s="2" t="s">
        <v>741</v>
      </c>
    </row>
    <row r="388" spans="1:8" ht="13">
      <c r="A388" s="233"/>
      <c r="B388" s="233"/>
      <c r="C388" s="18" t="s">
        <v>380</v>
      </c>
      <c r="D388" s="18" t="s">
        <v>381</v>
      </c>
      <c r="E388" s="3" t="s">
        <v>1313</v>
      </c>
      <c r="F388" s="3" t="s">
        <v>40</v>
      </c>
      <c r="G388" s="3" t="s">
        <v>1279</v>
      </c>
      <c r="H388" s="3" t="s">
        <v>1303</v>
      </c>
    </row>
    <row r="389" spans="1:8" ht="13">
      <c r="A389" s="2">
        <f>A381+1</f>
        <v>237</v>
      </c>
      <c r="B389" s="233"/>
      <c r="C389" s="252" t="s">
        <v>388</v>
      </c>
      <c r="D389" s="479">
        <v>2024</v>
      </c>
      <c r="E389" s="253"/>
      <c r="F389" s="253"/>
      <c r="G389" s="235">
        <f t="shared" ref="G389:G401" si="52">E389-F389</f>
        <v>0</v>
      </c>
      <c r="H389" s="235">
        <f>E389-E389</f>
        <v>0</v>
      </c>
    </row>
    <row r="390" spans="1:8" ht="13">
      <c r="A390" s="2">
        <f>A389+1</f>
        <v>238</v>
      </c>
      <c r="B390" s="233"/>
      <c r="C390" s="252" t="s">
        <v>390</v>
      </c>
      <c r="D390" s="330">
        <v>2025</v>
      </c>
      <c r="E390" s="253"/>
      <c r="F390" s="253"/>
      <c r="G390" s="235">
        <f t="shared" si="52"/>
        <v>0</v>
      </c>
      <c r="H390" s="235">
        <f>E390-E389</f>
        <v>0</v>
      </c>
    </row>
    <row r="391" spans="1:8" ht="13">
      <c r="A391" s="2">
        <f t="shared" ref="A391:A401" si="53">A390+1</f>
        <v>239</v>
      </c>
      <c r="B391" s="233"/>
      <c r="C391" s="252" t="s">
        <v>391</v>
      </c>
      <c r="D391" s="330">
        <v>2025</v>
      </c>
      <c r="E391" s="253"/>
      <c r="F391" s="253"/>
      <c r="G391" s="235">
        <f t="shared" si="52"/>
        <v>0</v>
      </c>
      <c r="H391" s="235">
        <f t="shared" ref="H391:H401" si="54">E391-E390</f>
        <v>0</v>
      </c>
    </row>
    <row r="392" spans="1:8" ht="13">
      <c r="A392" s="2">
        <f t="shared" si="53"/>
        <v>240</v>
      </c>
      <c r="B392" s="233"/>
      <c r="C392" s="252" t="s">
        <v>392</v>
      </c>
      <c r="D392" s="330">
        <v>2025</v>
      </c>
      <c r="E392" s="253"/>
      <c r="F392" s="253"/>
      <c r="G392" s="235">
        <f t="shared" si="52"/>
        <v>0</v>
      </c>
      <c r="H392" s="235">
        <f t="shared" si="54"/>
        <v>0</v>
      </c>
    </row>
    <row r="393" spans="1:8" ht="13">
      <c r="A393" s="2">
        <f t="shared" si="53"/>
        <v>241</v>
      </c>
      <c r="B393" s="233"/>
      <c r="C393" s="252" t="s">
        <v>393</v>
      </c>
      <c r="D393" s="330">
        <v>2025</v>
      </c>
      <c r="E393" s="253"/>
      <c r="F393" s="253"/>
      <c r="G393" s="235">
        <f t="shared" si="52"/>
        <v>0</v>
      </c>
      <c r="H393" s="235">
        <f t="shared" si="54"/>
        <v>0</v>
      </c>
    </row>
    <row r="394" spans="1:8" ht="13">
      <c r="A394" s="2">
        <f t="shared" si="53"/>
        <v>242</v>
      </c>
      <c r="B394" s="233"/>
      <c r="C394" s="252" t="s">
        <v>394</v>
      </c>
      <c r="D394" s="330">
        <v>2025</v>
      </c>
      <c r="E394" s="253"/>
      <c r="F394" s="253"/>
      <c r="G394" s="235">
        <f t="shared" si="52"/>
        <v>0</v>
      </c>
      <c r="H394" s="235">
        <f t="shared" si="54"/>
        <v>0</v>
      </c>
    </row>
    <row r="395" spans="1:8" ht="13">
      <c r="A395" s="2">
        <f t="shared" si="53"/>
        <v>243</v>
      </c>
      <c r="B395" s="233"/>
      <c r="C395" s="252" t="s">
        <v>395</v>
      </c>
      <c r="D395" s="330">
        <v>2025</v>
      </c>
      <c r="E395" s="253"/>
      <c r="F395" s="253"/>
      <c r="G395" s="235">
        <f t="shared" si="52"/>
        <v>0</v>
      </c>
      <c r="H395" s="235">
        <f t="shared" si="54"/>
        <v>0</v>
      </c>
    </row>
    <row r="396" spans="1:8" ht="13">
      <c r="A396" s="2">
        <f t="shared" si="53"/>
        <v>244</v>
      </c>
      <c r="B396" s="233"/>
      <c r="C396" s="252" t="s">
        <v>396</v>
      </c>
      <c r="D396" s="330">
        <v>2025</v>
      </c>
      <c r="E396" s="253"/>
      <c r="F396" s="253"/>
      <c r="G396" s="235">
        <f t="shared" si="52"/>
        <v>0</v>
      </c>
      <c r="H396" s="235">
        <f t="shared" si="54"/>
        <v>0</v>
      </c>
    </row>
    <row r="397" spans="1:8" ht="13">
      <c r="A397" s="2">
        <f t="shared" si="53"/>
        <v>245</v>
      </c>
      <c r="B397" s="233"/>
      <c r="C397" s="252" t="s">
        <v>397</v>
      </c>
      <c r="D397" s="330">
        <v>2025</v>
      </c>
      <c r="E397" s="253"/>
      <c r="F397" s="253"/>
      <c r="G397" s="235">
        <f t="shared" si="52"/>
        <v>0</v>
      </c>
      <c r="H397" s="235">
        <f t="shared" si="54"/>
        <v>0</v>
      </c>
    </row>
    <row r="398" spans="1:8" ht="13">
      <c r="A398" s="2">
        <f t="shared" si="53"/>
        <v>246</v>
      </c>
      <c r="B398" s="233"/>
      <c r="C398" s="252" t="s">
        <v>398</v>
      </c>
      <c r="D398" s="330">
        <v>2025</v>
      </c>
      <c r="E398" s="253"/>
      <c r="F398" s="253"/>
      <c r="G398" s="235">
        <f t="shared" si="52"/>
        <v>0</v>
      </c>
      <c r="H398" s="235">
        <f t="shared" si="54"/>
        <v>0</v>
      </c>
    </row>
    <row r="399" spans="1:8" ht="13">
      <c r="A399" s="2">
        <f t="shared" si="53"/>
        <v>247</v>
      </c>
      <c r="B399" s="233"/>
      <c r="C399" s="252" t="s">
        <v>1065</v>
      </c>
      <c r="D399" s="330">
        <v>2025</v>
      </c>
      <c r="E399" s="253"/>
      <c r="F399" s="253"/>
      <c r="G399" s="235">
        <f t="shared" si="52"/>
        <v>0</v>
      </c>
      <c r="H399" s="235">
        <f t="shared" si="54"/>
        <v>0</v>
      </c>
    </row>
    <row r="400" spans="1:8" ht="13">
      <c r="A400" s="2">
        <f t="shared" si="53"/>
        <v>248</v>
      </c>
      <c r="B400" s="233"/>
      <c r="C400" s="252" t="s">
        <v>400</v>
      </c>
      <c r="D400" s="330">
        <v>2025</v>
      </c>
      <c r="E400" s="253"/>
      <c r="F400" s="253"/>
      <c r="G400" s="235">
        <f t="shared" si="52"/>
        <v>0</v>
      </c>
      <c r="H400" s="235">
        <f t="shared" si="54"/>
        <v>0</v>
      </c>
    </row>
    <row r="401" spans="1:10" ht="13">
      <c r="A401" s="2">
        <f t="shared" si="53"/>
        <v>249</v>
      </c>
      <c r="B401" s="233"/>
      <c r="C401" s="252" t="s">
        <v>388</v>
      </c>
      <c r="D401" s="330">
        <v>2025</v>
      </c>
      <c r="E401" s="253"/>
      <c r="F401" s="253"/>
      <c r="G401" s="235">
        <f t="shared" si="52"/>
        <v>0</v>
      </c>
      <c r="H401" s="235">
        <f t="shared" si="54"/>
        <v>0</v>
      </c>
    </row>
    <row r="402" spans="1:10" ht="13">
      <c r="A402" s="2"/>
      <c r="C402" s="252"/>
      <c r="D402" s="17"/>
      <c r="E402" s="6"/>
      <c r="F402" s="6"/>
      <c r="G402" s="6"/>
      <c r="H402" s="6"/>
    </row>
    <row r="403" spans="1:10" ht="13">
      <c r="B403" s="1"/>
      <c r="C403" s="1" t="s">
        <v>1329</v>
      </c>
      <c r="D403" s="231"/>
      <c r="E403" s="6"/>
    </row>
    <row r="404" spans="1:10" ht="13">
      <c r="B404" s="1"/>
    </row>
    <row r="405" spans="1:10" ht="13">
      <c r="C405" s="1034" t="s">
        <v>1330</v>
      </c>
      <c r="D405" s="1035"/>
      <c r="E405" s="1035"/>
      <c r="F405" s="1035"/>
      <c r="G405" s="1036" t="s">
        <v>1331</v>
      </c>
      <c r="H405" s="1035"/>
      <c r="I405" s="1035"/>
      <c r="J405" s="1035"/>
    </row>
    <row r="406" spans="1:10" ht="13">
      <c r="A406" s="2">
        <f>A401+1</f>
        <v>250</v>
      </c>
      <c r="C406" s="1037" t="s">
        <v>1332</v>
      </c>
      <c r="D406" s="1035"/>
      <c r="E406" s="1038"/>
      <c r="F406" s="1039" t="s">
        <v>1333</v>
      </c>
      <c r="G406" s="448" t="s">
        <v>1334</v>
      </c>
      <c r="H406" s="1035"/>
      <c r="I406" s="1035"/>
      <c r="J406" s="1035"/>
    </row>
    <row r="407" spans="1:10" ht="13">
      <c r="A407" s="2">
        <f>A406+1</f>
        <v>251</v>
      </c>
      <c r="C407" s="1040" t="s">
        <v>1335</v>
      </c>
      <c r="D407" s="1035"/>
      <c r="E407" s="1041"/>
      <c r="F407" s="1042">
        <v>7.4999999999999997E-3</v>
      </c>
      <c r="G407" s="448" t="s">
        <v>1336</v>
      </c>
      <c r="H407" s="1035"/>
      <c r="I407" s="1035"/>
      <c r="J407" s="1035"/>
    </row>
    <row r="408" spans="1:10" ht="13">
      <c r="A408" s="2">
        <f>A407+1</f>
        <v>252</v>
      </c>
      <c r="C408" s="1040" t="s">
        <v>1337</v>
      </c>
      <c r="D408" s="1035"/>
      <c r="E408" s="1038"/>
      <c r="F408" s="1039" t="s">
        <v>1023</v>
      </c>
      <c r="G408" s="1043" t="s">
        <v>1338</v>
      </c>
      <c r="H408" s="1035"/>
      <c r="I408" s="1035"/>
      <c r="J408" s="1035"/>
    </row>
    <row r="409" spans="1:10">
      <c r="A409" s="233"/>
      <c r="C409" s="1035"/>
      <c r="D409" s="1035"/>
      <c r="E409" s="1038"/>
      <c r="F409" s="1035"/>
      <c r="G409" s="1035"/>
      <c r="H409" s="1035"/>
      <c r="I409" s="1035"/>
      <c r="J409" s="1035"/>
    </row>
    <row r="410" spans="1:10" ht="13">
      <c r="A410" s="233"/>
      <c r="C410" s="1034" t="s">
        <v>1339</v>
      </c>
      <c r="D410" s="1035"/>
      <c r="E410" s="1035"/>
      <c r="F410" s="1035"/>
      <c r="G410" s="1036" t="s">
        <v>1331</v>
      </c>
      <c r="H410" s="1035"/>
      <c r="I410" s="1035"/>
      <c r="J410" s="1035"/>
    </row>
    <row r="411" spans="1:10" ht="13">
      <c r="A411" s="2">
        <f>A408+1</f>
        <v>253</v>
      </c>
      <c r="C411" s="1037" t="s">
        <v>1332</v>
      </c>
      <c r="D411" s="1035"/>
      <c r="E411" s="1038"/>
      <c r="F411" s="1039" t="s">
        <v>1333</v>
      </c>
      <c r="G411" s="448" t="s">
        <v>1334</v>
      </c>
      <c r="H411" s="1035"/>
      <c r="I411" s="1035"/>
      <c r="J411" s="1035"/>
    </row>
    <row r="412" spans="1:10" ht="13">
      <c r="A412" s="2">
        <f>A411+1</f>
        <v>254</v>
      </c>
      <c r="C412" s="1040" t="s">
        <v>1335</v>
      </c>
      <c r="D412" s="1035"/>
      <c r="E412" s="1041"/>
      <c r="F412" s="1042">
        <v>1.2500000000000001E-2</v>
      </c>
      <c r="G412" s="448" t="s">
        <v>1336</v>
      </c>
      <c r="H412" s="1035"/>
      <c r="I412" s="1035"/>
      <c r="J412" s="1035"/>
    </row>
    <row r="413" spans="1:10" ht="13">
      <c r="A413" s="2">
        <f>A412+1</f>
        <v>255</v>
      </c>
      <c r="C413" s="1040" t="s">
        <v>1337</v>
      </c>
      <c r="D413" s="1035"/>
      <c r="E413" s="1038"/>
      <c r="F413" s="1039" t="s">
        <v>1333</v>
      </c>
      <c r="G413" s="448" t="s">
        <v>1340</v>
      </c>
      <c r="H413" s="1035"/>
      <c r="I413" s="1035"/>
      <c r="J413" s="1035"/>
    </row>
    <row r="414" spans="1:10">
      <c r="A414" s="233"/>
      <c r="C414" s="1040"/>
      <c r="D414" s="1035"/>
      <c r="E414" s="1038"/>
      <c r="F414" s="1039"/>
      <c r="G414" s="1035"/>
      <c r="H414" s="1035"/>
      <c r="I414" s="1035"/>
      <c r="J414" s="1035"/>
    </row>
    <row r="415" spans="1:10" ht="13">
      <c r="A415" s="233"/>
      <c r="C415" s="1034" t="s">
        <v>1341</v>
      </c>
      <c r="D415" s="1035"/>
      <c r="E415" s="448"/>
      <c r="F415" s="806"/>
      <c r="G415" s="1036" t="s">
        <v>1331</v>
      </c>
      <c r="H415" s="1035"/>
      <c r="I415" s="1035"/>
      <c r="J415" s="1035"/>
    </row>
    <row r="416" spans="1:10" ht="13">
      <c r="A416" s="2">
        <f>A413+1</f>
        <v>256</v>
      </c>
      <c r="C416" s="1037" t="s">
        <v>1332</v>
      </c>
      <c r="D416" s="1035"/>
      <c r="E416" s="1038"/>
      <c r="F416" s="1039" t="s">
        <v>1333</v>
      </c>
      <c r="G416" s="448" t="s">
        <v>1334</v>
      </c>
      <c r="H416" s="1035"/>
      <c r="I416" s="1035"/>
      <c r="J416" s="1035"/>
    </row>
    <row r="417" spans="1:10" ht="13">
      <c r="A417" s="2">
        <f>A416+1</f>
        <v>257</v>
      </c>
      <c r="C417" s="1040" t="s">
        <v>1335</v>
      </c>
      <c r="D417" s="1035"/>
      <c r="E417" s="1041"/>
      <c r="F417" s="1042">
        <v>0.01</v>
      </c>
      <c r="G417" s="448" t="s">
        <v>1342</v>
      </c>
      <c r="H417" s="1035"/>
      <c r="I417" s="1035"/>
      <c r="J417" s="1035"/>
    </row>
    <row r="418" spans="1:10" ht="13">
      <c r="A418" s="2">
        <f>A417+1</f>
        <v>258</v>
      </c>
      <c r="C418" s="1040"/>
      <c r="D418" s="1035"/>
      <c r="E418" s="1041"/>
      <c r="F418" s="1042"/>
      <c r="G418" s="448" t="s">
        <v>1343</v>
      </c>
      <c r="H418" s="1035"/>
      <c r="I418" s="1035"/>
      <c r="J418" s="1035"/>
    </row>
    <row r="419" spans="1:10" ht="13">
      <c r="A419" s="2">
        <f>A418+1</f>
        <v>259</v>
      </c>
      <c r="C419" s="1040" t="s">
        <v>1337</v>
      </c>
      <c r="D419" s="1035"/>
      <c r="E419" s="1038"/>
      <c r="F419" s="1039" t="s">
        <v>1333</v>
      </c>
      <c r="G419" s="448" t="s">
        <v>1340</v>
      </c>
      <c r="H419" s="1035"/>
      <c r="I419" s="1035"/>
      <c r="J419" s="1035"/>
    </row>
    <row r="420" spans="1:10">
      <c r="A420" s="233"/>
      <c r="C420" s="1040"/>
      <c r="D420" s="1035"/>
      <c r="E420" s="1038"/>
      <c r="F420" s="1039"/>
      <c r="G420" s="1035"/>
      <c r="H420" s="1035"/>
      <c r="I420" s="1035"/>
      <c r="J420" s="1035"/>
    </row>
    <row r="421" spans="1:10" ht="14">
      <c r="A421" s="233"/>
      <c r="C421" s="1034" t="s">
        <v>1344</v>
      </c>
      <c r="D421" s="1044"/>
      <c r="E421" s="448"/>
      <c r="F421" s="806"/>
      <c r="G421" s="1036" t="s">
        <v>1331</v>
      </c>
      <c r="H421" s="1044"/>
      <c r="I421" s="1044"/>
      <c r="J421" s="1044"/>
    </row>
    <row r="422" spans="1:10" ht="14">
      <c r="A422" s="2">
        <f>A419+1</f>
        <v>260</v>
      </c>
      <c r="C422" s="1037" t="s">
        <v>1332</v>
      </c>
      <c r="D422" s="1044"/>
      <c r="E422" s="1045"/>
      <c r="F422" s="1046" t="s">
        <v>1023</v>
      </c>
      <c r="G422" s="448" t="s">
        <v>1345</v>
      </c>
      <c r="H422" s="1044"/>
      <c r="I422" s="1044"/>
      <c r="J422" s="1044"/>
    </row>
    <row r="423" spans="1:10" ht="14">
      <c r="A423" s="2">
        <f>A422+1</f>
        <v>261</v>
      </c>
      <c r="C423" s="1037"/>
      <c r="D423" s="1044"/>
      <c r="E423" s="1045"/>
      <c r="F423" s="1046"/>
      <c r="G423" s="1044" t="s">
        <v>1346</v>
      </c>
      <c r="H423" s="1044"/>
      <c r="I423" s="1044"/>
      <c r="J423" s="1044"/>
    </row>
    <row r="424" spans="1:10" ht="14">
      <c r="A424" s="2">
        <f>A423+1</f>
        <v>262</v>
      </c>
      <c r="C424" s="1047" t="s">
        <v>1335</v>
      </c>
      <c r="D424" s="1044"/>
      <c r="E424" s="1048"/>
      <c r="F424" s="1049">
        <v>0</v>
      </c>
      <c r="G424" s="448" t="s">
        <v>1347</v>
      </c>
      <c r="H424" s="1044"/>
      <c r="I424" s="1044"/>
      <c r="J424" s="1044"/>
    </row>
    <row r="425" spans="1:10" ht="14">
      <c r="A425" s="2">
        <f>A424+1</f>
        <v>263</v>
      </c>
      <c r="C425" s="1047"/>
      <c r="D425" s="1044"/>
      <c r="E425" s="1048"/>
      <c r="F425" s="1049"/>
      <c r="G425" s="448" t="s">
        <v>1348</v>
      </c>
      <c r="H425" s="1044"/>
      <c r="I425" s="1044"/>
      <c r="J425" s="1044"/>
    </row>
    <row r="426" spans="1:10" ht="14">
      <c r="A426" s="2">
        <f>A425+1</f>
        <v>264</v>
      </c>
      <c r="C426" s="1047" t="s">
        <v>1337</v>
      </c>
      <c r="D426" s="1044"/>
      <c r="E426" s="1045"/>
      <c r="F426" s="1046" t="s">
        <v>1333</v>
      </c>
      <c r="G426" s="448" t="s">
        <v>1340</v>
      </c>
      <c r="H426" s="1044"/>
      <c r="I426" s="1044"/>
      <c r="J426" s="1044"/>
    </row>
    <row r="427" spans="1:10" ht="14">
      <c r="A427" s="233"/>
      <c r="C427" s="1047"/>
      <c r="D427" s="1044"/>
      <c r="E427" s="1045"/>
      <c r="F427" s="1046"/>
      <c r="G427" s="1044"/>
      <c r="H427" s="1044"/>
      <c r="I427" s="1044"/>
      <c r="J427" s="1044"/>
    </row>
    <row r="428" spans="1:10" ht="14">
      <c r="A428" s="233"/>
      <c r="C428" s="1034" t="s">
        <v>1349</v>
      </c>
      <c r="D428" s="1044"/>
      <c r="E428" s="448"/>
      <c r="F428" s="806"/>
      <c r="G428" s="1036" t="s">
        <v>1331</v>
      </c>
      <c r="H428" s="1044"/>
      <c r="I428" s="1044"/>
      <c r="J428" s="1044"/>
    </row>
    <row r="429" spans="1:10" ht="14">
      <c r="A429" s="2">
        <f>A426+1</f>
        <v>265</v>
      </c>
      <c r="C429" s="1037" t="s">
        <v>1332</v>
      </c>
      <c r="D429" s="1044"/>
      <c r="E429" s="1045"/>
      <c r="F429" s="1046" t="s">
        <v>1333</v>
      </c>
      <c r="G429" s="1050" t="s">
        <v>1350</v>
      </c>
      <c r="H429" s="1044"/>
      <c r="I429" s="1044"/>
      <c r="J429" s="1044"/>
    </row>
    <row r="430" spans="1:10" ht="14">
      <c r="A430" s="2">
        <f>A429+1</f>
        <v>266</v>
      </c>
      <c r="C430" s="1047" t="s">
        <v>1335</v>
      </c>
      <c r="D430" s="1044"/>
      <c r="E430" s="1048"/>
      <c r="F430" s="1049">
        <v>0</v>
      </c>
      <c r="G430" s="1051" t="s">
        <v>389</v>
      </c>
      <c r="H430" s="1044"/>
      <c r="I430" s="1044"/>
      <c r="J430" s="1044"/>
    </row>
    <row r="431" spans="1:10" ht="14">
      <c r="A431" s="2">
        <f>A430+1</f>
        <v>267</v>
      </c>
      <c r="C431" s="1047" t="s">
        <v>1337</v>
      </c>
      <c r="D431" s="1044"/>
      <c r="E431" s="1045"/>
      <c r="F431" s="1046" t="s">
        <v>1333</v>
      </c>
      <c r="G431" s="1050" t="s">
        <v>1350</v>
      </c>
      <c r="H431" s="1044"/>
      <c r="I431" s="1044"/>
      <c r="J431" s="1044"/>
    </row>
    <row r="432" spans="1:10" ht="14">
      <c r="A432" s="233"/>
      <c r="C432" s="1044"/>
      <c r="D432" s="1044"/>
      <c r="E432" s="1044"/>
      <c r="F432" s="1046"/>
      <c r="G432" s="1044"/>
      <c r="H432" s="1044"/>
      <c r="I432" s="1044"/>
      <c r="J432" s="1044"/>
    </row>
    <row r="433" spans="1:10" ht="14">
      <c r="A433" s="233"/>
      <c r="C433" s="1034" t="s">
        <v>1351</v>
      </c>
      <c r="D433" s="1044"/>
      <c r="E433" s="448"/>
      <c r="F433" s="806"/>
      <c r="G433" s="1036" t="s">
        <v>1331</v>
      </c>
      <c r="H433" s="1044"/>
      <c r="I433" s="1044"/>
      <c r="J433" s="1044"/>
    </row>
    <row r="434" spans="1:10" ht="14">
      <c r="A434" s="2">
        <f>A431+1</f>
        <v>268</v>
      </c>
      <c r="C434" s="1037" t="s">
        <v>1332</v>
      </c>
      <c r="D434" s="1044"/>
      <c r="E434" s="1045"/>
      <c r="F434" s="1046" t="s">
        <v>1333</v>
      </c>
      <c r="G434" s="1050" t="s">
        <v>1350</v>
      </c>
      <c r="H434" s="1044"/>
      <c r="I434" s="448"/>
      <c r="J434" s="448"/>
    </row>
    <row r="435" spans="1:10" ht="14">
      <c r="A435" s="2">
        <f>A434+1</f>
        <v>269</v>
      </c>
      <c r="C435" s="1047" t="s">
        <v>1335</v>
      </c>
      <c r="D435" s="1044"/>
      <c r="E435" s="1048"/>
      <c r="F435" s="1049">
        <v>0</v>
      </c>
      <c r="G435" s="1051" t="s">
        <v>389</v>
      </c>
      <c r="H435" s="1044"/>
      <c r="I435" s="448"/>
      <c r="J435" s="448"/>
    </row>
    <row r="436" spans="1:10" ht="14">
      <c r="A436" s="2">
        <f>A435+1</f>
        <v>270</v>
      </c>
      <c r="C436" s="1047" t="s">
        <v>1337</v>
      </c>
      <c r="D436" s="1044"/>
      <c r="E436" s="1045"/>
      <c r="F436" s="1046" t="s">
        <v>1333</v>
      </c>
      <c r="G436" s="1050" t="s">
        <v>1350</v>
      </c>
      <c r="H436" s="1044"/>
      <c r="I436" s="448"/>
      <c r="J436" s="448"/>
    </row>
    <row r="437" spans="1:10" ht="14">
      <c r="A437" s="233"/>
      <c r="C437" s="1047"/>
      <c r="D437" s="1044"/>
      <c r="E437" s="1048"/>
      <c r="F437" s="1049"/>
      <c r="G437" s="448"/>
      <c r="H437" s="1044"/>
      <c r="I437" s="448"/>
      <c r="J437" s="448"/>
    </row>
    <row r="438" spans="1:10" ht="14">
      <c r="A438" s="233"/>
      <c r="C438" s="1034" t="s">
        <v>1352</v>
      </c>
      <c r="D438" s="1044"/>
      <c r="E438" s="448"/>
      <c r="F438" s="806"/>
      <c r="G438" s="1036" t="s">
        <v>1331</v>
      </c>
      <c r="H438" s="1044"/>
      <c r="I438" s="448"/>
      <c r="J438" s="448"/>
    </row>
    <row r="439" spans="1:10" ht="14">
      <c r="A439" s="2">
        <f>A436+1</f>
        <v>271</v>
      </c>
      <c r="C439" s="1037" t="s">
        <v>1332</v>
      </c>
      <c r="D439" s="1044"/>
      <c r="E439" s="1045"/>
      <c r="F439" s="1046" t="s">
        <v>1333</v>
      </c>
      <c r="G439" s="448" t="s">
        <v>1353</v>
      </c>
      <c r="H439" s="1044"/>
      <c r="I439" s="448"/>
      <c r="J439" s="448"/>
    </row>
    <row r="440" spans="1:10" ht="14">
      <c r="A440" s="2">
        <f>A439+1</f>
        <v>272</v>
      </c>
      <c r="C440" s="1047" t="s">
        <v>1335</v>
      </c>
      <c r="D440" s="1044"/>
      <c r="E440" s="1048"/>
      <c r="F440" s="1049">
        <v>0</v>
      </c>
      <c r="G440" s="448" t="s">
        <v>1354</v>
      </c>
      <c r="H440" s="1044"/>
      <c r="I440" s="448"/>
      <c r="J440" s="448"/>
    </row>
    <row r="441" spans="1:10" ht="14">
      <c r="A441" s="2">
        <f>A440+1</f>
        <v>273</v>
      </c>
      <c r="C441" s="1047" t="s">
        <v>1337</v>
      </c>
      <c r="D441" s="1044"/>
      <c r="E441" s="1045"/>
      <c r="F441" s="1046" t="s">
        <v>1333</v>
      </c>
      <c r="G441" s="448" t="s">
        <v>1355</v>
      </c>
      <c r="H441" s="1044"/>
      <c r="I441" s="448"/>
      <c r="J441" s="448"/>
    </row>
    <row r="442" spans="1:10" ht="14">
      <c r="A442" s="233"/>
      <c r="C442" s="1044"/>
      <c r="D442" s="1044"/>
      <c r="E442" s="1044"/>
      <c r="F442" s="1046"/>
      <c r="G442" s="1044"/>
      <c r="H442" s="1044"/>
      <c r="I442" s="1044"/>
      <c r="J442" s="1044"/>
    </row>
    <row r="443" spans="1:10" ht="14">
      <c r="A443" s="233"/>
      <c r="C443" s="1034" t="s">
        <v>1356</v>
      </c>
      <c r="D443" s="1044"/>
      <c r="E443" s="448"/>
      <c r="F443" s="806"/>
      <c r="G443" s="1036" t="s">
        <v>1331</v>
      </c>
      <c r="H443" s="1044"/>
      <c r="I443" s="1044"/>
      <c r="J443" s="1044"/>
    </row>
    <row r="444" spans="1:10" ht="14">
      <c r="A444" s="2">
        <f>A441+1</f>
        <v>274</v>
      </c>
      <c r="C444" s="1037" t="s">
        <v>1332</v>
      </c>
      <c r="D444" s="1044"/>
      <c r="E444" s="1045"/>
      <c r="F444" s="1046" t="s">
        <v>1333</v>
      </c>
      <c r="G444" s="1050" t="s">
        <v>1350</v>
      </c>
      <c r="H444" s="1044"/>
      <c r="I444" s="1044"/>
      <c r="J444" s="1044"/>
    </row>
    <row r="445" spans="1:10" ht="14">
      <c r="A445" s="2">
        <f>A444+1</f>
        <v>275</v>
      </c>
      <c r="C445" s="1047" t="s">
        <v>1335</v>
      </c>
      <c r="D445" s="1044"/>
      <c r="E445" s="1048"/>
      <c r="F445" s="1049">
        <v>0</v>
      </c>
      <c r="G445" s="1051" t="s">
        <v>389</v>
      </c>
      <c r="H445" s="1044"/>
      <c r="I445" s="1044"/>
      <c r="J445" s="1044"/>
    </row>
    <row r="446" spans="1:10" ht="14">
      <c r="A446" s="2">
        <f>A445+1</f>
        <v>276</v>
      </c>
      <c r="C446" s="1047" t="s">
        <v>1337</v>
      </c>
      <c r="D446" s="1044"/>
      <c r="E446" s="1045"/>
      <c r="F446" s="1046" t="s">
        <v>1333</v>
      </c>
      <c r="G446" s="1050" t="s">
        <v>1350</v>
      </c>
      <c r="H446" s="1044"/>
      <c r="I446" s="1044"/>
      <c r="J446" s="1044"/>
    </row>
    <row r="447" spans="1:10" ht="14">
      <c r="A447" s="233"/>
      <c r="C447" s="1044"/>
      <c r="D447" s="1044"/>
      <c r="E447" s="1044"/>
      <c r="F447" s="1046"/>
      <c r="G447" s="1044"/>
      <c r="H447" s="1044"/>
      <c r="I447" s="1044"/>
      <c r="J447" s="1044"/>
    </row>
    <row r="448" spans="1:10" ht="14">
      <c r="A448" s="233"/>
      <c r="C448" s="1034" t="s">
        <v>1357</v>
      </c>
      <c r="D448" s="1044"/>
      <c r="E448" s="448"/>
      <c r="F448" s="806"/>
      <c r="G448" s="1036" t="s">
        <v>1331</v>
      </c>
      <c r="H448" s="1044"/>
      <c r="I448" s="1044"/>
      <c r="J448" s="1044"/>
    </row>
    <row r="449" spans="1:10" ht="14">
      <c r="A449" s="2">
        <f>A446+1</f>
        <v>277</v>
      </c>
      <c r="C449" s="1037" t="s">
        <v>1332</v>
      </c>
      <c r="D449" s="1044"/>
      <c r="E449" s="1045"/>
      <c r="F449" s="1046" t="s">
        <v>1333</v>
      </c>
      <c r="G449" s="1050" t="s">
        <v>1350</v>
      </c>
      <c r="H449" s="1044"/>
      <c r="I449" s="1044"/>
      <c r="J449" s="1044"/>
    </row>
    <row r="450" spans="1:10" ht="14">
      <c r="A450" s="2">
        <f>A449+1</f>
        <v>278</v>
      </c>
      <c r="C450" s="1047" t="s">
        <v>1335</v>
      </c>
      <c r="D450" s="1044"/>
      <c r="E450" s="1048"/>
      <c r="F450" s="1049">
        <v>0</v>
      </c>
      <c r="G450" s="1051" t="s">
        <v>389</v>
      </c>
      <c r="H450" s="1044"/>
      <c r="I450" s="1044"/>
      <c r="J450" s="1044"/>
    </row>
    <row r="451" spans="1:10" ht="14">
      <c r="A451" s="2">
        <f>A450+1</f>
        <v>279</v>
      </c>
      <c r="C451" s="1047" t="s">
        <v>1337</v>
      </c>
      <c r="D451" s="1044"/>
      <c r="E451" s="1045"/>
      <c r="F451" s="1046" t="s">
        <v>1333</v>
      </c>
      <c r="G451" s="1050" t="s">
        <v>1350</v>
      </c>
      <c r="H451" s="1044"/>
      <c r="I451" s="1044"/>
      <c r="J451" s="1044"/>
    </row>
    <row r="452" spans="1:10" ht="14">
      <c r="A452" s="233"/>
      <c r="C452" s="1044"/>
      <c r="D452" s="1044"/>
      <c r="E452" s="1044"/>
      <c r="F452" s="1046"/>
      <c r="G452" s="1044"/>
      <c r="H452" s="1044"/>
      <c r="I452" s="1044"/>
      <c r="J452" s="1044"/>
    </row>
    <row r="453" spans="1:10" ht="14">
      <c r="A453" s="233"/>
      <c r="C453" s="1052" t="s">
        <v>1358</v>
      </c>
      <c r="D453" s="1044"/>
      <c r="E453" s="1044"/>
      <c r="F453" s="1044"/>
      <c r="G453" s="1036" t="s">
        <v>1331</v>
      </c>
      <c r="H453" s="1044"/>
      <c r="I453" s="1044"/>
      <c r="J453" s="1044"/>
    </row>
    <row r="454" spans="1:10" ht="14">
      <c r="A454" s="2">
        <f>A451+1</f>
        <v>280</v>
      </c>
      <c r="C454" s="1037" t="s">
        <v>1332</v>
      </c>
      <c r="D454" s="1044"/>
      <c r="E454" s="1044"/>
      <c r="F454" s="448" t="s">
        <v>1333</v>
      </c>
      <c r="G454" s="448" t="s">
        <v>1359</v>
      </c>
      <c r="H454" s="1044"/>
      <c r="I454" s="1044"/>
      <c r="J454" s="1044"/>
    </row>
    <row r="455" spans="1:10" ht="14">
      <c r="A455" s="2">
        <f>A454+1</f>
        <v>281</v>
      </c>
      <c r="C455" s="1047" t="s">
        <v>1335</v>
      </c>
      <c r="D455" s="1044"/>
      <c r="E455" s="1044"/>
      <c r="F455" s="1049">
        <v>0</v>
      </c>
      <c r="G455" s="1051" t="s">
        <v>389</v>
      </c>
      <c r="H455" s="1044"/>
      <c r="I455" s="1044"/>
      <c r="J455" s="1044"/>
    </row>
    <row r="456" spans="1:10" ht="14">
      <c r="A456" s="2">
        <f>A455+1</f>
        <v>282</v>
      </c>
      <c r="C456" s="1047" t="s">
        <v>1337</v>
      </c>
      <c r="D456" s="1044"/>
      <c r="E456" s="1044"/>
      <c r="F456" s="448" t="s">
        <v>1023</v>
      </c>
      <c r="G456" s="1051" t="s">
        <v>389</v>
      </c>
      <c r="H456" s="1044"/>
      <c r="I456" s="1044"/>
      <c r="J456" s="1044"/>
    </row>
    <row r="457" spans="1:10" ht="14">
      <c r="A457" s="233"/>
      <c r="C457" s="1044"/>
      <c r="D457" s="1044"/>
      <c r="E457" s="1044"/>
      <c r="F457" s="1044"/>
      <c r="G457" s="1044"/>
      <c r="H457" s="1044"/>
      <c r="I457" s="1044"/>
      <c r="J457" s="1044"/>
    </row>
    <row r="458" spans="1:10" ht="14">
      <c r="A458" s="233"/>
      <c r="C458" s="1052" t="s">
        <v>1360</v>
      </c>
      <c r="D458" s="1044"/>
      <c r="E458" s="1044"/>
      <c r="F458" s="1044"/>
      <c r="G458" s="1036" t="s">
        <v>1331</v>
      </c>
      <c r="H458" s="1044"/>
      <c r="I458" s="1044"/>
      <c r="J458" s="1044"/>
    </row>
    <row r="459" spans="1:10" ht="14">
      <c r="A459" s="2">
        <f>A456+1</f>
        <v>283</v>
      </c>
      <c r="C459" s="1037" t="s">
        <v>1332</v>
      </c>
      <c r="D459" s="1044"/>
      <c r="E459" s="1044"/>
      <c r="F459" s="448" t="s">
        <v>1333</v>
      </c>
      <c r="G459" s="448" t="s">
        <v>1359</v>
      </c>
      <c r="H459" s="1044"/>
      <c r="I459" s="1044"/>
      <c r="J459" s="1044"/>
    </row>
    <row r="460" spans="1:10" ht="14">
      <c r="A460" s="2">
        <f>A459+1</f>
        <v>284</v>
      </c>
      <c r="C460" s="1047" t="s">
        <v>1335</v>
      </c>
      <c r="D460" s="1044"/>
      <c r="E460" s="1044"/>
      <c r="F460" s="1049">
        <v>0</v>
      </c>
      <c r="G460" s="1051" t="s">
        <v>389</v>
      </c>
      <c r="H460" s="1044"/>
      <c r="I460" s="1044"/>
      <c r="J460" s="1044"/>
    </row>
    <row r="461" spans="1:10" ht="14">
      <c r="A461" s="2">
        <f>A460+1</f>
        <v>285</v>
      </c>
      <c r="C461" s="1047" t="s">
        <v>1337</v>
      </c>
      <c r="D461" s="1044"/>
      <c r="E461" s="1044"/>
      <c r="F461" s="448" t="s">
        <v>1333</v>
      </c>
      <c r="G461" s="448" t="s">
        <v>1361</v>
      </c>
      <c r="H461" s="1044"/>
      <c r="I461" s="1044"/>
      <c r="J461" s="1044"/>
    </row>
    <row r="462" spans="1:10" ht="14">
      <c r="A462" s="233"/>
      <c r="C462" s="1044"/>
      <c r="D462" s="1044"/>
      <c r="E462" s="1044"/>
      <c r="F462" s="1044"/>
      <c r="G462" s="1044"/>
      <c r="H462" s="1044"/>
      <c r="I462" s="1044"/>
      <c r="J462" s="1044"/>
    </row>
    <row r="463" spans="1:10" ht="14">
      <c r="A463" s="233"/>
      <c r="C463" s="1052" t="s">
        <v>1362</v>
      </c>
      <c r="D463" s="1044"/>
      <c r="E463" s="1044"/>
      <c r="F463" s="1044"/>
      <c r="G463" s="1036" t="s">
        <v>1331</v>
      </c>
      <c r="H463" s="1044"/>
      <c r="I463" s="1044"/>
      <c r="J463" s="1044"/>
    </row>
    <row r="464" spans="1:10" ht="14">
      <c r="A464" s="2">
        <f>A461+1</f>
        <v>286</v>
      </c>
      <c r="C464" s="1037" t="s">
        <v>1332</v>
      </c>
      <c r="D464" s="1044"/>
      <c r="E464" s="1044"/>
      <c r="F464" s="448" t="s">
        <v>1333</v>
      </c>
      <c r="G464" s="448" t="s">
        <v>1359</v>
      </c>
      <c r="H464" s="1044"/>
      <c r="I464" s="1044"/>
      <c r="J464" s="1044"/>
    </row>
    <row r="465" spans="1:10" ht="14">
      <c r="A465" s="2">
        <f>A464+1</f>
        <v>287</v>
      </c>
      <c r="C465" s="1047" t="s">
        <v>1335</v>
      </c>
      <c r="D465" s="1044"/>
      <c r="E465" s="1044"/>
      <c r="F465" s="1049">
        <v>0</v>
      </c>
      <c r="G465" s="1051" t="s">
        <v>389</v>
      </c>
      <c r="H465" s="1044"/>
      <c r="I465" s="1044"/>
      <c r="J465" s="1044"/>
    </row>
    <row r="466" spans="1:10" ht="14">
      <c r="A466" s="2">
        <f>A465+1</f>
        <v>288</v>
      </c>
      <c r="C466" s="1047" t="s">
        <v>1337</v>
      </c>
      <c r="D466" s="1044"/>
      <c r="E466" s="1044"/>
      <c r="F466" s="448" t="s">
        <v>1333</v>
      </c>
      <c r="G466" s="448" t="s">
        <v>1361</v>
      </c>
      <c r="H466" s="1044"/>
      <c r="I466" s="1044"/>
      <c r="J466" s="1044"/>
    </row>
    <row r="467" spans="1:10" ht="13">
      <c r="A467" s="2"/>
      <c r="C467" s="1053"/>
      <c r="D467" s="1053"/>
      <c r="E467" s="1053"/>
      <c r="F467" s="1053"/>
      <c r="G467" s="1053"/>
      <c r="H467" s="1053"/>
      <c r="I467" s="1053"/>
      <c r="J467" s="1053"/>
    </row>
    <row r="468" spans="1:10" ht="14">
      <c r="A468" s="2"/>
      <c r="C468" s="1052" t="s">
        <v>1363</v>
      </c>
      <c r="D468" s="1044"/>
      <c r="E468" s="1044"/>
      <c r="F468" s="1044"/>
      <c r="G468" s="1036" t="s">
        <v>1331</v>
      </c>
      <c r="H468" s="1044"/>
      <c r="I468" s="1044"/>
      <c r="J468" s="1044"/>
    </row>
    <row r="469" spans="1:10" ht="14">
      <c r="A469" s="2">
        <f>A466+1</f>
        <v>289</v>
      </c>
      <c r="C469" s="1037" t="s">
        <v>1332</v>
      </c>
      <c r="D469" s="1044"/>
      <c r="E469" s="1044"/>
      <c r="F469" s="448" t="s">
        <v>1333</v>
      </c>
      <c r="G469" s="448" t="s">
        <v>1364</v>
      </c>
      <c r="H469" s="1044"/>
      <c r="I469" s="1044"/>
      <c r="J469" s="1044"/>
    </row>
    <row r="470" spans="1:10" ht="14">
      <c r="A470" s="2">
        <f t="shared" ref="A470:A471" si="55">A469+1</f>
        <v>290</v>
      </c>
      <c r="C470" s="1047" t="s">
        <v>1335</v>
      </c>
      <c r="D470" s="1044"/>
      <c r="E470" s="1044"/>
      <c r="F470" s="1049">
        <v>0</v>
      </c>
      <c r="G470" s="1051"/>
      <c r="H470" s="1044"/>
      <c r="I470" s="1044"/>
      <c r="J470" s="1044"/>
    </row>
    <row r="471" spans="1:10" ht="14">
      <c r="A471" s="2">
        <f t="shared" si="55"/>
        <v>291</v>
      </c>
      <c r="C471" s="1047" t="s">
        <v>1337</v>
      </c>
      <c r="D471" s="1044"/>
      <c r="E471" s="1044"/>
      <c r="F471" s="448" t="s">
        <v>1333</v>
      </c>
      <c r="G471" s="448" t="s">
        <v>1365</v>
      </c>
      <c r="H471" s="1044"/>
      <c r="I471" s="1044"/>
      <c r="J471" s="1044"/>
    </row>
    <row r="472" spans="1:10" ht="13">
      <c r="A472" s="2"/>
      <c r="C472" s="1053"/>
      <c r="D472" s="1053"/>
      <c r="E472" s="1053"/>
      <c r="F472" s="1053"/>
      <c r="G472" s="1053"/>
      <c r="H472" s="1053"/>
      <c r="I472" s="1053"/>
      <c r="J472" s="1053"/>
    </row>
    <row r="473" spans="1:10" ht="13">
      <c r="A473" s="2"/>
      <c r="B473" s="586"/>
      <c r="C473" s="1074" t="s">
        <v>1366</v>
      </c>
      <c r="D473" s="392"/>
      <c r="E473" s="392"/>
      <c r="F473" s="392"/>
      <c r="G473" s="105" t="s">
        <v>1331</v>
      </c>
      <c r="H473" s="392"/>
      <c r="I473" s="392"/>
      <c r="J473" s="392"/>
    </row>
    <row r="474" spans="1:10" ht="13">
      <c r="A474" s="2">
        <f>A471+1</f>
        <v>292</v>
      </c>
      <c r="B474" s="586"/>
      <c r="C474" s="264" t="s">
        <v>1332</v>
      </c>
      <c r="D474" s="240"/>
      <c r="E474" s="240"/>
      <c r="F474" s="448" t="s">
        <v>1333</v>
      </c>
      <c r="G474" s="240" t="s">
        <v>1367</v>
      </c>
      <c r="H474" s="240"/>
      <c r="I474" s="392"/>
      <c r="J474" s="392"/>
    </row>
    <row r="475" spans="1:10" ht="14">
      <c r="A475" s="2">
        <f t="shared" ref="A475:A476" si="56">A474+1</f>
        <v>293</v>
      </c>
      <c r="B475" s="586"/>
      <c r="C475" s="264" t="s">
        <v>1335</v>
      </c>
      <c r="D475" s="240"/>
      <c r="E475" s="240"/>
      <c r="F475" s="1075">
        <v>0</v>
      </c>
      <c r="G475" s="240"/>
      <c r="H475" s="240"/>
      <c r="I475" s="392"/>
      <c r="J475" s="392"/>
    </row>
    <row r="476" spans="1:10" ht="13">
      <c r="A476" s="2">
        <f t="shared" si="56"/>
        <v>294</v>
      </c>
      <c r="B476" s="586"/>
      <c r="C476" s="264" t="s">
        <v>1337</v>
      </c>
      <c r="D476" s="240"/>
      <c r="E476" s="240"/>
      <c r="F476" s="448" t="s">
        <v>1333</v>
      </c>
      <c r="G476" s="240" t="s">
        <v>1368</v>
      </c>
      <c r="H476" s="240"/>
      <c r="I476" s="392"/>
      <c r="J476" s="392"/>
    </row>
    <row r="477" spans="1:10" ht="13">
      <c r="A477" s="2"/>
      <c r="B477" s="586"/>
      <c r="C477" s="1056"/>
      <c r="D477" s="392"/>
      <c r="E477" s="392"/>
      <c r="F477" s="392"/>
      <c r="G477" s="392"/>
      <c r="H477" s="392"/>
      <c r="I477" s="392"/>
      <c r="J477" s="392"/>
    </row>
    <row r="478" spans="1:10" ht="13">
      <c r="A478" s="2"/>
      <c r="B478" s="586"/>
      <c r="C478" s="1074" t="s">
        <v>1369</v>
      </c>
      <c r="D478" s="240"/>
      <c r="E478" s="240"/>
      <c r="F478" s="240"/>
      <c r="G478" s="105" t="s">
        <v>1331</v>
      </c>
      <c r="H478" s="240"/>
      <c r="I478" s="392"/>
      <c r="J478" s="392"/>
    </row>
    <row r="479" spans="1:10" ht="13">
      <c r="A479" s="2">
        <f>A476+1</f>
        <v>295</v>
      </c>
      <c r="B479" s="586"/>
      <c r="C479" s="264" t="s">
        <v>1332</v>
      </c>
      <c r="D479" s="240"/>
      <c r="E479" s="240"/>
      <c r="F479" s="448" t="s">
        <v>1333</v>
      </c>
      <c r="G479" s="240" t="s">
        <v>1367</v>
      </c>
      <c r="H479" s="240"/>
      <c r="I479" s="392"/>
      <c r="J479" s="392"/>
    </row>
    <row r="480" spans="1:10" ht="14">
      <c r="A480" s="2">
        <f t="shared" ref="A480:A481" si="57">A479+1</f>
        <v>296</v>
      </c>
      <c r="B480" s="586"/>
      <c r="C480" s="264" t="s">
        <v>1335</v>
      </c>
      <c r="D480" s="240"/>
      <c r="E480" s="240"/>
      <c r="F480" s="1075">
        <v>0</v>
      </c>
      <c r="G480" s="240"/>
      <c r="H480" s="240"/>
      <c r="I480" s="392"/>
      <c r="J480" s="392"/>
    </row>
    <row r="481" spans="1:10" ht="13">
      <c r="A481" s="2">
        <f t="shared" si="57"/>
        <v>297</v>
      </c>
      <c r="B481" s="586"/>
      <c r="C481" s="264" t="s">
        <v>1337</v>
      </c>
      <c r="D481" s="240"/>
      <c r="E481" s="240"/>
      <c r="F481" s="448" t="s">
        <v>1333</v>
      </c>
      <c r="G481" s="240" t="s">
        <v>1368</v>
      </c>
      <c r="H481" s="240"/>
      <c r="I481" s="392"/>
      <c r="J481" s="392"/>
    </row>
    <row r="482" spans="1:10" ht="13">
      <c r="A482" s="2"/>
      <c r="B482" s="586"/>
      <c r="C482" s="1053"/>
      <c r="D482" s="1053"/>
      <c r="E482" s="1053"/>
      <c r="F482" s="1053"/>
      <c r="G482" s="1053"/>
      <c r="H482" s="1053"/>
      <c r="I482" s="1057"/>
      <c r="J482" s="1057"/>
    </row>
    <row r="483" spans="1:10" ht="13">
      <c r="A483" s="2"/>
      <c r="B483" s="586"/>
      <c r="C483" s="1074" t="s">
        <v>1370</v>
      </c>
      <c r="D483" s="240"/>
      <c r="E483" s="240"/>
      <c r="F483" s="240"/>
      <c r="G483" s="105" t="s">
        <v>1331</v>
      </c>
      <c r="H483" s="240"/>
      <c r="I483" s="392"/>
      <c r="J483" s="392"/>
    </row>
    <row r="484" spans="1:10" ht="13">
      <c r="A484" s="2">
        <f>A481+1</f>
        <v>298</v>
      </c>
      <c r="B484" s="586"/>
      <c r="C484" s="264" t="s">
        <v>1332</v>
      </c>
      <c r="D484" s="240"/>
      <c r="E484" s="240"/>
      <c r="F484" s="240"/>
      <c r="G484" s="240"/>
      <c r="H484" s="240"/>
      <c r="I484" s="392"/>
      <c r="J484" s="392"/>
    </row>
    <row r="485" spans="1:10" ht="13">
      <c r="A485" s="2">
        <f t="shared" ref="A485:A486" si="58">A484+1</f>
        <v>299</v>
      </c>
      <c r="B485" s="586"/>
      <c r="C485" s="264" t="s">
        <v>1335</v>
      </c>
      <c r="D485" s="240"/>
      <c r="E485" s="240"/>
      <c r="F485" s="240"/>
      <c r="G485" s="240"/>
      <c r="H485" s="240"/>
      <c r="I485" s="392"/>
      <c r="J485" s="392"/>
    </row>
    <row r="486" spans="1:10" ht="13">
      <c r="A486" s="2">
        <f t="shared" si="58"/>
        <v>300</v>
      </c>
      <c r="B486" s="586"/>
      <c r="C486" s="264" t="s">
        <v>1337</v>
      </c>
      <c r="D486" s="240"/>
      <c r="E486" s="240"/>
      <c r="F486" s="240"/>
      <c r="G486" s="240"/>
      <c r="H486" s="240"/>
      <c r="I486" s="392"/>
      <c r="J486" s="392"/>
    </row>
    <row r="487" spans="1:10">
      <c r="A487" s="54"/>
      <c r="B487" s="54"/>
      <c r="C487" s="54"/>
      <c r="D487" s="54"/>
      <c r="E487" s="54"/>
      <c r="F487" s="54"/>
      <c r="G487" s="54"/>
      <c r="H487" s="54"/>
      <c r="I487" s="54"/>
      <c r="J487" s="54"/>
    </row>
    <row r="488" spans="1:10">
      <c r="A488" s="54"/>
      <c r="B488" s="54"/>
      <c r="C488" s="54"/>
      <c r="D488" s="54"/>
      <c r="E488" s="54"/>
      <c r="F488" s="54"/>
      <c r="G488" s="54"/>
      <c r="H488" s="54"/>
      <c r="I488" s="54"/>
      <c r="J488" s="54"/>
    </row>
    <row r="489" spans="1:10">
      <c r="A489" s="54"/>
      <c r="B489" s="54"/>
      <c r="C489" s="1065" t="s">
        <v>639</v>
      </c>
      <c r="D489" s="54"/>
      <c r="E489" s="54"/>
      <c r="F489" s="54"/>
      <c r="G489" s="54"/>
      <c r="H489" s="54"/>
      <c r="I489" s="54"/>
      <c r="J489" s="54"/>
    </row>
    <row r="490" spans="1:10" ht="13">
      <c r="B490" s="47" t="s">
        <v>442</v>
      </c>
    </row>
    <row r="491" spans="1:10">
      <c r="C491" s="233" t="s">
        <v>1371</v>
      </c>
    </row>
    <row r="492" spans="1:10">
      <c r="C492" t="s">
        <v>1372</v>
      </c>
    </row>
  </sheetData>
  <phoneticPr fontId="26" type="noConversion"/>
  <pageMargins left="0.75" right="0.75" top="1" bottom="0.75" header="0.5" footer="0.5"/>
  <pageSetup scale="52" fitToHeight="0" orientation="portrait" cellComments="asDisplayed" r:id="rId1"/>
  <headerFooter alignWithMargins="0">
    <oddHeader>&amp;CSchedule 14
Incentive Plant
&amp;RTO2027 Draft Annual Update 
Attachment 1</oddHeader>
    <oddFooter>&amp;R&amp;A</oddFooter>
  </headerFooter>
  <rowBreaks count="5" manualBreakCount="5">
    <brk id="88" max="9" man="1"/>
    <brk id="173" max="9" man="1"/>
    <brk id="248" max="9" man="1"/>
    <brk id="325" max="9" man="1"/>
    <brk id="401"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1373</v>
      </c>
      <c r="B1" s="1"/>
    </row>
    <row r="2" spans="1:9" ht="13">
      <c r="A2" s="1"/>
      <c r="B2" s="1"/>
      <c r="G2" s="264" t="s">
        <v>1171</v>
      </c>
      <c r="H2" s="264"/>
    </row>
    <row r="3" spans="1:9" ht="13">
      <c r="A3" s="1"/>
      <c r="B3" s="233" t="s">
        <v>1374</v>
      </c>
    </row>
    <row r="4" spans="1:9" ht="13">
      <c r="A4" s="1"/>
      <c r="B4" s="232" t="s">
        <v>1375</v>
      </c>
    </row>
    <row r="5" spans="1:9" ht="13">
      <c r="A5" s="1"/>
      <c r="B5" s="232" t="s">
        <v>1376</v>
      </c>
    </row>
    <row r="7" spans="1:9" ht="13.5" customHeight="1">
      <c r="B7" s="1" t="s">
        <v>1377</v>
      </c>
    </row>
    <row r="8" spans="1:9" ht="13">
      <c r="A8" s="1"/>
      <c r="B8" s="1"/>
    </row>
    <row r="9" spans="1:9" ht="13">
      <c r="A9" s="1"/>
      <c r="B9" s="1"/>
      <c r="C9" s="233" t="s">
        <v>1378</v>
      </c>
    </row>
    <row r="10" spans="1:9" ht="13">
      <c r="A10" s="1"/>
      <c r="B10" s="1"/>
      <c r="C10" s="233" t="s">
        <v>1379</v>
      </c>
    </row>
    <row r="11" spans="1:9" ht="13">
      <c r="A11" s="1"/>
      <c r="B11" s="1"/>
      <c r="C11" s="233"/>
    </row>
    <row r="12" spans="1:9" ht="13">
      <c r="A12" s="1"/>
      <c r="B12" s="1"/>
      <c r="C12" s="233" t="s">
        <v>1380</v>
      </c>
    </row>
    <row r="13" spans="1:9" ht="13">
      <c r="A13" s="1"/>
      <c r="B13" s="1"/>
    </row>
    <row r="14" spans="1:9" ht="13">
      <c r="A14" s="30" t="s">
        <v>282</v>
      </c>
      <c r="B14" s="1"/>
      <c r="C14" s="233" t="s">
        <v>287</v>
      </c>
      <c r="G14" s="62" t="s">
        <v>105</v>
      </c>
      <c r="I14" s="3" t="s">
        <v>684</v>
      </c>
    </row>
    <row r="15" spans="1:9" ht="13">
      <c r="A15" s="2">
        <v>1</v>
      </c>
      <c r="B15" s="1"/>
      <c r="C15" s="232" t="s">
        <v>1381</v>
      </c>
      <c r="G15" s="7">
        <f>'1-BaseTRR'!K82</f>
        <v>0.47499999999999998</v>
      </c>
      <c r="I15" s="233" t="str">
        <f>"1-BaseTRR, L "&amp;'1-BaseTRR'!A82&amp;""</f>
        <v>1-BaseTRR, L 47</v>
      </c>
    </row>
    <row r="16" spans="1:9" ht="13">
      <c r="A16" s="2">
        <v>2</v>
      </c>
      <c r="B16" s="1"/>
      <c r="C16" s="232" t="s">
        <v>197</v>
      </c>
      <c r="G16" s="7">
        <f>'1-BaseTRR'!K104</f>
        <v>0.27983599999999997</v>
      </c>
      <c r="I16" s="233" t="str">
        <f>"1-BaseTRR, L "&amp;'1-BaseTRR'!A104&amp;""</f>
        <v>1-BaseTRR, L 59</v>
      </c>
    </row>
    <row r="17" spans="1:9" ht="13">
      <c r="A17" s="2">
        <v>3</v>
      </c>
      <c r="B17" s="1"/>
      <c r="F17" s="231" t="s">
        <v>1382</v>
      </c>
      <c r="G17" s="6">
        <f>G15*(1/(1-G16))* 10000</f>
        <v>6595.7198638087975</v>
      </c>
      <c r="I17" s="233" t="s">
        <v>1383</v>
      </c>
    </row>
    <row r="19" spans="1:9" ht="13">
      <c r="B19" s="1" t="s">
        <v>1384</v>
      </c>
    </row>
    <row r="20" spans="1:9" ht="13">
      <c r="A20" s="1"/>
      <c r="B20" s="1"/>
      <c r="C20" s="233" t="s">
        <v>1385</v>
      </c>
    </row>
    <row r="21" spans="1:9" ht="13">
      <c r="A21" s="1"/>
      <c r="B21" s="1"/>
      <c r="C21" s="233" t="s">
        <v>1386</v>
      </c>
    </row>
    <row r="22" spans="1:9" ht="13">
      <c r="A22" s="1"/>
      <c r="B22" s="1"/>
    </row>
    <row r="23" spans="1:9" ht="13">
      <c r="A23" s="1"/>
      <c r="B23" s="1"/>
      <c r="F23" s="2" t="s">
        <v>1387</v>
      </c>
    </row>
    <row r="24" spans="1:9" ht="13">
      <c r="A24" s="30" t="s">
        <v>282</v>
      </c>
      <c r="B24" s="30"/>
      <c r="E24" s="3" t="s">
        <v>1388</v>
      </c>
      <c r="F24" s="3" t="s">
        <v>1389</v>
      </c>
      <c r="G24" s="3" t="s">
        <v>684</v>
      </c>
    </row>
    <row r="25" spans="1:9" ht="13">
      <c r="A25" s="2">
        <f>A17+1</f>
        <v>4</v>
      </c>
      <c r="B25" s="2"/>
      <c r="C25" t="s">
        <v>1280</v>
      </c>
      <c r="E25" s="26">
        <f>'14-IncentivePlant'!F407</f>
        <v>7.4999999999999997E-3</v>
      </c>
      <c r="F25" s="55">
        <f>E25/0.01</f>
        <v>0.75</v>
      </c>
      <c r="G25" s="232" t="str">
        <f>"14-IncentivePlant, L "&amp;'14-IncentivePlant'!A407&amp;""</f>
        <v>14-IncentivePlant, L 251</v>
      </c>
    </row>
    <row r="26" spans="1:9" ht="13">
      <c r="A26" s="2">
        <f>A25+1</f>
        <v>5</v>
      </c>
      <c r="B26" s="2"/>
      <c r="C26" t="s">
        <v>1281</v>
      </c>
      <c r="E26" s="26">
        <f>'14-IncentivePlant'!F412</f>
        <v>1.2500000000000001E-2</v>
      </c>
      <c r="F26" s="55">
        <f>E26/0.01</f>
        <v>1.25</v>
      </c>
      <c r="G26" s="232" t="str">
        <f>"14-IncentivePlant, L "&amp;'14-IncentivePlant'!A412&amp;""</f>
        <v>14-IncentivePlant, L 254</v>
      </c>
    </row>
    <row r="27" spans="1:9" ht="13">
      <c r="A27" s="2">
        <f>A26+1</f>
        <v>6</v>
      </c>
      <c r="B27" s="2"/>
      <c r="C27" s="233" t="s">
        <v>1390</v>
      </c>
      <c r="E27" s="26">
        <f>'14-IncentivePlant'!F417</f>
        <v>0.01</v>
      </c>
      <c r="F27" s="55">
        <f>E27/0.01</f>
        <v>1</v>
      </c>
      <c r="G27" s="232" t="str">
        <f>"14-IncentivePlant, L "&amp;'14-IncentivePlant'!A417&amp;""</f>
        <v>14-IncentivePlant, L 257</v>
      </c>
    </row>
    <row r="28" spans="1:9" ht="13">
      <c r="A28" s="2">
        <f>A27+1</f>
        <v>7</v>
      </c>
      <c r="B28" s="2"/>
      <c r="C28" s="240"/>
      <c r="D28" s="54"/>
      <c r="E28" s="26"/>
      <c r="F28" s="55"/>
    </row>
    <row r="29" spans="1:9" ht="13">
      <c r="A29" s="2">
        <f>A28+1</f>
        <v>8</v>
      </c>
      <c r="B29" s="2"/>
      <c r="C29" s="248" t="s">
        <v>639</v>
      </c>
      <c r="E29" s="26"/>
      <c r="F29" s="55"/>
    </row>
    <row r="31" spans="1:9" ht="13">
      <c r="B31" s="1" t="s">
        <v>1391</v>
      </c>
    </row>
    <row r="32" spans="1:9" ht="13">
      <c r="A32" s="1"/>
      <c r="B32" s="1"/>
      <c r="C32" s="233" t="s">
        <v>1392</v>
      </c>
    </row>
    <row r="33" spans="1:9" ht="13">
      <c r="A33" s="1"/>
      <c r="B33" s="1"/>
      <c r="C33" s="233" t="s">
        <v>1393</v>
      </c>
    </row>
    <row r="34" spans="1:9" ht="13">
      <c r="A34" s="1"/>
      <c r="B34" s="1"/>
      <c r="C34" s="233" t="s">
        <v>1394</v>
      </c>
    </row>
    <row r="35" spans="1:9" ht="13">
      <c r="E35" s="2"/>
      <c r="G35" s="2"/>
    </row>
    <row r="36" spans="1:9" ht="13">
      <c r="E36" s="2" t="s">
        <v>921</v>
      </c>
      <c r="G36" s="2" t="s">
        <v>921</v>
      </c>
    </row>
    <row r="37" spans="1:9" ht="13">
      <c r="E37" s="2" t="s">
        <v>1260</v>
      </c>
      <c r="F37" s="2" t="s">
        <v>1387</v>
      </c>
      <c r="G37" s="2" t="s">
        <v>1260</v>
      </c>
    </row>
    <row r="38" spans="1:9" ht="13">
      <c r="A38" s="30" t="s">
        <v>282</v>
      </c>
      <c r="B38" s="30"/>
      <c r="E38" s="3" t="s">
        <v>126</v>
      </c>
      <c r="F38" s="3" t="s">
        <v>1389</v>
      </c>
      <c r="G38" s="3" t="s">
        <v>1395</v>
      </c>
      <c r="H38" s="3" t="s">
        <v>684</v>
      </c>
    </row>
    <row r="39" spans="1:9" ht="13">
      <c r="A39" s="2">
        <f>A29+1</f>
        <v>9</v>
      </c>
      <c r="B39" s="2"/>
      <c r="C39" t="s">
        <v>1280</v>
      </c>
      <c r="E39" s="6">
        <f>'14-IncentivePlant'!E49</f>
        <v>112319650.44015865</v>
      </c>
      <c r="F39" s="55">
        <f>F25</f>
        <v>0.75</v>
      </c>
      <c r="G39" s="6">
        <f>(E39/1000000)*(F39*$G$17)</f>
        <v>555621.71212816122</v>
      </c>
      <c r="H39" s="232" t="str">
        <f>"14-IncentivePlant, L "&amp;'14-IncentivePlant'!A49&amp;", Col. 1"</f>
        <v>14-IncentivePlant, L 16, Col. 1</v>
      </c>
    </row>
    <row r="40" spans="1:9" ht="13">
      <c r="A40" s="2">
        <f>A39+1</f>
        <v>10</v>
      </c>
      <c r="B40" s="2"/>
      <c r="C40" t="s">
        <v>1281</v>
      </c>
      <c r="E40" s="6">
        <f>'14-IncentivePlant'!E50</f>
        <v>2134446602.0773385</v>
      </c>
      <c r="F40" s="55">
        <f>F26</f>
        <v>1.25</v>
      </c>
      <c r="G40" s="6">
        <f>(E40/1000000)*(F40*$G$17)</f>
        <v>17597764.814450867</v>
      </c>
      <c r="H40" s="232" t="str">
        <f>"14-IncentivePlant, L "&amp;'14-IncentivePlant'!A50&amp;", Col. 1"</f>
        <v>14-IncentivePlant, L 17, Col. 1</v>
      </c>
    </row>
    <row r="41" spans="1:9" ht="13">
      <c r="A41" s="2">
        <f>A40+1</f>
        <v>11</v>
      </c>
      <c r="B41" s="2"/>
      <c r="C41" s="233" t="s">
        <v>1390</v>
      </c>
      <c r="E41" s="6">
        <f>'14-IncentivePlant'!E51</f>
        <v>533351738.80702853</v>
      </c>
      <c r="F41" s="55">
        <f>F27</f>
        <v>1</v>
      </c>
      <c r="G41" s="6">
        <f>(E41/1000000)*(F41*$G$17)</f>
        <v>3517838.6580464793</v>
      </c>
      <c r="H41" s="232" t="str">
        <f>"14-IncentivePlant, L "&amp;'14-IncentivePlant'!A51&amp;", Col. 1"</f>
        <v>14-IncentivePlant, L 18, Col. 1</v>
      </c>
    </row>
    <row r="42" spans="1:9" ht="13">
      <c r="A42" s="2">
        <f>A41+1</f>
        <v>12</v>
      </c>
      <c r="B42" s="2"/>
      <c r="C42" s="240"/>
      <c r="D42" s="54"/>
    </row>
    <row r="43" spans="1:9" ht="13">
      <c r="A43" s="2">
        <f>A42+1</f>
        <v>13</v>
      </c>
      <c r="B43" s="2"/>
      <c r="C43" s="248" t="s">
        <v>639</v>
      </c>
    </row>
    <row r="44" spans="1:9" ht="13">
      <c r="A44" s="2">
        <f>A43+1</f>
        <v>14</v>
      </c>
      <c r="F44" s="25" t="s">
        <v>1396</v>
      </c>
      <c r="G44" s="6">
        <f>SUM(G39:G42)</f>
        <v>21671225.18462551</v>
      </c>
      <c r="H44" s="232" t="s">
        <v>1397</v>
      </c>
    </row>
    <row r="45" spans="1:9">
      <c r="H45" s="232" t="s">
        <v>1398</v>
      </c>
      <c r="I45" s="6"/>
    </row>
    <row r="46" spans="1:9" ht="13">
      <c r="B46" s="1" t="s">
        <v>1399</v>
      </c>
    </row>
    <row r="47" spans="1:9" ht="13">
      <c r="A47" s="1"/>
      <c r="B47" s="1"/>
      <c r="C47" s="233" t="s">
        <v>1400</v>
      </c>
    </row>
    <row r="48" spans="1:9" ht="13">
      <c r="A48" s="1"/>
      <c r="B48" s="1"/>
      <c r="C48" s="233" t="s">
        <v>1401</v>
      </c>
    </row>
    <row r="49" spans="1:9" ht="13">
      <c r="A49" s="1"/>
      <c r="B49" s="1"/>
      <c r="C49" s="233" t="s">
        <v>1402</v>
      </c>
    </row>
    <row r="51" spans="1:9" ht="13">
      <c r="E51" s="2" t="s">
        <v>1403</v>
      </c>
      <c r="G51" s="2" t="s">
        <v>1403</v>
      </c>
    </row>
    <row r="52" spans="1:9" ht="13">
      <c r="E52" s="2" t="s">
        <v>1260</v>
      </c>
      <c r="F52" s="2" t="s">
        <v>1387</v>
      </c>
      <c r="G52" s="2" t="s">
        <v>1260</v>
      </c>
    </row>
    <row r="53" spans="1:9" ht="13">
      <c r="A53" s="30" t="s">
        <v>282</v>
      </c>
      <c r="B53" s="30"/>
      <c r="E53" s="3" t="s">
        <v>1312</v>
      </c>
      <c r="F53" s="3" t="s">
        <v>1389</v>
      </c>
      <c r="G53" s="3" t="s">
        <v>1395</v>
      </c>
      <c r="H53" s="3" t="s">
        <v>684</v>
      </c>
    </row>
    <row r="54" spans="1:9" ht="13">
      <c r="A54" s="2">
        <f>A44+1</f>
        <v>15</v>
      </c>
      <c r="B54" s="2"/>
      <c r="C54" t="s">
        <v>1280</v>
      </c>
      <c r="E54" s="6">
        <f>'14-IncentivePlant'!E63</f>
        <v>114689174.96088417</v>
      </c>
      <c r="F54" s="55">
        <f>F25</f>
        <v>0.75</v>
      </c>
      <c r="G54" s="6">
        <f>(E54/1000000)*(F54*$G$17)</f>
        <v>567343.25209000974</v>
      </c>
      <c r="H54" s="232" t="str">
        <f>"14-IncentivePlant, L "&amp;'14-IncentivePlant'!A63&amp;", Col. 1"</f>
        <v>14-IncentivePlant, L 22, Col. 1</v>
      </c>
    </row>
    <row r="55" spans="1:9" ht="13">
      <c r="A55" s="2">
        <f>A54+1</f>
        <v>16</v>
      </c>
      <c r="B55" s="2"/>
      <c r="C55" t="s">
        <v>1281</v>
      </c>
      <c r="E55" s="6">
        <f>'14-IncentivePlant'!E64</f>
        <v>2172792671.0583086</v>
      </c>
      <c r="F55" s="55">
        <f>F26</f>
        <v>1.25</v>
      </c>
      <c r="G55" s="6">
        <f>(E55/1000000)*(F55*$G$17)</f>
        <v>17913914.725546829</v>
      </c>
      <c r="H55" s="232" t="str">
        <f>"14-IncentivePlant, L "&amp;'14-IncentivePlant'!A64&amp;", Col. 1"</f>
        <v>14-IncentivePlant, L 23, Col. 1</v>
      </c>
    </row>
    <row r="56" spans="1:9" ht="13">
      <c r="A56" s="2">
        <f>A55+1</f>
        <v>17</v>
      </c>
      <c r="B56" s="2"/>
      <c r="C56" s="233" t="s">
        <v>1390</v>
      </c>
      <c r="E56" s="6">
        <f>'14-IncentivePlant'!E65</f>
        <v>543245138.5456171</v>
      </c>
      <c r="F56" s="55">
        <f>F27</f>
        <v>1</v>
      </c>
      <c r="G56" s="6">
        <f>(E56/1000000)*(F56*$G$17)</f>
        <v>3583092.7512228889</v>
      </c>
      <c r="H56" s="232" t="str">
        <f>"14-IncentivePlant, L "&amp;'14-IncentivePlant'!A65&amp;", Col. 1"</f>
        <v>14-IncentivePlant, L 24, Col. 1</v>
      </c>
    </row>
    <row r="57" spans="1:9" ht="13">
      <c r="A57" s="2">
        <f>A56+1</f>
        <v>18</v>
      </c>
      <c r="B57" s="2"/>
      <c r="C57" s="240"/>
      <c r="D57" s="54"/>
    </row>
    <row r="58" spans="1:9" ht="13">
      <c r="A58" s="2">
        <f>A57+1</f>
        <v>19</v>
      </c>
      <c r="B58" s="2"/>
      <c r="C58" s="248" t="s">
        <v>639</v>
      </c>
    </row>
    <row r="59" spans="1:9" ht="13">
      <c r="A59" s="2">
        <f>A58+1</f>
        <v>20</v>
      </c>
      <c r="F59" s="231" t="s">
        <v>1404</v>
      </c>
      <c r="G59" s="6">
        <f>SUM(G54:G57)</f>
        <v>22064350.72885973</v>
      </c>
      <c r="H59" s="232" t="s">
        <v>1397</v>
      </c>
    </row>
    <row r="60" spans="1:9">
      <c r="H60" s="232" t="s">
        <v>1398</v>
      </c>
      <c r="I60" s="6"/>
    </row>
    <row r="61" spans="1:9" ht="13">
      <c r="B61" s="1" t="s">
        <v>1405</v>
      </c>
    </row>
    <row r="63" spans="1:9" ht="13">
      <c r="C63" s="1" t="s">
        <v>1406</v>
      </c>
    </row>
    <row r="65" spans="1:7" ht="13">
      <c r="E65" s="2" t="s">
        <v>481</v>
      </c>
    </row>
    <row r="66" spans="1:7" ht="13">
      <c r="C66" s="2" t="s">
        <v>1260</v>
      </c>
      <c r="E66" s="2" t="s">
        <v>1277</v>
      </c>
    </row>
    <row r="67" spans="1:7" ht="13">
      <c r="A67" s="30" t="s">
        <v>282</v>
      </c>
      <c r="C67" s="3" t="s">
        <v>1175</v>
      </c>
      <c r="E67" s="3" t="s">
        <v>1279</v>
      </c>
      <c r="F67" s="3" t="s">
        <v>684</v>
      </c>
    </row>
    <row r="68" spans="1:7" ht="13">
      <c r="A68" s="2">
        <f>A59+1</f>
        <v>21</v>
      </c>
      <c r="C68" t="s">
        <v>1280</v>
      </c>
      <c r="E68" s="6">
        <f>'14-IncentivePlant'!G63</f>
        <v>114689174.96088417</v>
      </c>
      <c r="F68" s="232" t="str">
        <f>"14-IncentivePlant, L "&amp;'14-IncentivePlant'!A63&amp;", Col. 3"</f>
        <v>14-IncentivePlant, L 22, Col. 3</v>
      </c>
    </row>
    <row r="69" spans="1:7" ht="13">
      <c r="A69" s="2">
        <f t="shared" ref="A69:A71" si="0">A68+1</f>
        <v>22</v>
      </c>
      <c r="C69" t="s">
        <v>1281</v>
      </c>
      <c r="E69" s="6">
        <f>'14-IncentivePlant'!G64</f>
        <v>2172448136.4729238</v>
      </c>
      <c r="F69" s="232" t="str">
        <f>"14-IncentivePlant, L "&amp;'14-IncentivePlant'!A64&amp;", Col. 3"</f>
        <v>14-IncentivePlant, L 23, Col. 3</v>
      </c>
    </row>
    <row r="70" spans="1:7" ht="13">
      <c r="A70" s="2">
        <f t="shared" si="0"/>
        <v>23</v>
      </c>
      <c r="C70" s="233" t="s">
        <v>1390</v>
      </c>
      <c r="E70" s="6">
        <f>'14-IncentivePlant'!G65</f>
        <v>543245138.5456171</v>
      </c>
      <c r="F70" s="232" t="str">
        <f>"14-IncentivePlant, L "&amp;'14-IncentivePlant'!A65&amp;", Col. 3"</f>
        <v>14-IncentivePlant, L 24, Col. 3</v>
      </c>
    </row>
    <row r="71" spans="1:7" ht="13">
      <c r="A71" s="2">
        <f t="shared" si="0"/>
        <v>24</v>
      </c>
      <c r="C71" s="240"/>
      <c r="F71" s="232"/>
    </row>
    <row r="72" spans="1:7">
      <c r="C72" s="248" t="s">
        <v>639</v>
      </c>
    </row>
    <row r="73" spans="1:7">
      <c r="C73" s="248"/>
    </row>
    <row r="74" spans="1:7" ht="13">
      <c r="C74" s="1" t="s">
        <v>1407</v>
      </c>
    </row>
    <row r="75" spans="1:7" ht="13">
      <c r="C75" s="1"/>
    </row>
    <row r="76" spans="1:7" ht="13">
      <c r="E76" s="3" t="s">
        <v>345</v>
      </c>
      <c r="F76" s="3" t="s">
        <v>346</v>
      </c>
    </row>
    <row r="77" spans="1:7" ht="13">
      <c r="E77" s="3"/>
      <c r="F77" s="2" t="s">
        <v>1408</v>
      </c>
    </row>
    <row r="78" spans="1:7" ht="13">
      <c r="E78" s="2" t="s">
        <v>375</v>
      </c>
      <c r="F78" s="2" t="s">
        <v>375</v>
      </c>
    </row>
    <row r="79" spans="1:7" ht="13">
      <c r="C79" s="2" t="s">
        <v>1260</v>
      </c>
      <c r="E79" s="2" t="s">
        <v>1260</v>
      </c>
      <c r="F79" s="2" t="s">
        <v>1260</v>
      </c>
    </row>
    <row r="80" spans="1:7" ht="13">
      <c r="A80" s="30" t="s">
        <v>282</v>
      </c>
      <c r="C80" s="3" t="s">
        <v>1175</v>
      </c>
      <c r="E80" s="3" t="s">
        <v>1395</v>
      </c>
      <c r="F80" s="3" t="s">
        <v>1395</v>
      </c>
      <c r="G80" s="3" t="s">
        <v>684</v>
      </c>
    </row>
    <row r="81" spans="1:7" ht="13">
      <c r="A81" s="2">
        <f>A71+1</f>
        <v>25</v>
      </c>
      <c r="C81" t="s">
        <v>1280</v>
      </c>
      <c r="E81" s="6">
        <f>(E68/1000000)*(F54*$G$17)</f>
        <v>567343.25209000974</v>
      </c>
      <c r="F81" s="6">
        <f>E81*(1-$G$16)</f>
        <v>408580.18579814979</v>
      </c>
      <c r="G81" s="232" t="s">
        <v>590</v>
      </c>
    </row>
    <row r="82" spans="1:7" ht="13">
      <c r="A82" s="2">
        <f t="shared" ref="A82:A86" si="1">A81+1</f>
        <v>26</v>
      </c>
      <c r="C82" t="s">
        <v>1281</v>
      </c>
      <c r="E82" s="6">
        <f>(E69/1000000)*(F55*$G$17)</f>
        <v>17911074.158536088</v>
      </c>
      <c r="F82" s="6">
        <f>E82*(1-$G$16)</f>
        <v>12898910.810307983</v>
      </c>
      <c r="G82" s="232" t="s">
        <v>590</v>
      </c>
    </row>
    <row r="83" spans="1:7" ht="13">
      <c r="A83" s="2">
        <f t="shared" si="1"/>
        <v>27</v>
      </c>
      <c r="C83" s="233" t="s">
        <v>1390</v>
      </c>
      <c r="E83" s="6">
        <f>(E70/1000000)*(F56*$G$17)</f>
        <v>3583092.7512228889</v>
      </c>
      <c r="F83" s="6">
        <f>E83*(1-$G$16)</f>
        <v>2580414.4080916806</v>
      </c>
      <c r="G83" s="232" t="s">
        <v>590</v>
      </c>
    </row>
    <row r="84" spans="1:7" ht="13">
      <c r="A84" s="2">
        <f t="shared" si="1"/>
        <v>28</v>
      </c>
      <c r="C84" s="240"/>
      <c r="E84" s="6"/>
      <c r="F84" s="6"/>
      <c r="G84" s="232" t="s">
        <v>590</v>
      </c>
    </row>
    <row r="85" spans="1:7" ht="13">
      <c r="A85" s="2">
        <f t="shared" si="1"/>
        <v>29</v>
      </c>
      <c r="C85" s="248" t="s">
        <v>639</v>
      </c>
      <c r="E85" s="6"/>
      <c r="F85" s="6"/>
    </row>
    <row r="86" spans="1:7" ht="13">
      <c r="A86" s="2">
        <f t="shared" si="1"/>
        <v>30</v>
      </c>
      <c r="E86" s="231" t="s">
        <v>418</v>
      </c>
      <c r="F86" s="6">
        <f>SUM(F81:F85)</f>
        <v>15887905.404197814</v>
      </c>
    </row>
    <row r="88" spans="1:7" ht="13">
      <c r="C88" s="1" t="s">
        <v>1409</v>
      </c>
    </row>
    <row r="89" spans="1:7" ht="13">
      <c r="A89" s="30" t="s">
        <v>282</v>
      </c>
      <c r="F89" s="3" t="s">
        <v>81</v>
      </c>
      <c r="G89" s="3" t="s">
        <v>684</v>
      </c>
    </row>
    <row r="90" spans="1:7" ht="13">
      <c r="A90" s="2">
        <f>A86+1</f>
        <v>31</v>
      </c>
      <c r="E90" s="231" t="s">
        <v>1410</v>
      </c>
      <c r="F90" s="6">
        <f>'4-TUTRR'!J29</f>
        <v>7502958768.4915209</v>
      </c>
      <c r="G90" s="232" t="str">
        <f>"4-TUTRR, Line "&amp;'4-TUTRR'!A29&amp;""</f>
        <v>4-TUTRR, Line 18</v>
      </c>
    </row>
    <row r="91" spans="1:7" ht="13">
      <c r="A91" s="2">
        <f t="shared" ref="A91:A94" si="2">A90+1</f>
        <v>32</v>
      </c>
      <c r="E91" s="231" t="s">
        <v>1411</v>
      </c>
      <c r="F91" s="53">
        <f>'4-TUTRR'!J24</f>
        <v>216092574.80923074</v>
      </c>
      <c r="G91" s="232" t="str">
        <f>"4-TUTRR, Line "&amp;'4-TUTRR'!A24&amp;""</f>
        <v>4-TUTRR, Line 14</v>
      </c>
    </row>
    <row r="92" spans="1:7" ht="13">
      <c r="A92" s="2">
        <f t="shared" si="2"/>
        <v>33</v>
      </c>
      <c r="E92" s="231" t="s">
        <v>1412</v>
      </c>
      <c r="F92" s="6">
        <f>F90-F91</f>
        <v>7286866193.6822901</v>
      </c>
      <c r="G92" s="12" t="str">
        <f>"Line "&amp;A90&amp;" - Line "&amp;A91&amp;""</f>
        <v>Line 31 - Line 32</v>
      </c>
    </row>
    <row r="93" spans="1:7" ht="13">
      <c r="A93" s="2">
        <f t="shared" si="2"/>
        <v>34</v>
      </c>
      <c r="E93" s="231" t="s">
        <v>1413</v>
      </c>
      <c r="F93" s="7">
        <f>'1-BaseTRR'!K82</f>
        <v>0.47499999999999998</v>
      </c>
      <c r="G93" s="232" t="str">
        <f>"1-BaseTRR, Line "&amp;'1-BaseTRR'!A82&amp;""</f>
        <v>1-BaseTRR, Line 47</v>
      </c>
    </row>
    <row r="94" spans="1:7" ht="13">
      <c r="A94" s="2">
        <f t="shared" si="2"/>
        <v>35</v>
      </c>
      <c r="E94" s="231" t="s">
        <v>1414</v>
      </c>
      <c r="F94" s="6">
        <f>F92*F93</f>
        <v>3461261441.9990878</v>
      </c>
      <c r="G94" s="12" t="str">
        <f>"Line "&amp;A92&amp;" * Line "&amp;A93&amp;""</f>
        <v>Line 33 * Line 34</v>
      </c>
    </row>
    <row r="96" spans="1:7" ht="13">
      <c r="C96" s="1" t="s">
        <v>1415</v>
      </c>
    </row>
    <row r="97" spans="1:7" ht="13">
      <c r="A97" s="30" t="s">
        <v>282</v>
      </c>
    </row>
    <row r="98" spans="1:7" ht="13">
      <c r="A98" s="2">
        <f>A94+1</f>
        <v>36</v>
      </c>
      <c r="E98" s="231" t="s">
        <v>1416</v>
      </c>
      <c r="F98" s="26">
        <f>F86/F94</f>
        <v>4.5902066834401243E-3</v>
      </c>
      <c r="G98" s="12" t="str">
        <f>"Line "&amp;A86&amp;" / Line "&amp;A94&amp;""</f>
        <v>Line 30 / Line 35</v>
      </c>
    </row>
    <row r="99" spans="1:7" ht="13">
      <c r="A99" s="2">
        <f t="shared" ref="A99:A101" si="3">A98+1</f>
        <v>37</v>
      </c>
      <c r="E99" s="231" t="s">
        <v>1417</v>
      </c>
    </row>
    <row r="100" spans="1:7" ht="13">
      <c r="A100" s="2">
        <f t="shared" si="3"/>
        <v>38</v>
      </c>
      <c r="E100" s="231" t="s">
        <v>1418</v>
      </c>
      <c r="F100" s="249">
        <f>'1-BaseTRR'!K87</f>
        <v>0.10299999999999999</v>
      </c>
      <c r="G100" s="232" t="str">
        <f>"1-BaseTRR, Line "&amp;'1-BaseTRR'!A87&amp;""</f>
        <v>1-BaseTRR, Line 50</v>
      </c>
    </row>
    <row r="101" spans="1:7" ht="13">
      <c r="A101" s="2">
        <f t="shared" si="3"/>
        <v>39</v>
      </c>
      <c r="E101" s="231" t="s">
        <v>1419</v>
      </c>
      <c r="F101" s="26">
        <f>F98+F100</f>
        <v>0.10759020668344012</v>
      </c>
      <c r="G101" s="12" t="str">
        <f>"Line "&amp;A98&amp;" + Line "&amp;A100&amp;""</f>
        <v>Line 36 + Line 38</v>
      </c>
    </row>
    <row r="103" spans="1:7" ht="13">
      <c r="B103" s="1" t="s">
        <v>442</v>
      </c>
    </row>
    <row r="104" spans="1:7">
      <c r="B104" s="233" t="s">
        <v>1420</v>
      </c>
    </row>
    <row r="105" spans="1:7">
      <c r="B105" s="233" t="s">
        <v>1421</v>
      </c>
    </row>
    <row r="107" spans="1:7" ht="13">
      <c r="B107" s="1" t="s">
        <v>233</v>
      </c>
    </row>
    <row r="108" spans="1:7">
      <c r="B108" s="233" t="str">
        <f>"1) Column 1: The True Up Incentive Adder for each Incentive Project equals the IREF on Line "&amp;A17&amp;","</f>
        <v>1) Column 1: The True Up Incentive Adder for each Incentive Project equals the IREF on Line 3,</v>
      </c>
    </row>
    <row r="109" spans="1:7">
      <c r="B109" s="233" t="str">
        <f>"times the applicable Multiplicative Factor on Lines "&amp;A54&amp;" to "&amp;A57&amp;", times the million $ of"</f>
        <v>times the applicable Multiplicative Factor on Lines 15 to 18, times the million $ of</v>
      </c>
    </row>
    <row r="110" spans="1:7">
      <c r="B110" s="233" t="str">
        <f>"TIP Net Plant In Service on Lines "&amp;A68&amp;" to "&amp;A71&amp;"."</f>
        <v>TIP Net Plant In Service on Lines 21 to 24.</v>
      </c>
    </row>
    <row r="111" spans="1:7">
      <c r="B111" s="233" t="s">
        <v>1422</v>
      </c>
    </row>
    <row r="112" spans="1:7">
      <c r="B112" s="233" t="str">
        <f>"Column 1 by (1 - CTR) (Where the CTR is on Line "&amp;A16&amp;")."</f>
        <v>Column 1 by (1 - CTR) (Where the CTR is on Line 2).</v>
      </c>
    </row>
  </sheetData>
  <phoneticPr fontId="26" type="noConversion"/>
  <pageMargins left="0.75" right="0.75" top="1" bottom="1" header="0.5" footer="0.5"/>
  <pageSetup scale="75" orientation="portrait" cellComments="asDisplayed" r:id="rId1"/>
  <headerFooter alignWithMargins="0">
    <oddHeader>&amp;CSchedule 15
Incentive Adders
&amp;RTO2027 Draft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10"/>
  <sheetViews>
    <sheetView zoomScaleNormal="100" workbookViewId="0"/>
  </sheetViews>
  <sheetFormatPr defaultColWidth="9.453125" defaultRowHeight="12.5"/>
  <cols>
    <col min="1" max="1" width="4.54296875" style="303" customWidth="1"/>
    <col min="2" max="2" width="6" style="303" customWidth="1"/>
    <col min="3" max="3" width="15.54296875" style="303" customWidth="1"/>
    <col min="4" max="4" width="9.453125" style="303" customWidth="1"/>
    <col min="5" max="5" width="16" style="303" customWidth="1"/>
    <col min="6" max="6" width="14.54296875" style="303" customWidth="1"/>
    <col min="7" max="7" width="16" style="303" bestFit="1" customWidth="1"/>
    <col min="8" max="8" width="18.453125" style="303" customWidth="1"/>
    <col min="9" max="10" width="15.54296875" style="303" customWidth="1"/>
    <col min="11" max="11" width="16.54296875" style="303" customWidth="1"/>
    <col min="12" max="13" width="15.54296875" style="303" customWidth="1"/>
    <col min="14" max="14" width="17" style="303" customWidth="1"/>
    <col min="15" max="16" width="15.54296875" style="303" customWidth="1"/>
    <col min="17" max="17" width="2.54296875" style="303" customWidth="1"/>
    <col min="18" max="21" width="18.54296875" style="303" customWidth="1"/>
    <col min="22" max="22" width="15.54296875" style="303" customWidth="1"/>
    <col min="23" max="23" width="20.54296875" style="303" bestFit="1" customWidth="1"/>
    <col min="24" max="40" width="15.54296875" style="303" customWidth="1"/>
    <col min="41" max="16384" width="9.453125" style="303"/>
  </cols>
  <sheetData>
    <row r="1" spans="1:40" ht="13">
      <c r="A1" s="307" t="s">
        <v>1423</v>
      </c>
    </row>
    <row r="2" spans="1:40">
      <c r="F2" s="314" t="s">
        <v>1424</v>
      </c>
      <c r="G2" s="314"/>
    </row>
    <row r="3" spans="1:40">
      <c r="B3" s="303" t="s">
        <v>1425</v>
      </c>
    </row>
    <row r="4" spans="1:40">
      <c r="B4" s="303" t="s">
        <v>1426</v>
      </c>
    </row>
    <row r="5" spans="1:40">
      <c r="B5" s="303" t="s">
        <v>1427</v>
      </c>
    </row>
    <row r="7" spans="1:40" ht="13">
      <c r="B7" s="307" t="s">
        <v>1428</v>
      </c>
    </row>
    <row r="8" spans="1:40" ht="13">
      <c r="E8" s="335" t="s">
        <v>345</v>
      </c>
      <c r="F8" s="335" t="s">
        <v>346</v>
      </c>
      <c r="G8" s="335" t="s">
        <v>347</v>
      </c>
      <c r="H8" s="335" t="s">
        <v>348</v>
      </c>
      <c r="I8" s="335" t="s">
        <v>349</v>
      </c>
      <c r="J8" s="335" t="s">
        <v>350</v>
      </c>
      <c r="K8" s="335" t="s">
        <v>351</v>
      </c>
      <c r="L8" s="335" t="s">
        <v>352</v>
      </c>
      <c r="M8" s="335" t="s">
        <v>353</v>
      </c>
      <c r="N8" s="335" t="s">
        <v>603</v>
      </c>
      <c r="O8" s="335" t="s">
        <v>604</v>
      </c>
      <c r="P8" s="335" t="s">
        <v>605</v>
      </c>
      <c r="T8" s="335"/>
      <c r="U8" s="335"/>
      <c r="X8" s="328"/>
      <c r="Y8" s="328"/>
      <c r="Z8" s="328"/>
      <c r="AA8" s="328"/>
      <c r="AB8" s="328"/>
      <c r="AC8" s="328"/>
      <c r="AD8" s="328"/>
      <c r="AE8" s="328"/>
      <c r="AF8" s="328"/>
      <c r="AG8" s="328"/>
      <c r="AH8" s="328"/>
      <c r="AI8" s="328"/>
      <c r="AJ8" s="328"/>
      <c r="AK8" s="328"/>
      <c r="AL8" s="328"/>
      <c r="AM8" s="328"/>
      <c r="AN8" s="328"/>
    </row>
    <row r="9" spans="1:40">
      <c r="E9" s="336" t="s">
        <v>355</v>
      </c>
      <c r="F9" s="336" t="s">
        <v>355</v>
      </c>
      <c r="G9" s="336" t="s">
        <v>355</v>
      </c>
      <c r="H9" s="336" t="s">
        <v>355</v>
      </c>
      <c r="I9" s="336" t="s">
        <v>355</v>
      </c>
      <c r="J9" s="336" t="s">
        <v>355</v>
      </c>
      <c r="K9" s="336" t="s">
        <v>355</v>
      </c>
      <c r="L9" s="336" t="s">
        <v>355</v>
      </c>
      <c r="M9" s="336" t="s">
        <v>355</v>
      </c>
      <c r="N9" s="336" t="s">
        <v>355</v>
      </c>
      <c r="O9" s="336" t="s">
        <v>355</v>
      </c>
      <c r="P9" s="336" t="s">
        <v>355</v>
      </c>
      <c r="Q9" s="337"/>
    </row>
    <row r="10" spans="1:40" ht="13">
      <c r="C10" s="310" t="s">
        <v>1081</v>
      </c>
      <c r="E10" s="310" t="s">
        <v>1080</v>
      </c>
      <c r="F10" s="310"/>
      <c r="G10" s="310"/>
      <c r="H10" s="310"/>
      <c r="I10" s="310" t="s">
        <v>1429</v>
      </c>
      <c r="J10" s="310"/>
      <c r="K10" s="310"/>
      <c r="L10" s="310"/>
      <c r="M10" s="310"/>
      <c r="O10" s="310" t="s">
        <v>1080</v>
      </c>
      <c r="P10" s="310" t="s">
        <v>1430</v>
      </c>
      <c r="T10" s="310"/>
      <c r="U10" s="310"/>
      <c r="X10" s="310"/>
      <c r="Y10" s="310"/>
      <c r="Z10" s="310"/>
      <c r="AA10" s="310"/>
      <c r="AB10" s="310"/>
      <c r="AC10" s="310"/>
      <c r="AD10" s="310"/>
      <c r="AE10" s="310"/>
      <c r="AF10" s="310"/>
      <c r="AG10" s="310"/>
      <c r="AH10" s="310"/>
      <c r="AI10" s="310"/>
      <c r="AJ10" s="310"/>
      <c r="AK10" s="310"/>
      <c r="AL10" s="310"/>
      <c r="AM10" s="310"/>
      <c r="AN10" s="310"/>
    </row>
    <row r="11" spans="1:40" ht="13">
      <c r="B11" s="307"/>
      <c r="C11" s="310" t="s">
        <v>633</v>
      </c>
      <c r="E11" s="310" t="s">
        <v>252</v>
      </c>
      <c r="F11" s="310" t="s">
        <v>1084</v>
      </c>
      <c r="G11" s="310" t="s">
        <v>1085</v>
      </c>
      <c r="H11" s="310" t="s">
        <v>1431</v>
      </c>
      <c r="I11" s="310" t="s">
        <v>1432</v>
      </c>
      <c r="J11" s="310"/>
      <c r="K11" s="310" t="s">
        <v>1258</v>
      </c>
      <c r="L11" s="310" t="s">
        <v>40</v>
      </c>
      <c r="M11" s="310" t="s">
        <v>1258</v>
      </c>
      <c r="O11" s="310" t="s">
        <v>1433</v>
      </c>
      <c r="P11" s="310" t="s">
        <v>1433</v>
      </c>
      <c r="T11" s="310"/>
      <c r="U11" s="310"/>
      <c r="X11" s="310"/>
      <c r="Y11" s="310"/>
      <c r="Z11" s="310"/>
      <c r="AA11" s="310"/>
      <c r="AB11" s="310"/>
      <c r="AC11" s="310"/>
      <c r="AD11" s="310"/>
      <c r="AE11" s="310"/>
      <c r="AF11" s="310"/>
      <c r="AG11" s="310"/>
      <c r="AH11" s="310"/>
      <c r="AI11" s="310"/>
      <c r="AJ11" s="310"/>
      <c r="AK11" s="310"/>
      <c r="AL11" s="310"/>
      <c r="AM11" s="310"/>
      <c r="AN11" s="310"/>
    </row>
    <row r="12" spans="1:40" ht="13">
      <c r="A12" s="338" t="s">
        <v>282</v>
      </c>
      <c r="C12" s="328" t="s">
        <v>380</v>
      </c>
      <c r="D12" s="328" t="s">
        <v>381</v>
      </c>
      <c r="E12" s="328" t="s">
        <v>1090</v>
      </c>
      <c r="F12" s="328" t="s">
        <v>1091</v>
      </c>
      <c r="G12" s="328" t="s">
        <v>1092</v>
      </c>
      <c r="H12" s="328" t="s">
        <v>1434</v>
      </c>
      <c r="I12" s="328" t="s">
        <v>1435</v>
      </c>
      <c r="J12" s="328" t="s">
        <v>1429</v>
      </c>
      <c r="K12" s="328" t="s">
        <v>1436</v>
      </c>
      <c r="L12" s="328" t="s">
        <v>1437</v>
      </c>
      <c r="M12" s="328" t="s">
        <v>818</v>
      </c>
      <c r="N12" s="328" t="s">
        <v>1312</v>
      </c>
      <c r="O12" s="328" t="s">
        <v>1435</v>
      </c>
      <c r="P12" s="328" t="s">
        <v>1435</v>
      </c>
      <c r="T12" s="328"/>
      <c r="U12" s="328"/>
      <c r="V12" s="328"/>
      <c r="W12" s="328"/>
      <c r="X12" s="328"/>
      <c r="Y12" s="328"/>
      <c r="Z12" s="328"/>
      <c r="AA12" s="328"/>
      <c r="AB12" s="328"/>
      <c r="AC12" s="328"/>
      <c r="AD12" s="328"/>
      <c r="AE12" s="328"/>
      <c r="AF12" s="328"/>
      <c r="AG12" s="328"/>
      <c r="AH12" s="328"/>
      <c r="AI12" s="328"/>
      <c r="AJ12" s="328"/>
      <c r="AK12" s="328"/>
      <c r="AL12" s="328"/>
      <c r="AM12" s="328"/>
      <c r="AN12" s="328"/>
    </row>
    <row r="13" spans="1:40" ht="13">
      <c r="A13" s="310">
        <v>1</v>
      </c>
      <c r="C13" s="303" t="str">
        <f>C45</f>
        <v>January</v>
      </c>
      <c r="D13" s="479">
        <v>2026</v>
      </c>
      <c r="E13" s="305">
        <f t="shared" ref="E13:P13" si="0">E45+E76</f>
        <v>18457718.767957401</v>
      </c>
      <c r="F13" s="305">
        <f t="shared" si="0"/>
        <v>2402037.617718834</v>
      </c>
      <c r="G13" s="305">
        <f t="shared" si="0"/>
        <v>1204176.0862678925</v>
      </c>
      <c r="H13" s="305">
        <f t="shared" si="0"/>
        <v>1366464.906351317</v>
      </c>
      <c r="I13" s="305">
        <f t="shared" si="0"/>
        <v>15714346.423040144</v>
      </c>
      <c r="J13" s="305">
        <f t="shared" si="0"/>
        <v>471430.39269120432</v>
      </c>
      <c r="K13" s="305">
        <f t="shared" si="0"/>
        <v>18766860.340565186</v>
      </c>
      <c r="L13" s="305">
        <f t="shared" si="0"/>
        <v>0</v>
      </c>
      <c r="M13" s="305">
        <f>M45+M76</f>
        <v>0</v>
      </c>
      <c r="N13" s="305">
        <f t="shared" ref="N13:N36" si="1">N45+N76</f>
        <v>18766860.340565186</v>
      </c>
      <c r="O13" s="305">
        <f t="shared" si="0"/>
        <v>147072.67281017447</v>
      </c>
      <c r="P13" s="305">
        <f t="shared" si="0"/>
        <v>149514.07917882336</v>
      </c>
      <c r="T13" s="305"/>
      <c r="U13" s="305"/>
      <c r="V13" s="339"/>
      <c r="W13" s="305"/>
      <c r="X13" s="340"/>
      <c r="Y13" s="242"/>
      <c r="Z13" s="305"/>
      <c r="AA13" s="305"/>
      <c r="AB13" s="305"/>
      <c r="AC13" s="305"/>
      <c r="AD13" s="305"/>
      <c r="AE13" s="305"/>
      <c r="AF13" s="305"/>
      <c r="AG13" s="305"/>
      <c r="AH13" s="305"/>
      <c r="AI13" s="305"/>
      <c r="AJ13" s="305"/>
      <c r="AK13" s="305"/>
      <c r="AL13" s="305"/>
      <c r="AM13" s="305"/>
      <c r="AN13" s="305"/>
    </row>
    <row r="14" spans="1:40" ht="13">
      <c r="A14" s="310">
        <f>A13+1</f>
        <v>2</v>
      </c>
      <c r="C14" s="303" t="str">
        <f t="shared" ref="C14:C29" si="2">C46</f>
        <v>February</v>
      </c>
      <c r="D14" s="479">
        <v>2026</v>
      </c>
      <c r="E14" s="305">
        <f t="shared" ref="E14" si="3">E46+E77</f>
        <v>19409639.095757406</v>
      </c>
      <c r="F14" s="305">
        <f t="shared" ref="F14:P14" si="4">F46+F77</f>
        <v>3605200.2777188336</v>
      </c>
      <c r="G14" s="305">
        <f t="shared" si="4"/>
        <v>1185332.9113528926</v>
      </c>
      <c r="H14" s="305">
        <f t="shared" si="4"/>
        <v>1349264.9063513172</v>
      </c>
      <c r="I14" s="305">
        <f t="shared" si="4"/>
        <v>15516546.423040148</v>
      </c>
      <c r="J14" s="305">
        <f t="shared" si="4"/>
        <v>465496.39269120444</v>
      </c>
      <c r="K14" s="305">
        <f t="shared" si="4"/>
        <v>38478063.834015377</v>
      </c>
      <c r="L14" s="305">
        <f t="shared" si="4"/>
        <v>41104.119188242046</v>
      </c>
      <c r="M14" s="305">
        <f t="shared" si="4"/>
        <v>-1308160.7871630751</v>
      </c>
      <c r="N14" s="305">
        <f t="shared" si="1"/>
        <v>39786224.621178448</v>
      </c>
      <c r="O14" s="305">
        <f t="shared" si="4"/>
        <v>294145.34562034893</v>
      </c>
      <c r="P14" s="305">
        <f t="shared" si="4"/>
        <v>299028.15835764672</v>
      </c>
      <c r="T14" s="305"/>
      <c r="U14" s="305"/>
      <c r="V14" s="339"/>
      <c r="W14" s="305"/>
      <c r="X14" s="340"/>
      <c r="Y14" s="242"/>
      <c r="Z14" s="305"/>
      <c r="AA14" s="305"/>
      <c r="AB14" s="305"/>
      <c r="AC14" s="305"/>
      <c r="AD14" s="305"/>
      <c r="AE14" s="305"/>
      <c r="AF14" s="305"/>
      <c r="AG14" s="305"/>
      <c r="AH14" s="305"/>
      <c r="AI14" s="305"/>
      <c r="AJ14" s="305"/>
      <c r="AK14" s="305"/>
      <c r="AL14" s="305"/>
      <c r="AM14" s="305"/>
      <c r="AN14" s="305"/>
    </row>
    <row r="15" spans="1:40" ht="13">
      <c r="A15" s="310">
        <f t="shared" ref="A15:A37" si="5">A14+1</f>
        <v>3</v>
      </c>
      <c r="C15" s="303" t="str">
        <f t="shared" si="2"/>
        <v>March</v>
      </c>
      <c r="D15" s="479">
        <v>2026</v>
      </c>
      <c r="E15" s="305">
        <f t="shared" ref="E15" si="6">E47+E78</f>
        <v>25399818.935757414</v>
      </c>
      <c r="F15" s="305">
        <f t="shared" ref="F15:P15" si="7">F47+F78</f>
        <v>7686736.1177188335</v>
      </c>
      <c r="G15" s="305">
        <f t="shared" si="7"/>
        <v>1328481.2113528934</v>
      </c>
      <c r="H15" s="305">
        <f t="shared" si="7"/>
        <v>1510597.1223513177</v>
      </c>
      <c r="I15" s="305">
        <f t="shared" si="7"/>
        <v>17371866.907040153</v>
      </c>
      <c r="J15" s="305">
        <f t="shared" si="7"/>
        <v>521156.00721120456</v>
      </c>
      <c r="K15" s="305">
        <f t="shared" si="7"/>
        <v>64216922.865985557</v>
      </c>
      <c r="L15" s="305">
        <f t="shared" si="7"/>
        <v>84276.586134520228</v>
      </c>
      <c r="M15" s="305">
        <f t="shared" si="7"/>
        <v>-2734481.3233798724</v>
      </c>
      <c r="N15" s="305">
        <f t="shared" si="1"/>
        <v>66951404.189365424</v>
      </c>
      <c r="O15" s="305">
        <f t="shared" si="7"/>
        <v>6747936.0984305236</v>
      </c>
      <c r="P15" s="305">
        <f t="shared" si="7"/>
        <v>6859951.837664471</v>
      </c>
      <c r="T15" s="305"/>
      <c r="U15" s="305"/>
      <c r="V15" s="339"/>
      <c r="W15" s="305"/>
      <c r="X15" s="340"/>
      <c r="Y15" s="242"/>
      <c r="Z15" s="305"/>
      <c r="AA15" s="305"/>
      <c r="AB15" s="305"/>
      <c r="AC15" s="305"/>
      <c r="AD15" s="305"/>
      <c r="AE15" s="305"/>
      <c r="AF15" s="305"/>
      <c r="AG15" s="305"/>
      <c r="AH15" s="305"/>
      <c r="AI15" s="305"/>
      <c r="AJ15" s="305"/>
      <c r="AK15" s="305"/>
      <c r="AL15" s="305"/>
      <c r="AM15" s="305"/>
      <c r="AN15" s="305"/>
    </row>
    <row r="16" spans="1:40" ht="13">
      <c r="A16" s="310">
        <f t="shared" si="5"/>
        <v>4</v>
      </c>
      <c r="C16" s="303" t="str">
        <f t="shared" si="2"/>
        <v>April</v>
      </c>
      <c r="D16" s="479">
        <v>2026</v>
      </c>
      <c r="E16" s="305">
        <f t="shared" ref="E16" si="8">E48+E79</f>
        <v>21772760.385757402</v>
      </c>
      <c r="F16" s="305">
        <f t="shared" ref="F16:P16" si="9">F48+F79</f>
        <v>1070925.5677188332</v>
      </c>
      <c r="G16" s="305">
        <f t="shared" si="9"/>
        <v>1552637.6113528926</v>
      </c>
      <c r="H16" s="305">
        <f t="shared" si="9"/>
        <v>1363859.7943513168</v>
      </c>
      <c r="I16" s="305">
        <f t="shared" si="9"/>
        <v>15684387.635040142</v>
      </c>
      <c r="J16" s="305">
        <f t="shared" si="9"/>
        <v>470531.62905120425</v>
      </c>
      <c r="K16" s="305">
        <f t="shared" si="9"/>
        <v>86648992.697795734</v>
      </c>
      <c r="L16" s="305">
        <f t="shared" si="9"/>
        <v>140651.12669273067</v>
      </c>
      <c r="M16" s="305">
        <f t="shared" si="9"/>
        <v>-3957689.991038458</v>
      </c>
      <c r="N16" s="305">
        <f t="shared" si="1"/>
        <v>90606682.68883419</v>
      </c>
      <c r="O16" s="305">
        <f t="shared" si="9"/>
        <v>6895008.7712406982</v>
      </c>
      <c r="P16" s="305">
        <f t="shared" si="9"/>
        <v>7009465.9168432932</v>
      </c>
      <c r="T16" s="305"/>
      <c r="U16" s="305"/>
      <c r="V16" s="339"/>
      <c r="W16" s="305"/>
      <c r="X16" s="340"/>
      <c r="Y16" s="242"/>
      <c r="Z16" s="305"/>
      <c r="AA16" s="305"/>
      <c r="AB16" s="305"/>
      <c r="AC16" s="305"/>
      <c r="AD16" s="305"/>
      <c r="AE16" s="305"/>
      <c r="AF16" s="305"/>
      <c r="AG16" s="305"/>
      <c r="AH16" s="305"/>
      <c r="AI16" s="305"/>
      <c r="AJ16" s="305"/>
      <c r="AK16" s="305"/>
      <c r="AL16" s="305"/>
      <c r="AM16" s="305"/>
      <c r="AN16" s="305"/>
    </row>
    <row r="17" spans="1:40" ht="13">
      <c r="A17" s="310">
        <f t="shared" si="5"/>
        <v>5</v>
      </c>
      <c r="C17" s="303" t="str">
        <f t="shared" si="2"/>
        <v>May</v>
      </c>
      <c r="D17" s="479">
        <v>2026</v>
      </c>
      <c r="E17" s="305">
        <f t="shared" ref="E17" si="10">E49+E80</f>
        <v>16074010.815757409</v>
      </c>
      <c r="F17" s="305">
        <f t="shared" ref="F17:P17" si="11">F49+F80</f>
        <v>146260.99771883339</v>
      </c>
      <c r="G17" s="305">
        <f t="shared" si="11"/>
        <v>1194581.2363528931</v>
      </c>
      <c r="H17" s="305">
        <f t="shared" si="11"/>
        <v>1357058.4843513176</v>
      </c>
      <c r="I17" s="305">
        <f t="shared" si="11"/>
        <v>15606172.570040151</v>
      </c>
      <c r="J17" s="305">
        <f t="shared" si="11"/>
        <v>468185.17710120452</v>
      </c>
      <c r="K17" s="305">
        <f t="shared" si="11"/>
        <v>103028711.44265594</v>
      </c>
      <c r="L17" s="305">
        <f t="shared" si="11"/>
        <v>189782.97161900488</v>
      </c>
      <c r="M17" s="305">
        <f t="shared" si="11"/>
        <v>-5124965.5037707705</v>
      </c>
      <c r="N17" s="305">
        <f t="shared" si="1"/>
        <v>108153676.9464267</v>
      </c>
      <c r="O17" s="305">
        <f t="shared" si="11"/>
        <v>7042081.4440508727</v>
      </c>
      <c r="P17" s="305">
        <f t="shared" si="11"/>
        <v>7158979.9960221173</v>
      </c>
      <c r="T17" s="305"/>
      <c r="U17" s="305"/>
      <c r="V17" s="339"/>
      <c r="W17" s="305"/>
      <c r="X17" s="340"/>
      <c r="Y17" s="242"/>
      <c r="Z17" s="305"/>
      <c r="AA17" s="305"/>
      <c r="AB17" s="305"/>
      <c r="AC17" s="305"/>
      <c r="AD17" s="305"/>
      <c r="AE17" s="305"/>
      <c r="AF17" s="305"/>
      <c r="AG17" s="305"/>
      <c r="AH17" s="305"/>
      <c r="AI17" s="305"/>
      <c r="AJ17" s="305"/>
      <c r="AK17" s="305"/>
      <c r="AL17" s="305"/>
      <c r="AM17" s="305"/>
      <c r="AN17" s="305"/>
    </row>
    <row r="18" spans="1:40" ht="13">
      <c r="A18" s="310">
        <f t="shared" si="5"/>
        <v>6</v>
      </c>
      <c r="C18" s="303" t="str">
        <f t="shared" si="2"/>
        <v xml:space="preserve">June </v>
      </c>
      <c r="D18" s="479">
        <v>2026</v>
      </c>
      <c r="E18" s="305">
        <f t="shared" ref="E18" si="12">E50+E81</f>
        <v>77663090.751930416</v>
      </c>
      <c r="F18" s="305">
        <f t="shared" ref="F18:P18" si="13">F50+F81</f>
        <v>43721421.114591829</v>
      </c>
      <c r="G18" s="305">
        <f t="shared" si="13"/>
        <v>2545625.2228003931</v>
      </c>
      <c r="H18" s="305">
        <f t="shared" si="13"/>
        <v>1880518.2808111173</v>
      </c>
      <c r="I18" s="305">
        <f t="shared" si="13"/>
        <v>21625960.22932785</v>
      </c>
      <c r="J18" s="305">
        <f t="shared" si="13"/>
        <v>648778.80687983544</v>
      </c>
      <c r="K18" s="305">
        <f t="shared" si="13"/>
        <v>182005687.94345543</v>
      </c>
      <c r="L18" s="305">
        <f t="shared" si="13"/>
        <v>225658.65350401963</v>
      </c>
      <c r="M18" s="305">
        <f t="shared" si="13"/>
        <v>-6779825.1310778679</v>
      </c>
      <c r="N18" s="305">
        <f t="shared" si="1"/>
        <v>188785513.07453331</v>
      </c>
      <c r="O18" s="305">
        <f t="shared" si="13"/>
        <v>7215798.1168610472</v>
      </c>
      <c r="P18" s="305">
        <f t="shared" si="13"/>
        <v>7335580.3656009408</v>
      </c>
      <c r="T18" s="305"/>
      <c r="U18" s="305"/>
      <c r="V18" s="339"/>
      <c r="W18" s="305"/>
      <c r="X18" s="340"/>
      <c r="Y18" s="242"/>
      <c r="Z18" s="305"/>
      <c r="AA18" s="305"/>
      <c r="AB18" s="305"/>
      <c r="AC18" s="305"/>
      <c r="AD18" s="305"/>
      <c r="AE18" s="305"/>
      <c r="AF18" s="305"/>
      <c r="AG18" s="305"/>
      <c r="AH18" s="305"/>
      <c r="AI18" s="305"/>
      <c r="AJ18" s="305"/>
      <c r="AK18" s="305"/>
      <c r="AL18" s="305"/>
      <c r="AM18" s="305"/>
      <c r="AN18" s="305"/>
    </row>
    <row r="19" spans="1:40" ht="13">
      <c r="A19" s="310">
        <f t="shared" si="5"/>
        <v>7</v>
      </c>
      <c r="C19" s="303" t="str">
        <f t="shared" si="2"/>
        <v>July</v>
      </c>
      <c r="D19" s="479">
        <v>2026</v>
      </c>
      <c r="E19" s="305">
        <f t="shared" ref="E19" si="14">E51+E82</f>
        <v>15665947.425757438</v>
      </c>
      <c r="F19" s="305">
        <f t="shared" ref="F19:P19" si="15">F51+F82</f>
        <v>-365507.39228116663</v>
      </c>
      <c r="G19" s="305">
        <f t="shared" si="15"/>
        <v>1202359.1113528954</v>
      </c>
      <c r="H19" s="305">
        <f t="shared" si="15"/>
        <v>1352991.1143513201</v>
      </c>
      <c r="I19" s="305">
        <f t="shared" si="15"/>
        <v>15559397.815040179</v>
      </c>
      <c r="J19" s="305">
        <f t="shared" si="15"/>
        <v>466781.93445120536</v>
      </c>
      <c r="K19" s="305">
        <f t="shared" si="15"/>
        <v>197987785.30066565</v>
      </c>
      <c r="L19" s="305">
        <f t="shared" si="15"/>
        <v>398637.99028732348</v>
      </c>
      <c r="M19" s="305">
        <f t="shared" si="15"/>
        <v>-7734178.2551418645</v>
      </c>
      <c r="N19" s="305">
        <f t="shared" si="1"/>
        <v>205721963.55580753</v>
      </c>
      <c r="O19" s="305">
        <f t="shared" si="15"/>
        <v>7362870.7896712217</v>
      </c>
      <c r="P19" s="305">
        <f t="shared" si="15"/>
        <v>7485094.4447797639</v>
      </c>
      <c r="T19" s="305"/>
      <c r="U19" s="305"/>
      <c r="V19" s="339"/>
      <c r="W19" s="305"/>
      <c r="X19" s="340"/>
      <c r="Y19" s="242"/>
      <c r="Z19" s="305"/>
      <c r="AA19" s="305"/>
      <c r="AB19" s="305"/>
      <c r="AC19" s="305"/>
      <c r="AD19" s="305"/>
      <c r="AE19" s="305"/>
      <c r="AF19" s="305"/>
      <c r="AG19" s="305"/>
      <c r="AH19" s="305"/>
      <c r="AI19" s="305"/>
      <c r="AJ19" s="305"/>
      <c r="AK19" s="305"/>
      <c r="AL19" s="305"/>
      <c r="AM19" s="305"/>
      <c r="AN19" s="305"/>
    </row>
    <row r="20" spans="1:40" ht="13">
      <c r="A20" s="310">
        <f t="shared" si="5"/>
        <v>8</v>
      </c>
      <c r="C20" s="303" t="str">
        <f t="shared" si="2"/>
        <v>August</v>
      </c>
      <c r="D20" s="479">
        <v>2026</v>
      </c>
      <c r="E20" s="305">
        <f t="shared" ref="E20" si="16">E52+E83</f>
        <v>33586189.985757381</v>
      </c>
      <c r="F20" s="305">
        <f t="shared" ref="F20:P20" si="17">F52+F83</f>
        <v>13196650.167718833</v>
      </c>
      <c r="G20" s="305">
        <f t="shared" si="17"/>
        <v>1529215.486352891</v>
      </c>
      <c r="H20" s="305">
        <f t="shared" si="17"/>
        <v>1727958.424351315</v>
      </c>
      <c r="I20" s="305">
        <f t="shared" si="17"/>
        <v>19871521.88004012</v>
      </c>
      <c r="J20" s="305">
        <f t="shared" si="17"/>
        <v>596145.6564012036</v>
      </c>
      <c r="K20" s="305">
        <f t="shared" si="17"/>
        <v>231971378.0048258</v>
      </c>
      <c r="L20" s="305">
        <f t="shared" si="17"/>
        <v>433642.7818575406</v>
      </c>
      <c r="M20" s="305">
        <f t="shared" si="17"/>
        <v>-9028493.8976356387</v>
      </c>
      <c r="N20" s="305">
        <f t="shared" si="1"/>
        <v>240999871.90246147</v>
      </c>
      <c r="O20" s="305">
        <f t="shared" si="17"/>
        <v>7509943.4624813963</v>
      </c>
      <c r="P20" s="305">
        <f t="shared" si="17"/>
        <v>7634608.5239585871</v>
      </c>
      <c r="T20" s="305"/>
      <c r="U20" s="305"/>
      <c r="V20" s="339"/>
      <c r="W20" s="305"/>
      <c r="X20" s="340"/>
      <c r="Y20" s="242"/>
      <c r="Z20" s="305"/>
      <c r="AA20" s="305"/>
      <c r="AB20" s="305"/>
      <c r="AC20" s="305"/>
      <c r="AD20" s="305"/>
      <c r="AE20" s="305"/>
      <c r="AF20" s="305"/>
      <c r="AG20" s="305"/>
      <c r="AH20" s="305"/>
      <c r="AI20" s="305"/>
      <c r="AJ20" s="305"/>
      <c r="AK20" s="305"/>
      <c r="AL20" s="305"/>
      <c r="AM20" s="305"/>
      <c r="AN20" s="305"/>
    </row>
    <row r="21" spans="1:40" ht="13">
      <c r="A21" s="310">
        <f t="shared" si="5"/>
        <v>9</v>
      </c>
      <c r="C21" s="303" t="str">
        <f t="shared" si="2"/>
        <v>September</v>
      </c>
      <c r="D21" s="479">
        <v>2026</v>
      </c>
      <c r="E21" s="305">
        <f t="shared" ref="E21" si="18">E53+E84</f>
        <v>18263206.136221439</v>
      </c>
      <c r="F21" s="305">
        <f t="shared" ref="F21:P21" si="19">F53+F84</f>
        <v>2181602.8141828338</v>
      </c>
      <c r="G21" s="305">
        <f t="shared" si="19"/>
        <v>1206120.2491528953</v>
      </c>
      <c r="H21" s="305">
        <f t="shared" si="19"/>
        <v>1357389.8856953201</v>
      </c>
      <c r="I21" s="305">
        <f t="shared" si="19"/>
        <v>15609983.685496181</v>
      </c>
      <c r="J21" s="305">
        <f t="shared" si="19"/>
        <v>468299.51056488539</v>
      </c>
      <c r="K21" s="305">
        <f t="shared" si="19"/>
        <v>250551614.01506972</v>
      </c>
      <c r="L21" s="305">
        <f t="shared" si="19"/>
        <v>508075.35180303646</v>
      </c>
      <c r="M21" s="305">
        <f t="shared" si="19"/>
        <v>-9877808.4315279201</v>
      </c>
      <c r="N21" s="305">
        <f t="shared" si="1"/>
        <v>260429422.44659764</v>
      </c>
      <c r="O21" s="305">
        <f t="shared" si="19"/>
        <v>7657016.1352915708</v>
      </c>
      <c r="P21" s="305">
        <f t="shared" si="19"/>
        <v>7784122.6031374112</v>
      </c>
      <c r="T21" s="305"/>
      <c r="U21" s="305"/>
      <c r="V21" s="339"/>
      <c r="W21" s="305"/>
      <c r="X21" s="340"/>
      <c r="Y21" s="242"/>
      <c r="Z21" s="305"/>
      <c r="AA21" s="305"/>
      <c r="AB21" s="305"/>
      <c r="AC21" s="305"/>
      <c r="AD21" s="305"/>
      <c r="AE21" s="305"/>
      <c r="AF21" s="305"/>
      <c r="AG21" s="305"/>
      <c r="AH21" s="305"/>
      <c r="AI21" s="305"/>
      <c r="AJ21" s="305"/>
      <c r="AK21" s="305"/>
      <c r="AL21" s="305"/>
      <c r="AM21" s="305"/>
      <c r="AN21" s="305"/>
    </row>
    <row r="22" spans="1:40" ht="13">
      <c r="A22" s="310">
        <f t="shared" si="5"/>
        <v>10</v>
      </c>
      <c r="C22" s="303" t="str">
        <f t="shared" si="2"/>
        <v xml:space="preserve">October </v>
      </c>
      <c r="D22" s="479">
        <v>2026</v>
      </c>
      <c r="E22" s="305">
        <f t="shared" ref="E22" si="20">E54+E85</f>
        <v>19313614.195757389</v>
      </c>
      <c r="F22" s="305">
        <f t="shared" ref="F22:P22" si="21">F54+F85</f>
        <v>600477.37771883339</v>
      </c>
      <c r="G22" s="305">
        <f t="shared" si="21"/>
        <v>1403485.2613528918</v>
      </c>
      <c r="H22" s="305">
        <f t="shared" si="21"/>
        <v>1582927.7663513161</v>
      </c>
      <c r="I22" s="305">
        <f t="shared" si="21"/>
        <v>18203669.313040134</v>
      </c>
      <c r="J22" s="305">
        <f t="shared" si="21"/>
        <v>546110.07939120394</v>
      </c>
      <c r="K22" s="305">
        <f t="shared" si="21"/>
        <v>270231895.78521991</v>
      </c>
      <c r="L22" s="305">
        <f t="shared" si="21"/>
        <v>548770.7170187044</v>
      </c>
      <c r="M22" s="305">
        <f t="shared" si="21"/>
        <v>-10911965.480860531</v>
      </c>
      <c r="N22" s="305">
        <f t="shared" si="1"/>
        <v>281143861.26608044</v>
      </c>
      <c r="O22" s="305">
        <f t="shared" si="21"/>
        <v>7804088.8081017453</v>
      </c>
      <c r="P22" s="305">
        <f t="shared" si="21"/>
        <v>7933636.6823162343</v>
      </c>
      <c r="T22" s="305"/>
      <c r="U22" s="305"/>
      <c r="V22" s="339"/>
      <c r="W22" s="305"/>
      <c r="X22" s="340"/>
      <c r="Y22" s="242"/>
      <c r="Z22" s="305"/>
      <c r="AA22" s="305"/>
      <c r="AB22" s="305"/>
      <c r="AC22" s="305"/>
      <c r="AD22" s="305"/>
      <c r="AE22" s="305"/>
      <c r="AF22" s="305"/>
      <c r="AG22" s="305"/>
      <c r="AH22" s="305"/>
      <c r="AI22" s="305"/>
      <c r="AJ22" s="305"/>
      <c r="AK22" s="305"/>
      <c r="AL22" s="305"/>
      <c r="AM22" s="305"/>
      <c r="AN22" s="305"/>
    </row>
    <row r="23" spans="1:40" ht="13">
      <c r="A23" s="310">
        <f t="shared" si="5"/>
        <v>11</v>
      </c>
      <c r="C23" s="303" t="str">
        <f t="shared" si="2"/>
        <v>November</v>
      </c>
      <c r="D23" s="479">
        <v>2026</v>
      </c>
      <c r="E23" s="305">
        <f t="shared" ref="E23" si="22">E55+E86</f>
        <v>59614249.515757412</v>
      </c>
      <c r="F23" s="305">
        <f t="shared" ref="F23:P23" si="23">F55+F86</f>
        <v>3014572.6977188331</v>
      </c>
      <c r="G23" s="305">
        <f t="shared" si="23"/>
        <v>4244975.761352893</v>
      </c>
      <c r="H23" s="305">
        <f t="shared" si="23"/>
        <v>4834032.2063513175</v>
      </c>
      <c r="I23" s="305">
        <f t="shared" si="23"/>
        <v>55591370.373040147</v>
      </c>
      <c r="J23" s="305">
        <f t="shared" si="23"/>
        <v>1667741.1111912043</v>
      </c>
      <c r="K23" s="305">
        <f t="shared" si="23"/>
        <v>330924829.96717018</v>
      </c>
      <c r="L23" s="305">
        <f t="shared" si="23"/>
        <v>591875.45765504241</v>
      </c>
      <c r="M23" s="305">
        <f t="shared" si="23"/>
        <v>-15154122.229556806</v>
      </c>
      <c r="N23" s="305">
        <f t="shared" si="1"/>
        <v>346078952.19672698</v>
      </c>
      <c r="O23" s="305">
        <f t="shared" si="23"/>
        <v>7951161.4809119198</v>
      </c>
      <c r="P23" s="305">
        <f t="shared" si="23"/>
        <v>8083150.7614950584</v>
      </c>
      <c r="T23" s="305"/>
      <c r="U23" s="305"/>
      <c r="V23" s="339"/>
      <c r="W23" s="305"/>
      <c r="X23" s="340"/>
      <c r="Y23" s="242"/>
      <c r="Z23" s="305"/>
      <c r="AA23" s="305"/>
      <c r="AB23" s="305"/>
      <c r="AC23" s="305"/>
      <c r="AD23" s="305"/>
      <c r="AE23" s="305"/>
      <c r="AF23" s="305"/>
      <c r="AG23" s="305"/>
      <c r="AH23" s="305"/>
      <c r="AI23" s="305"/>
      <c r="AJ23" s="305"/>
      <c r="AK23" s="305"/>
      <c r="AL23" s="305"/>
      <c r="AM23" s="305"/>
      <c r="AN23" s="305"/>
    </row>
    <row r="24" spans="1:40" ht="13">
      <c r="A24" s="310">
        <f t="shared" si="5"/>
        <v>12</v>
      </c>
      <c r="C24" s="303" t="str">
        <f t="shared" si="2"/>
        <v>December</v>
      </c>
      <c r="D24" s="479">
        <v>2026</v>
      </c>
      <c r="E24" s="305">
        <f t="shared" ref="E24" si="24">E56+E87</f>
        <v>70040383.93886447</v>
      </c>
      <c r="F24" s="305">
        <f t="shared" ref="F24:P24" si="25">F56+F87</f>
        <v>30118717.020825833</v>
      </c>
      <c r="G24" s="305">
        <f t="shared" si="25"/>
        <v>2994125.0188528979</v>
      </c>
      <c r="H24" s="305">
        <f t="shared" si="25"/>
        <v>3177647.4469513227</v>
      </c>
      <c r="I24" s="305">
        <f t="shared" si="25"/>
        <v>36542945.63994021</v>
      </c>
      <c r="J24" s="305">
        <f t="shared" si="25"/>
        <v>1096288.3691982063</v>
      </c>
      <c r="K24" s="305">
        <f t="shared" si="25"/>
        <v>401877979.84713441</v>
      </c>
      <c r="L24" s="305">
        <f t="shared" si="25"/>
        <v>724808.16750777001</v>
      </c>
      <c r="M24" s="305">
        <f t="shared" si="25"/>
        <v>-17606961.509000357</v>
      </c>
      <c r="N24" s="305">
        <f t="shared" si="1"/>
        <v>419484941.35613477</v>
      </c>
      <c r="O24" s="305">
        <f t="shared" si="25"/>
        <v>28824524.343722098</v>
      </c>
      <c r="P24" s="305">
        <f t="shared" si="25"/>
        <v>29303011.447827887</v>
      </c>
      <c r="T24" s="305"/>
      <c r="U24" s="305"/>
      <c r="V24" s="339"/>
      <c r="W24" s="305"/>
      <c r="X24" s="340"/>
      <c r="Y24" s="242"/>
      <c r="Z24" s="305"/>
      <c r="AA24" s="305"/>
      <c r="AB24" s="305"/>
      <c r="AC24" s="305"/>
      <c r="AD24" s="305"/>
      <c r="AE24" s="305"/>
      <c r="AF24" s="305"/>
      <c r="AG24" s="305"/>
      <c r="AH24" s="305"/>
      <c r="AI24" s="305"/>
      <c r="AJ24" s="305"/>
      <c r="AK24" s="305"/>
      <c r="AL24" s="305"/>
      <c r="AM24" s="305"/>
      <c r="AN24" s="305"/>
    </row>
    <row r="25" spans="1:40" ht="13">
      <c r="A25" s="310">
        <f t="shared" si="5"/>
        <v>13</v>
      </c>
      <c r="C25" s="303" t="str">
        <f t="shared" si="2"/>
        <v>January</v>
      </c>
      <c r="D25" s="479">
        <v>2027</v>
      </c>
      <c r="E25" s="305">
        <f t="shared" ref="E25" si="26">E57+E88</f>
        <v>62819967.534940422</v>
      </c>
      <c r="F25" s="305">
        <f t="shared" ref="F25:P25" si="27">F57+F88</f>
        <v>1035423.6699999999</v>
      </c>
      <c r="G25" s="305">
        <f t="shared" si="27"/>
        <v>4633840.7898705313</v>
      </c>
      <c r="H25" s="305">
        <f t="shared" si="27"/>
        <v>5312610.7723848764</v>
      </c>
      <c r="I25" s="305">
        <f t="shared" si="27"/>
        <v>61095023.882426076</v>
      </c>
      <c r="J25" s="305">
        <f t="shared" si="27"/>
        <v>1832850.7164727822</v>
      </c>
      <c r="K25" s="305">
        <f t="shared" si="27"/>
        <v>465852028.11603332</v>
      </c>
      <c r="L25" s="305">
        <f t="shared" si="27"/>
        <v>880213.3166121844</v>
      </c>
      <c r="M25" s="305">
        <f t="shared" si="27"/>
        <v>-22039358.964773051</v>
      </c>
      <c r="N25" s="305">
        <f t="shared" si="1"/>
        <v>487891387.08080643</v>
      </c>
      <c r="O25" s="305">
        <f t="shared" si="27"/>
        <v>29035243.568233542</v>
      </c>
      <c r="P25" s="305">
        <f t="shared" si="27"/>
        <v>29517228.611466218</v>
      </c>
      <c r="T25" s="305"/>
      <c r="U25" s="305"/>
      <c r="V25" s="339"/>
      <c r="W25" s="305"/>
      <c r="X25" s="340"/>
      <c r="Y25" s="242"/>
      <c r="Z25" s="305"/>
      <c r="AA25" s="305"/>
      <c r="AB25" s="305"/>
      <c r="AC25" s="305"/>
      <c r="AD25" s="305"/>
      <c r="AE25" s="305"/>
      <c r="AF25" s="305"/>
      <c r="AG25" s="305"/>
      <c r="AH25" s="305"/>
      <c r="AI25" s="305"/>
      <c r="AJ25" s="305"/>
      <c r="AK25" s="305"/>
      <c r="AL25" s="305"/>
      <c r="AM25" s="305"/>
      <c r="AN25" s="305"/>
    </row>
    <row r="26" spans="1:40" ht="13">
      <c r="A26" s="310">
        <f t="shared" si="5"/>
        <v>14</v>
      </c>
      <c r="C26" s="303" t="str">
        <f t="shared" si="2"/>
        <v>February</v>
      </c>
      <c r="D26" s="479">
        <v>2027</v>
      </c>
      <c r="E26" s="305">
        <f t="shared" ref="E26" si="28">E58+E89</f>
        <v>29142817.25038141</v>
      </c>
      <c r="F26" s="305">
        <f t="shared" ref="F26:P26" si="29">F58+F89</f>
        <v>631567.69904099999</v>
      </c>
      <c r="G26" s="305">
        <f t="shared" si="29"/>
        <v>2138343.7163505307</v>
      </c>
      <c r="H26" s="305">
        <f t="shared" si="29"/>
        <v>2451107.461415275</v>
      </c>
      <c r="I26" s="305">
        <f t="shared" si="29"/>
        <v>28187735.806275662</v>
      </c>
      <c r="J26" s="305">
        <f t="shared" si="29"/>
        <v>845632.07418826979</v>
      </c>
      <c r="K26" s="305">
        <f t="shared" si="29"/>
        <v>495527713.69553828</v>
      </c>
      <c r="L26" s="305">
        <f t="shared" si="29"/>
        <v>1020332.4871755849</v>
      </c>
      <c r="M26" s="305">
        <f t="shared" si="29"/>
        <v>-23470133.939012744</v>
      </c>
      <c r="N26" s="305">
        <f t="shared" si="1"/>
        <v>518997847.63455105</v>
      </c>
      <c r="O26" s="305">
        <f t="shared" si="29"/>
        <v>29245962.792744987</v>
      </c>
      <c r="P26" s="305">
        <f t="shared" si="29"/>
        <v>29731445.775104556</v>
      </c>
      <c r="T26" s="305"/>
      <c r="U26" s="305"/>
      <c r="V26" s="339"/>
      <c r="W26" s="305"/>
      <c r="X26" s="340"/>
      <c r="Y26" s="242"/>
      <c r="Z26" s="305"/>
      <c r="AA26" s="305"/>
      <c r="AB26" s="305"/>
      <c r="AC26" s="305"/>
      <c r="AD26" s="305"/>
      <c r="AE26" s="305"/>
      <c r="AF26" s="305"/>
      <c r="AG26" s="305"/>
      <c r="AH26" s="305"/>
      <c r="AI26" s="305"/>
      <c r="AJ26" s="305"/>
      <c r="AK26" s="305"/>
      <c r="AL26" s="305"/>
      <c r="AM26" s="305"/>
      <c r="AN26" s="305"/>
    </row>
    <row r="27" spans="1:40" ht="13">
      <c r="A27" s="310">
        <f t="shared" si="5"/>
        <v>15</v>
      </c>
      <c r="C27" s="303" t="str">
        <f t="shared" si="2"/>
        <v>March</v>
      </c>
      <c r="D27" s="479">
        <v>2027</v>
      </c>
      <c r="E27" s="305">
        <f t="shared" ref="E27" si="30">E59+E90</f>
        <v>41661346.472920246</v>
      </c>
      <c r="F27" s="305">
        <f t="shared" ref="F27:P27" si="31">F59+F90</f>
        <v>9829897.207804</v>
      </c>
      <c r="G27" s="305">
        <f t="shared" si="31"/>
        <v>2387358.6948837182</v>
      </c>
      <c r="H27" s="305">
        <f t="shared" si="31"/>
        <v>2689344.6367999972</v>
      </c>
      <c r="I27" s="305">
        <f t="shared" si="31"/>
        <v>30927463.323199965</v>
      </c>
      <c r="J27" s="305">
        <f t="shared" si="31"/>
        <v>927823.89969599887</v>
      </c>
      <c r="K27" s="305">
        <f t="shared" si="31"/>
        <v>537814898.12623835</v>
      </c>
      <c r="L27" s="305">
        <f t="shared" si="31"/>
        <v>1085329.6627775233</v>
      </c>
      <c r="M27" s="305">
        <f t="shared" si="31"/>
        <v>-25074148.913035214</v>
      </c>
      <c r="N27" s="305">
        <f t="shared" si="1"/>
        <v>562889047.0392735</v>
      </c>
      <c r="O27" s="305">
        <f t="shared" si="31"/>
        <v>29456682.017256431</v>
      </c>
      <c r="P27" s="305">
        <f t="shared" si="31"/>
        <v>29945662.938742891</v>
      </c>
      <c r="T27" s="305"/>
      <c r="U27" s="305"/>
      <c r="V27" s="339"/>
      <c r="W27" s="305"/>
      <c r="X27" s="340"/>
      <c r="Y27" s="242"/>
      <c r="Z27" s="305"/>
      <c r="AA27" s="305"/>
      <c r="AB27" s="305"/>
      <c r="AC27" s="305"/>
      <c r="AD27" s="305"/>
      <c r="AE27" s="305"/>
      <c r="AF27" s="305"/>
      <c r="AG27" s="305"/>
      <c r="AH27" s="305"/>
      <c r="AI27" s="305"/>
      <c r="AJ27" s="305"/>
      <c r="AK27" s="305"/>
      <c r="AL27" s="305"/>
      <c r="AM27" s="305"/>
      <c r="AN27" s="305"/>
    </row>
    <row r="28" spans="1:40" ht="13">
      <c r="A28" s="310">
        <f t="shared" si="5"/>
        <v>16</v>
      </c>
      <c r="C28" s="303" t="str">
        <f t="shared" si="2"/>
        <v>April</v>
      </c>
      <c r="D28" s="479">
        <v>2027</v>
      </c>
      <c r="E28" s="305">
        <f t="shared" ref="E28" si="32">E60+E91</f>
        <v>46490659.044940405</v>
      </c>
      <c r="F28" s="305">
        <f t="shared" ref="F28:P28" si="33">F60+F91</f>
        <v>5970740.1799999997</v>
      </c>
      <c r="G28" s="305">
        <f t="shared" si="33"/>
        <v>3038993.9148705304</v>
      </c>
      <c r="H28" s="305">
        <f t="shared" si="33"/>
        <v>2507581.022384875</v>
      </c>
      <c r="I28" s="305">
        <f t="shared" si="33"/>
        <v>28837181.757426061</v>
      </c>
      <c r="J28" s="305">
        <f t="shared" si="33"/>
        <v>865115.4527227818</v>
      </c>
      <c r="K28" s="305">
        <f t="shared" si="33"/>
        <v>585702085.51638722</v>
      </c>
      <c r="L28" s="305">
        <f t="shared" si="33"/>
        <v>1177949.1759742801</v>
      </c>
      <c r="M28" s="305">
        <f t="shared" si="33"/>
        <v>-26403780.759445809</v>
      </c>
      <c r="N28" s="305">
        <f t="shared" si="1"/>
        <v>612105866.27583301</v>
      </c>
      <c r="O28" s="305">
        <f t="shared" si="33"/>
        <v>29667401.24176788</v>
      </c>
      <c r="P28" s="305">
        <f t="shared" si="33"/>
        <v>30159880.102381226</v>
      </c>
      <c r="T28" s="305"/>
      <c r="U28" s="305"/>
      <c r="V28" s="339"/>
      <c r="W28" s="305"/>
      <c r="X28" s="340"/>
      <c r="Y28" s="242"/>
      <c r="Z28" s="305"/>
      <c r="AA28" s="305"/>
      <c r="AB28" s="305"/>
      <c r="AC28" s="305"/>
      <c r="AD28" s="305"/>
      <c r="AE28" s="305"/>
      <c r="AF28" s="305"/>
      <c r="AG28" s="305"/>
      <c r="AH28" s="305"/>
      <c r="AI28" s="305"/>
      <c r="AJ28" s="305"/>
      <c r="AK28" s="305"/>
      <c r="AL28" s="305"/>
      <c r="AM28" s="305"/>
      <c r="AN28" s="305"/>
    </row>
    <row r="29" spans="1:40" ht="13">
      <c r="A29" s="310">
        <f t="shared" si="5"/>
        <v>17</v>
      </c>
      <c r="C29" s="303" t="str">
        <f t="shared" si="2"/>
        <v>May</v>
      </c>
      <c r="D29" s="479">
        <v>2027</v>
      </c>
      <c r="E29" s="305">
        <f t="shared" ref="E29" si="34">E61+E92</f>
        <v>24211042.684940398</v>
      </c>
      <c r="F29" s="305">
        <f t="shared" ref="F29:P29" si="35">F61+F92</f>
        <v>275448.82</v>
      </c>
      <c r="G29" s="305">
        <f t="shared" si="35"/>
        <v>1795169.5398705297</v>
      </c>
      <c r="H29" s="305">
        <f t="shared" si="35"/>
        <v>2010129.0723848743</v>
      </c>
      <c r="I29" s="305">
        <f t="shared" si="35"/>
        <v>23116484.332426053</v>
      </c>
      <c r="J29" s="305">
        <f t="shared" si="35"/>
        <v>693494.52997278154</v>
      </c>
      <c r="K29" s="305">
        <f t="shared" si="35"/>
        <v>610391663.19878602</v>
      </c>
      <c r="L29" s="305">
        <f t="shared" si="35"/>
        <v>1282834.0966458365</v>
      </c>
      <c r="M29" s="305">
        <f t="shared" si="35"/>
        <v>-27131075.735184848</v>
      </c>
      <c r="N29" s="305">
        <f t="shared" si="1"/>
        <v>637522738.93397093</v>
      </c>
      <c r="O29" s="305">
        <f t="shared" si="35"/>
        <v>29878120.466279324</v>
      </c>
      <c r="P29" s="305">
        <f t="shared" si="35"/>
        <v>30374097.26601956</v>
      </c>
      <c r="T29" s="305"/>
      <c r="U29" s="305"/>
      <c r="V29" s="339"/>
      <c r="W29" s="305"/>
      <c r="X29" s="340"/>
      <c r="Y29" s="242"/>
      <c r="Z29" s="305"/>
      <c r="AA29" s="305"/>
      <c r="AB29" s="305"/>
      <c r="AC29" s="305"/>
      <c r="AD29" s="305"/>
      <c r="AE29" s="305"/>
      <c r="AF29" s="305"/>
      <c r="AG29" s="305"/>
      <c r="AH29" s="305"/>
      <c r="AI29" s="305"/>
      <c r="AJ29" s="305"/>
      <c r="AK29" s="305"/>
      <c r="AL29" s="305"/>
      <c r="AM29" s="305"/>
      <c r="AN29" s="305"/>
    </row>
    <row r="30" spans="1:40" ht="13">
      <c r="A30" s="310">
        <f t="shared" si="5"/>
        <v>18</v>
      </c>
      <c r="C30" s="303" t="str">
        <f t="shared" ref="C30:C33" si="36">C62</f>
        <v xml:space="preserve">June </v>
      </c>
      <c r="D30" s="479">
        <v>2027</v>
      </c>
      <c r="E30" s="305">
        <f t="shared" ref="E30" si="37">E62+E93</f>
        <v>31250749.794940412</v>
      </c>
      <c r="F30" s="305">
        <f t="shared" ref="F30:P30" si="38">F62+F93</f>
        <v>3919989.9299999997</v>
      </c>
      <c r="G30" s="305">
        <f t="shared" si="38"/>
        <v>2049806.9898705308</v>
      </c>
      <c r="H30" s="305">
        <f t="shared" si="38"/>
        <v>2301683.3483848753</v>
      </c>
      <c r="I30" s="305">
        <f t="shared" si="38"/>
        <v>26469358.506426066</v>
      </c>
      <c r="J30" s="305">
        <f t="shared" si="38"/>
        <v>794080.75519278191</v>
      </c>
      <c r="K30" s="305">
        <f t="shared" si="38"/>
        <v>642184617.39040482</v>
      </c>
      <c r="L30" s="305">
        <f t="shared" si="38"/>
        <v>1336910.4485421132</v>
      </c>
      <c r="M30" s="305">
        <f t="shared" si="38"/>
        <v>-28095848.63502761</v>
      </c>
      <c r="N30" s="305">
        <f t="shared" si="1"/>
        <v>670280466.02543235</v>
      </c>
      <c r="O30" s="305">
        <f t="shared" si="38"/>
        <v>30528410.430790771</v>
      </c>
      <c r="P30" s="305">
        <f t="shared" si="38"/>
        <v>31035182.043941896</v>
      </c>
      <c r="T30" s="305"/>
      <c r="U30" s="305"/>
      <c r="V30" s="339"/>
      <c r="W30" s="305"/>
      <c r="X30" s="340"/>
      <c r="Y30" s="242"/>
      <c r="Z30" s="305"/>
      <c r="AA30" s="305"/>
      <c r="AB30" s="305"/>
      <c r="AC30" s="305"/>
      <c r="AD30" s="305"/>
      <c r="AE30" s="305"/>
      <c r="AF30" s="305"/>
      <c r="AG30" s="305"/>
      <c r="AH30" s="305"/>
      <c r="AI30" s="305"/>
      <c r="AJ30" s="305"/>
      <c r="AK30" s="305"/>
      <c r="AL30" s="305"/>
      <c r="AM30" s="305"/>
      <c r="AN30" s="305"/>
    </row>
    <row r="31" spans="1:40" ht="13">
      <c r="A31" s="310">
        <f t="shared" si="5"/>
        <v>19</v>
      </c>
      <c r="C31" s="303" t="str">
        <f t="shared" si="36"/>
        <v>July</v>
      </c>
      <c r="D31" s="479">
        <v>2027</v>
      </c>
      <c r="E31" s="305">
        <f t="shared" ref="E31" si="39">E63+E94</f>
        <v>38187844.644940376</v>
      </c>
      <c r="F31" s="305">
        <f t="shared" ref="F31:P31" si="40">F63+F94</f>
        <v>8093876.7800000003</v>
      </c>
      <c r="G31" s="305">
        <f t="shared" si="40"/>
        <v>2257047.5898705279</v>
      </c>
      <c r="H31" s="305">
        <f t="shared" si="40"/>
        <v>2540265.2363848723</v>
      </c>
      <c r="I31" s="305">
        <f t="shared" si="40"/>
        <v>29213050.21842603</v>
      </c>
      <c r="J31" s="305">
        <f t="shared" si="40"/>
        <v>876391.50655278086</v>
      </c>
      <c r="K31" s="305">
        <f t="shared" si="40"/>
        <v>680965635.8953836</v>
      </c>
      <c r="L31" s="305">
        <f t="shared" si="40"/>
        <v>1406544.9720971207</v>
      </c>
      <c r="M31" s="305">
        <f t="shared" si="40"/>
        <v>-29229568.899315365</v>
      </c>
      <c r="N31" s="305">
        <f t="shared" si="1"/>
        <v>710195204.79469895</v>
      </c>
      <c r="O31" s="305">
        <f t="shared" si="40"/>
        <v>30739129.655302215</v>
      </c>
      <c r="P31" s="305">
        <f t="shared" si="40"/>
        <v>31249399.207580231</v>
      </c>
      <c r="T31" s="305"/>
      <c r="U31" s="305"/>
      <c r="V31" s="339"/>
      <c r="W31" s="305"/>
      <c r="X31" s="340"/>
      <c r="Y31" s="242"/>
      <c r="Z31" s="305"/>
      <c r="AA31" s="305"/>
      <c r="AB31" s="305"/>
      <c r="AC31" s="305"/>
      <c r="AD31" s="305"/>
      <c r="AE31" s="305"/>
      <c r="AF31" s="305"/>
      <c r="AG31" s="305"/>
      <c r="AH31" s="305"/>
      <c r="AI31" s="305"/>
      <c r="AJ31" s="305"/>
      <c r="AK31" s="305"/>
      <c r="AL31" s="305"/>
      <c r="AM31" s="305"/>
      <c r="AN31" s="305"/>
    </row>
    <row r="32" spans="1:40" ht="13">
      <c r="A32" s="310">
        <f t="shared" si="5"/>
        <v>20</v>
      </c>
      <c r="C32" s="303" t="str">
        <f t="shared" si="36"/>
        <v>August</v>
      </c>
      <c r="D32" s="479">
        <v>2027</v>
      </c>
      <c r="E32" s="305">
        <f t="shared" ref="E32" si="41">E64+E95</f>
        <v>33228141.824940324</v>
      </c>
      <c r="F32" s="305">
        <f t="shared" ref="F32:P32" si="42">F64+F95</f>
        <v>59815.960000000006</v>
      </c>
      <c r="G32" s="305">
        <f t="shared" si="42"/>
        <v>2487624.4398705242</v>
      </c>
      <c r="H32" s="305">
        <f t="shared" si="42"/>
        <v>2715650.0243848674</v>
      </c>
      <c r="I32" s="305">
        <f t="shared" si="42"/>
        <v>31229975.280425977</v>
      </c>
      <c r="J32" s="305">
        <f t="shared" si="42"/>
        <v>936899.25841277931</v>
      </c>
      <c r="K32" s="305">
        <f t="shared" si="42"/>
        <v>714902651.3942225</v>
      </c>
      <c r="L32" s="305">
        <f t="shared" si="42"/>
        <v>1491485.1047534316</v>
      </c>
      <c r="M32" s="305">
        <f t="shared" si="42"/>
        <v>-30453733.818946805</v>
      </c>
      <c r="N32" s="305">
        <f t="shared" si="1"/>
        <v>745356385.21316922</v>
      </c>
      <c r="O32" s="305">
        <f t="shared" si="42"/>
        <v>30949848.87981366</v>
      </c>
      <c r="P32" s="305">
        <f t="shared" si="42"/>
        <v>31463616.37121857</v>
      </c>
      <c r="T32" s="305"/>
      <c r="U32" s="305"/>
      <c r="V32" s="339"/>
      <c r="W32" s="305"/>
      <c r="X32" s="340"/>
      <c r="Y32" s="242"/>
      <c r="Z32" s="305"/>
      <c r="AA32" s="305"/>
      <c r="AB32" s="305"/>
      <c r="AC32" s="305"/>
      <c r="AD32" s="305"/>
      <c r="AE32" s="305"/>
      <c r="AF32" s="305"/>
      <c r="AG32" s="305"/>
      <c r="AH32" s="305"/>
      <c r="AI32" s="305"/>
      <c r="AJ32" s="305"/>
      <c r="AK32" s="305"/>
      <c r="AL32" s="305"/>
      <c r="AM32" s="305"/>
      <c r="AN32" s="305"/>
    </row>
    <row r="33" spans="1:40" ht="13">
      <c r="A33" s="310">
        <f t="shared" si="5"/>
        <v>21</v>
      </c>
      <c r="C33" s="303" t="str">
        <f t="shared" si="36"/>
        <v>September</v>
      </c>
      <c r="D33" s="479">
        <v>2027</v>
      </c>
      <c r="E33" s="305">
        <f t="shared" ref="E33" si="43">E65+E96</f>
        <v>25352533.710604429</v>
      </c>
      <c r="F33" s="305">
        <f t="shared" ref="F33:P33" si="44">F65+F96</f>
        <v>108283.49856399999</v>
      </c>
      <c r="G33" s="305">
        <f t="shared" si="44"/>
        <v>1893318.7659030322</v>
      </c>
      <c r="H33" s="305">
        <f t="shared" si="44"/>
        <v>1797765.5182354769</v>
      </c>
      <c r="I33" s="305">
        <f t="shared" si="44"/>
        <v>20674303.459707983</v>
      </c>
      <c r="J33" s="305">
        <f t="shared" si="44"/>
        <v>620229.10379123944</v>
      </c>
      <c r="K33" s="305">
        <f t="shared" si="44"/>
        <v>740970967.45628572</v>
      </c>
      <c r="L33" s="305">
        <f t="shared" si="44"/>
        <v>1565815.6589667145</v>
      </c>
      <c r="M33" s="305">
        <f t="shared" si="44"/>
        <v>-30685683.678215567</v>
      </c>
      <c r="N33" s="305">
        <f t="shared" si="1"/>
        <v>771656651.13450134</v>
      </c>
      <c r="O33" s="305">
        <f t="shared" si="44"/>
        <v>31415412.474325106</v>
      </c>
      <c r="P33" s="305">
        <f t="shared" si="44"/>
        <v>31936908.321398903</v>
      </c>
      <c r="T33" s="305"/>
      <c r="U33" s="305"/>
      <c r="V33" s="339"/>
      <c r="W33" s="305"/>
      <c r="X33" s="340"/>
      <c r="Y33" s="242"/>
      <c r="Z33" s="305"/>
      <c r="AA33" s="305"/>
      <c r="AB33" s="305"/>
      <c r="AC33" s="305"/>
      <c r="AD33" s="305"/>
      <c r="AE33" s="305"/>
      <c r="AF33" s="305"/>
      <c r="AG33" s="305"/>
      <c r="AH33" s="305"/>
      <c r="AI33" s="305"/>
      <c r="AJ33" s="305"/>
      <c r="AK33" s="305"/>
      <c r="AL33" s="305"/>
      <c r="AM33" s="305"/>
      <c r="AN33" s="305"/>
    </row>
    <row r="34" spans="1:40" ht="13">
      <c r="A34" s="310">
        <f t="shared" si="5"/>
        <v>22</v>
      </c>
      <c r="C34" s="303" t="str">
        <f t="shared" ref="C34" si="45">C66</f>
        <v>October</v>
      </c>
      <c r="D34" s="479">
        <v>2027</v>
      </c>
      <c r="E34" s="305">
        <f t="shared" ref="E34" si="46">E66+E97</f>
        <v>36653449.404940315</v>
      </c>
      <c r="F34" s="305">
        <f t="shared" ref="F34:P34" si="47">F66+F97</f>
        <v>7782858.54</v>
      </c>
      <c r="G34" s="305">
        <f t="shared" si="47"/>
        <v>2165294.3148705233</v>
      </c>
      <c r="H34" s="305">
        <f t="shared" si="47"/>
        <v>1899790.8143848672</v>
      </c>
      <c r="I34" s="305">
        <f t="shared" si="47"/>
        <v>21847594.365425974</v>
      </c>
      <c r="J34" s="305">
        <f t="shared" si="47"/>
        <v>655427.83096277923</v>
      </c>
      <c r="K34" s="305">
        <f t="shared" si="47"/>
        <v>778545348.19267452</v>
      </c>
      <c r="L34" s="305">
        <f t="shared" si="47"/>
        <v>1622911.7928434981</v>
      </c>
      <c r="M34" s="305">
        <f t="shared" si="47"/>
        <v>-30962562.699756939</v>
      </c>
      <c r="N34" s="305">
        <f t="shared" si="1"/>
        <v>809507910.89243138</v>
      </c>
      <c r="O34" s="305">
        <f t="shared" si="47"/>
        <v>31626131.69883655</v>
      </c>
      <c r="P34" s="305">
        <f t="shared" si="47"/>
        <v>32151125.485037237</v>
      </c>
      <c r="T34" s="305"/>
      <c r="U34" s="305"/>
      <c r="V34" s="339"/>
      <c r="W34" s="305"/>
      <c r="X34" s="340"/>
      <c r="Y34" s="242"/>
      <c r="Z34" s="305"/>
      <c r="AA34" s="305"/>
      <c r="AB34" s="305"/>
      <c r="AC34" s="305"/>
      <c r="AD34" s="305"/>
      <c r="AE34" s="305"/>
      <c r="AF34" s="305"/>
      <c r="AG34" s="305"/>
      <c r="AH34" s="305"/>
      <c r="AI34" s="305"/>
      <c r="AJ34" s="305"/>
      <c r="AK34" s="305"/>
      <c r="AL34" s="305"/>
      <c r="AM34" s="305"/>
      <c r="AN34" s="305"/>
    </row>
    <row r="35" spans="1:40" ht="13">
      <c r="A35" s="310">
        <f t="shared" si="5"/>
        <v>23</v>
      </c>
      <c r="C35" s="303" t="str">
        <f t="shared" ref="C35" si="48">C67</f>
        <v>November</v>
      </c>
      <c r="D35" s="479">
        <v>2027</v>
      </c>
      <c r="E35" s="305">
        <f t="shared" ref="E35" si="49">E67+E98</f>
        <v>29564900.50494051</v>
      </c>
      <c r="F35" s="305">
        <f t="shared" ref="F35:P35" si="50">F67+F98</f>
        <v>1718530.64</v>
      </c>
      <c r="G35" s="305">
        <f t="shared" si="50"/>
        <v>2088477.739870538</v>
      </c>
      <c r="H35" s="305">
        <f t="shared" si="50"/>
        <v>2169553.8083848837</v>
      </c>
      <c r="I35" s="305">
        <f t="shared" si="50"/>
        <v>24949868.796426162</v>
      </c>
      <c r="J35" s="305">
        <f t="shared" si="50"/>
        <v>748496.06389278488</v>
      </c>
      <c r="K35" s="305">
        <f t="shared" si="50"/>
        <v>808777668.69299352</v>
      </c>
      <c r="L35" s="305">
        <f t="shared" si="50"/>
        <v>1705209.0869132211</v>
      </c>
      <c r="M35" s="305">
        <f t="shared" si="50"/>
        <v>-31426907.421228595</v>
      </c>
      <c r="N35" s="305">
        <f t="shared" si="1"/>
        <v>840204576.11422217</v>
      </c>
      <c r="O35" s="305">
        <f t="shared" si="50"/>
        <v>31836850.923347995</v>
      </c>
      <c r="P35" s="305">
        <f t="shared" si="50"/>
        <v>32365342.648675572</v>
      </c>
      <c r="T35" s="305"/>
      <c r="U35" s="305"/>
      <c r="V35" s="339"/>
      <c r="W35" s="305"/>
      <c r="X35" s="340"/>
      <c r="Y35" s="242"/>
      <c r="Z35" s="305"/>
      <c r="AA35" s="305"/>
      <c r="AB35" s="305"/>
      <c r="AC35" s="305"/>
      <c r="AD35" s="305"/>
      <c r="AE35" s="305"/>
      <c r="AF35" s="305"/>
      <c r="AG35" s="305"/>
      <c r="AH35" s="305"/>
      <c r="AI35" s="305"/>
      <c r="AJ35" s="305"/>
      <c r="AK35" s="305"/>
      <c r="AL35" s="305"/>
      <c r="AM35" s="305"/>
      <c r="AN35" s="305"/>
    </row>
    <row r="36" spans="1:40" ht="13">
      <c r="A36" s="310">
        <f t="shared" si="5"/>
        <v>24</v>
      </c>
      <c r="C36" s="303" t="str">
        <f t="shared" ref="C36" si="51">C68</f>
        <v>December</v>
      </c>
      <c r="D36" s="479">
        <v>2027</v>
      </c>
      <c r="E36" s="305">
        <f t="shared" ref="E36" si="52">E68+E99</f>
        <v>65231781.326614916</v>
      </c>
      <c r="F36" s="305">
        <f t="shared" ref="F36:P36" si="53">F68+F99</f>
        <v>1351626.2178686657</v>
      </c>
      <c r="G36" s="305">
        <f t="shared" si="53"/>
        <v>4791011.633155969</v>
      </c>
      <c r="H36" s="305">
        <f t="shared" si="53"/>
        <v>2112173.3393521775</v>
      </c>
      <c r="I36" s="305">
        <f t="shared" si="53"/>
        <v>24289993.402550042</v>
      </c>
      <c r="J36" s="305">
        <f t="shared" si="53"/>
        <v>728699.80207650119</v>
      </c>
      <c r="K36" s="341">
        <f t="shared" si="53"/>
        <v>877416988.11548853</v>
      </c>
      <c r="L36" s="305">
        <f t="shared" si="53"/>
        <v>1771425.4322491623</v>
      </c>
      <c r="M36" s="305">
        <f t="shared" si="53"/>
        <v>-31767655.328331612</v>
      </c>
      <c r="N36" s="341">
        <f t="shared" si="1"/>
        <v>909184643.44382012</v>
      </c>
      <c r="O36" s="305">
        <f t="shared" si="53"/>
        <v>33380373.60165944</v>
      </c>
      <c r="P36" s="341">
        <f t="shared" si="53"/>
        <v>33934487.803446986</v>
      </c>
      <c r="T36" s="305"/>
      <c r="U36" s="305"/>
      <c r="V36" s="339"/>
      <c r="W36" s="305"/>
      <c r="X36" s="340"/>
      <c r="Y36" s="242"/>
      <c r="Z36" s="305"/>
      <c r="AA36" s="305"/>
      <c r="AB36" s="305"/>
      <c r="AC36" s="305"/>
      <c r="AD36" s="305"/>
      <c r="AE36" s="305"/>
      <c r="AF36" s="305"/>
      <c r="AG36" s="305"/>
      <c r="AH36" s="305"/>
      <c r="AI36" s="305"/>
      <c r="AJ36" s="305"/>
      <c r="AK36" s="305"/>
      <c r="AL36" s="305"/>
      <c r="AM36" s="305"/>
      <c r="AN36" s="305"/>
    </row>
    <row r="37" spans="1:40" s="307" customFormat="1" ht="13">
      <c r="A37" s="310">
        <f t="shared" si="5"/>
        <v>25</v>
      </c>
      <c r="D37" s="312" t="s">
        <v>1095</v>
      </c>
      <c r="K37" s="355">
        <f>AVERAGE(K24:K36)</f>
        <v>641610018.89519763</v>
      </c>
      <c r="M37" s="355"/>
      <c r="N37" s="355">
        <f>AVERAGE(N24:N36)</f>
        <v>668867512.76452649</v>
      </c>
      <c r="O37" s="355"/>
      <c r="P37" s="355">
        <f>AVERAGE(P24:P36)</f>
        <v>31012876.001757052</v>
      </c>
      <c r="Q37" s="356"/>
    </row>
    <row r="38" spans="1:40" ht="13">
      <c r="A38" s="310"/>
      <c r="T38" s="305"/>
      <c r="U38" s="305"/>
      <c r="Z38" s="305"/>
    </row>
    <row r="39" spans="1:40" ht="13">
      <c r="A39" s="310"/>
      <c r="B39" s="307" t="s">
        <v>1438</v>
      </c>
      <c r="G39" s="310"/>
      <c r="K39" s="242"/>
      <c r="M39" s="242"/>
      <c r="N39" s="242"/>
      <c r="O39" s="242"/>
      <c r="P39" s="242"/>
    </row>
    <row r="40" spans="1:40" ht="13">
      <c r="A40" s="310"/>
      <c r="B40" s="307"/>
      <c r="E40" s="328" t="s">
        <v>345</v>
      </c>
      <c r="F40" s="328" t="s">
        <v>346</v>
      </c>
      <c r="G40" s="328" t="s">
        <v>347</v>
      </c>
      <c r="H40" s="328" t="s">
        <v>348</v>
      </c>
      <c r="I40" s="328" t="s">
        <v>349</v>
      </c>
      <c r="J40" s="328" t="s">
        <v>350</v>
      </c>
      <c r="K40" s="357" t="s">
        <v>351</v>
      </c>
      <c r="L40" s="328" t="s">
        <v>352</v>
      </c>
      <c r="M40" s="357" t="s">
        <v>353</v>
      </c>
      <c r="N40" s="357" t="s">
        <v>603</v>
      </c>
      <c r="O40" s="357" t="s">
        <v>604</v>
      </c>
      <c r="P40" s="357" t="s">
        <v>605</v>
      </c>
    </row>
    <row r="41" spans="1:40" ht="25.5">
      <c r="A41" s="310"/>
      <c r="B41" s="307"/>
      <c r="E41" s="618" t="s">
        <v>1439</v>
      </c>
      <c r="F41" s="618" t="s">
        <v>1440</v>
      </c>
      <c r="G41" s="618" t="s">
        <v>1441</v>
      </c>
      <c r="H41" s="619" t="s">
        <v>453</v>
      </c>
      <c r="I41" s="619" t="s">
        <v>453</v>
      </c>
      <c r="J41" s="337" t="s">
        <v>453</v>
      </c>
      <c r="K41" s="616" t="s">
        <v>1442</v>
      </c>
      <c r="L41" s="616" t="s">
        <v>1443</v>
      </c>
      <c r="M41" s="617" t="s">
        <v>1444</v>
      </c>
      <c r="N41" s="620" t="s">
        <v>1445</v>
      </c>
      <c r="O41" s="620"/>
      <c r="P41" s="617" t="s">
        <v>1446</v>
      </c>
    </row>
    <row r="42" spans="1:40" ht="13">
      <c r="A42" s="310"/>
      <c r="C42" s="310" t="str">
        <f>C10</f>
        <v>Forecast</v>
      </c>
      <c r="E42" s="310" t="str">
        <f>E10</f>
        <v>Unloaded</v>
      </c>
      <c r="F42" s="310"/>
      <c r="G42" s="310"/>
      <c r="I42" s="310" t="str">
        <f>I10</f>
        <v>AFUDC</v>
      </c>
      <c r="J42" s="310"/>
      <c r="K42" s="310"/>
      <c r="L42" s="310"/>
      <c r="M42" s="310"/>
      <c r="N42" s="310"/>
      <c r="O42" s="310" t="str">
        <f t="shared" ref="O42:P44" si="54">O10</f>
        <v>Unloaded</v>
      </c>
      <c r="P42" s="310" t="str">
        <f t="shared" si="54"/>
        <v>Loaded</v>
      </c>
    </row>
    <row r="43" spans="1:40" ht="13">
      <c r="A43" s="310"/>
      <c r="B43" s="307"/>
      <c r="C43" s="310" t="str">
        <f>C11</f>
        <v>Period</v>
      </c>
      <c r="E43" s="310" t="str">
        <f>E11</f>
        <v>Total</v>
      </c>
      <c r="F43" s="310" t="str">
        <f t="shared" ref="F43:H44" si="55">F11</f>
        <v>Prior Period</v>
      </c>
      <c r="G43" s="310" t="str">
        <f t="shared" si="55"/>
        <v>Over Heads</v>
      </c>
      <c r="H43" s="310" t="str">
        <f t="shared" si="55"/>
        <v xml:space="preserve">Cost of </v>
      </c>
      <c r="I43" s="310" t="str">
        <f>I11</f>
        <v>Eligible Plant</v>
      </c>
      <c r="J43" s="310"/>
      <c r="K43" s="310" t="str">
        <f>K11</f>
        <v>Incremental</v>
      </c>
      <c r="L43" s="310" t="str">
        <f>L11</f>
        <v>Depreciation</v>
      </c>
      <c r="M43" s="310"/>
      <c r="N43" s="310"/>
      <c r="O43" s="310" t="str">
        <f t="shared" si="54"/>
        <v>Low Voltage</v>
      </c>
      <c r="P43" s="310" t="str">
        <f t="shared" si="54"/>
        <v>Low Voltage</v>
      </c>
    </row>
    <row r="44" spans="1:40" ht="13">
      <c r="A44" s="338" t="s">
        <v>282</v>
      </c>
      <c r="C44" s="328" t="str">
        <f t="shared" ref="C44:D44" si="56">C12</f>
        <v>Month</v>
      </c>
      <c r="D44" s="328" t="str">
        <f t="shared" si="56"/>
        <v>Year</v>
      </c>
      <c r="E44" s="328" t="str">
        <f>E12</f>
        <v>Plant Adds</v>
      </c>
      <c r="F44" s="328" t="str">
        <f t="shared" si="55"/>
        <v>CWIP Closed</v>
      </c>
      <c r="G44" s="328" t="str">
        <f t="shared" si="55"/>
        <v>Closed to PIS</v>
      </c>
      <c r="H44" s="328" t="str">
        <f t="shared" si="55"/>
        <v>Removal</v>
      </c>
      <c r="I44" s="328" t="str">
        <f>I12</f>
        <v>Additions</v>
      </c>
      <c r="J44" s="328" t="str">
        <f>J12</f>
        <v>AFUDC</v>
      </c>
      <c r="K44" s="328" t="str">
        <f>K12</f>
        <v>Gross Plant</v>
      </c>
      <c r="L44" s="328" t="str">
        <f>L12</f>
        <v>Accrual</v>
      </c>
      <c r="M44" s="328" t="str">
        <f>M12</f>
        <v>Reserve</v>
      </c>
      <c r="N44" s="328" t="str">
        <f>N12</f>
        <v>Net Plant</v>
      </c>
      <c r="O44" s="328" t="str">
        <f t="shared" si="54"/>
        <v>Additions</v>
      </c>
      <c r="P44" s="328" t="str">
        <f t="shared" si="54"/>
        <v>Additions</v>
      </c>
      <c r="T44" s="328"/>
      <c r="U44" s="328"/>
      <c r="V44" s="328"/>
      <c r="W44" s="328"/>
      <c r="X44" s="328"/>
      <c r="Y44" s="328"/>
    </row>
    <row r="45" spans="1:40" ht="13">
      <c r="A45" s="310">
        <f>A37+1</f>
        <v>26</v>
      </c>
      <c r="C45" s="329" t="s">
        <v>390</v>
      </c>
      <c r="D45" s="479">
        <v>2026</v>
      </c>
      <c r="E45" s="344">
        <f>'10-CWIP'!G55</f>
        <v>166554.3322</v>
      </c>
      <c r="F45" s="344">
        <f>'10-CWIP'!H55</f>
        <v>0</v>
      </c>
      <c r="G45" s="344">
        <f>'10-CWIP'!I55</f>
        <v>12491.574915000001</v>
      </c>
      <c r="H45" s="358">
        <v>0</v>
      </c>
      <c r="I45" s="305">
        <v>0</v>
      </c>
      <c r="J45" s="359">
        <v>0</v>
      </c>
      <c r="K45" s="305">
        <f>0+E45+G45</f>
        <v>179045.90711500001</v>
      </c>
      <c r="L45" s="305">
        <v>0</v>
      </c>
      <c r="M45" s="305">
        <f>L45- H45</f>
        <v>0</v>
      </c>
      <c r="N45" s="305">
        <f>K45-M45</f>
        <v>179045.90711500001</v>
      </c>
      <c r="O45" s="360">
        <v>0</v>
      </c>
      <c r="P45" s="359">
        <f t="shared" ref="P45:P68" si="57">O45*(1-$E$107)*(1+$E$103+$E$111)</f>
        <v>0</v>
      </c>
      <c r="S45" s="305"/>
      <c r="T45" s="343"/>
      <c r="U45" s="340"/>
      <c r="V45" s="242"/>
      <c r="W45" s="343"/>
      <c r="X45" s="340"/>
      <c r="Y45" s="242"/>
    </row>
    <row r="46" spans="1:40" ht="13">
      <c r="A46" s="310">
        <f t="shared" ref="A46:A99" si="58">A45+1</f>
        <v>27</v>
      </c>
      <c r="C46" s="329" t="s">
        <v>391</v>
      </c>
      <c r="D46" s="479">
        <v>2026</v>
      </c>
      <c r="E46" s="344">
        <f>'10-CWIP'!G56</f>
        <v>115312.00000000001</v>
      </c>
      <c r="F46" s="344">
        <f>'10-CWIP'!H56</f>
        <v>0</v>
      </c>
      <c r="G46" s="344">
        <f>'10-CWIP'!I56</f>
        <v>8648.4000000000015</v>
      </c>
      <c r="H46" s="358">
        <v>0</v>
      </c>
      <c r="I46" s="305">
        <v>0</v>
      </c>
      <c r="J46" s="359">
        <v>0</v>
      </c>
      <c r="K46" s="305">
        <f>K45+E46+G46</f>
        <v>303006.30711500003</v>
      </c>
      <c r="L46" s="305">
        <f t="shared" ref="L46:L68" si="59">K45*$E$139/12</f>
        <v>392.15532980303698</v>
      </c>
      <c r="M46" s="305">
        <f>(M45+L46)-H46</f>
        <v>392.15532980303698</v>
      </c>
      <c r="N46" s="305">
        <f t="shared" ref="N46:N68" si="60">K46-M46</f>
        <v>302614.15178519697</v>
      </c>
      <c r="O46" s="360">
        <v>0</v>
      </c>
      <c r="P46" s="359">
        <f t="shared" si="57"/>
        <v>0</v>
      </c>
      <c r="S46" s="305"/>
      <c r="T46" s="343"/>
      <c r="U46" s="340"/>
      <c r="V46" s="242"/>
      <c r="W46" s="343"/>
      <c r="X46" s="340"/>
      <c r="Y46" s="242"/>
    </row>
    <row r="47" spans="1:40" ht="13">
      <c r="A47" s="310">
        <f t="shared" si="58"/>
        <v>28</v>
      </c>
      <c r="C47" s="329" t="s">
        <v>392</v>
      </c>
      <c r="D47" s="479">
        <v>2026</v>
      </c>
      <c r="E47" s="344">
        <f>'10-CWIP'!G57</f>
        <v>148000</v>
      </c>
      <c r="F47" s="344">
        <f>'10-CWIP'!H57</f>
        <v>0</v>
      </c>
      <c r="G47" s="344">
        <f>'10-CWIP'!I57</f>
        <v>11100</v>
      </c>
      <c r="H47" s="358">
        <v>0</v>
      </c>
      <c r="I47" s="305">
        <v>0</v>
      </c>
      <c r="J47" s="359">
        <v>0</v>
      </c>
      <c r="K47" s="305">
        <f t="shared" ref="K47:K68" si="61">K46+E47+G47</f>
        <v>462106.30711500003</v>
      </c>
      <c r="L47" s="305">
        <f t="shared" si="59"/>
        <v>663.65961788091749</v>
      </c>
      <c r="M47" s="305">
        <f>(M46+L47)-H47</f>
        <v>1055.8149476839544</v>
      </c>
      <c r="N47" s="305">
        <f t="shared" si="60"/>
        <v>461050.49216731609</v>
      </c>
      <c r="O47" s="360">
        <v>0</v>
      </c>
      <c r="P47" s="359">
        <f t="shared" si="57"/>
        <v>0</v>
      </c>
      <c r="S47" s="305"/>
      <c r="T47" s="343"/>
      <c r="U47" s="340"/>
      <c r="V47" s="242"/>
      <c r="W47" s="343"/>
      <c r="X47" s="340"/>
      <c r="Y47" s="242"/>
    </row>
    <row r="48" spans="1:40" ht="13">
      <c r="A48" s="310">
        <f t="shared" si="58"/>
        <v>29</v>
      </c>
      <c r="C48" s="329" t="s">
        <v>393</v>
      </c>
      <c r="D48" s="479">
        <v>2026</v>
      </c>
      <c r="E48" s="344">
        <f>'10-CWIP'!G58</f>
        <v>4843000</v>
      </c>
      <c r="F48" s="344">
        <f>'10-CWIP'!H58</f>
        <v>0</v>
      </c>
      <c r="G48" s="344">
        <f>'10-CWIP'!I58</f>
        <v>363225</v>
      </c>
      <c r="H48" s="358">
        <v>0</v>
      </c>
      <c r="I48" s="305">
        <v>0</v>
      </c>
      <c r="J48" s="359">
        <v>0</v>
      </c>
      <c r="K48" s="305">
        <f t="shared" si="61"/>
        <v>5668331.3071149997</v>
      </c>
      <c r="L48" s="305">
        <f t="shared" si="59"/>
        <v>1012.1284210889644</v>
      </c>
      <c r="M48" s="305">
        <f t="shared" ref="M48:M67" si="62">(M47+L48)-H48</f>
        <v>2067.9433687729188</v>
      </c>
      <c r="N48" s="305">
        <f t="shared" si="60"/>
        <v>5666263.3637462268</v>
      </c>
      <c r="O48" s="360">
        <v>0</v>
      </c>
      <c r="P48" s="359">
        <f t="shared" si="57"/>
        <v>0</v>
      </c>
      <c r="S48" s="305"/>
      <c r="T48" s="343"/>
      <c r="U48" s="340"/>
      <c r="V48" s="242"/>
      <c r="W48" s="343"/>
      <c r="X48" s="340"/>
      <c r="Y48" s="242"/>
    </row>
    <row r="49" spans="1:25" ht="13">
      <c r="A49" s="310">
        <f t="shared" si="58"/>
        <v>30</v>
      </c>
      <c r="C49" s="329" t="s">
        <v>394</v>
      </c>
      <c r="D49" s="479">
        <v>2026</v>
      </c>
      <c r="E49" s="344">
        <f>'10-CWIP'!G59</f>
        <v>148000</v>
      </c>
      <c r="F49" s="344">
        <f>'10-CWIP'!H59</f>
        <v>0</v>
      </c>
      <c r="G49" s="344">
        <f>'10-CWIP'!I59</f>
        <v>11100</v>
      </c>
      <c r="H49" s="358">
        <v>0</v>
      </c>
      <c r="I49" s="305">
        <v>0</v>
      </c>
      <c r="J49" s="359">
        <v>0</v>
      </c>
      <c r="K49" s="305">
        <f t="shared" si="61"/>
        <v>5827431.3071149997</v>
      </c>
      <c r="L49" s="305">
        <f t="shared" si="59"/>
        <v>12415.063650390121</v>
      </c>
      <c r="M49" s="305">
        <f t="shared" si="62"/>
        <v>14483.00701916304</v>
      </c>
      <c r="N49" s="305">
        <f t="shared" si="60"/>
        <v>5812948.3000958366</v>
      </c>
      <c r="O49" s="360">
        <v>0</v>
      </c>
      <c r="P49" s="359">
        <f t="shared" si="57"/>
        <v>0</v>
      </c>
      <c r="S49" s="305"/>
      <c r="T49" s="343"/>
      <c r="U49" s="340"/>
      <c r="V49" s="242"/>
      <c r="W49" s="343"/>
      <c r="X49" s="340"/>
      <c r="Y49" s="242"/>
    </row>
    <row r="50" spans="1:25" ht="13">
      <c r="A50" s="310">
        <f t="shared" si="58"/>
        <v>31</v>
      </c>
      <c r="C50" s="329" t="s">
        <v>395</v>
      </c>
      <c r="D50" s="479">
        <v>2026</v>
      </c>
      <c r="E50" s="344">
        <f>'10-CWIP'!G60</f>
        <v>44893005.960000001</v>
      </c>
      <c r="F50" s="344">
        <f>'10-CWIP'!H60</f>
        <v>32817827.959999997</v>
      </c>
      <c r="G50" s="344">
        <f>'10-CWIP'!I60</f>
        <v>905638.35000000021</v>
      </c>
      <c r="H50" s="358">
        <v>0</v>
      </c>
      <c r="I50" s="305">
        <v>0</v>
      </c>
      <c r="J50" s="359">
        <v>0</v>
      </c>
      <c r="K50" s="305">
        <f t="shared" si="61"/>
        <v>51626075.617114998</v>
      </c>
      <c r="L50" s="305">
        <f t="shared" si="59"/>
        <v>12763.532453598169</v>
      </c>
      <c r="M50" s="305">
        <f t="shared" si="62"/>
        <v>27246.539472761207</v>
      </c>
      <c r="N50" s="305">
        <f t="shared" si="60"/>
        <v>51598829.07764224</v>
      </c>
      <c r="O50" s="360">
        <v>0</v>
      </c>
      <c r="P50" s="359">
        <f t="shared" si="57"/>
        <v>0</v>
      </c>
      <c r="S50" s="305"/>
      <c r="T50" s="343"/>
      <c r="U50" s="340"/>
      <c r="V50" s="242"/>
      <c r="W50" s="343"/>
      <c r="X50" s="340"/>
      <c r="Y50" s="242"/>
    </row>
    <row r="51" spans="1:25" ht="13">
      <c r="A51" s="310">
        <f t="shared" si="58"/>
        <v>32</v>
      </c>
      <c r="C51" s="329" t="s">
        <v>396</v>
      </c>
      <c r="D51" s="479">
        <v>2026</v>
      </c>
      <c r="E51" s="344">
        <f>'10-CWIP'!G61</f>
        <v>299000</v>
      </c>
      <c r="F51" s="344">
        <f>'10-CWIP'!H61</f>
        <v>0</v>
      </c>
      <c r="G51" s="344">
        <f>'10-CWIP'!I61</f>
        <v>22425</v>
      </c>
      <c r="H51" s="358">
        <v>0</v>
      </c>
      <c r="I51" s="305">
        <v>0</v>
      </c>
      <c r="J51" s="359">
        <v>0</v>
      </c>
      <c r="K51" s="305">
        <f t="shared" si="61"/>
        <v>51947500.617114998</v>
      </c>
      <c r="L51" s="305">
        <f t="shared" si="59"/>
        <v>113074.02127356503</v>
      </c>
      <c r="M51" s="305">
        <f t="shared" si="62"/>
        <v>140320.56074632623</v>
      </c>
      <c r="N51" s="305">
        <f t="shared" si="60"/>
        <v>51807180.056368671</v>
      </c>
      <c r="O51" s="360">
        <v>0</v>
      </c>
      <c r="P51" s="359">
        <f t="shared" si="57"/>
        <v>0</v>
      </c>
      <c r="S51" s="305"/>
      <c r="T51" s="343"/>
      <c r="U51" s="340"/>
      <c r="V51" s="242"/>
      <c r="W51" s="343"/>
      <c r="X51" s="340"/>
      <c r="Y51" s="242"/>
    </row>
    <row r="52" spans="1:25" ht="13">
      <c r="A52" s="310">
        <f t="shared" si="58"/>
        <v>33</v>
      </c>
      <c r="C52" s="329" t="s">
        <v>397</v>
      </c>
      <c r="D52" s="479">
        <v>2026</v>
      </c>
      <c r="E52" s="344">
        <f>'10-CWIP'!G62</f>
        <v>297000</v>
      </c>
      <c r="F52" s="344">
        <f>'10-CWIP'!H62</f>
        <v>0</v>
      </c>
      <c r="G52" s="344">
        <f>'10-CWIP'!I62</f>
        <v>22275</v>
      </c>
      <c r="H52" s="358">
        <v>0</v>
      </c>
      <c r="I52" s="305">
        <v>0</v>
      </c>
      <c r="J52" s="359">
        <v>0</v>
      </c>
      <c r="K52" s="305">
        <f t="shared" si="61"/>
        <v>52266775.617114998</v>
      </c>
      <c r="L52" s="305">
        <f t="shared" si="59"/>
        <v>113778.0224368029</v>
      </c>
      <c r="M52" s="305">
        <f t="shared" si="62"/>
        <v>254098.58318312914</v>
      </c>
      <c r="N52" s="305">
        <f t="shared" si="60"/>
        <v>52012677.033931866</v>
      </c>
      <c r="O52" s="360">
        <v>0</v>
      </c>
      <c r="P52" s="359">
        <f t="shared" si="57"/>
        <v>0</v>
      </c>
      <c r="S52" s="305"/>
      <c r="T52" s="343"/>
      <c r="U52" s="340"/>
      <c r="V52" s="242"/>
      <c r="W52" s="343"/>
      <c r="X52" s="340"/>
      <c r="Y52" s="242"/>
    </row>
    <row r="53" spans="1:25" ht="13">
      <c r="A53" s="310">
        <f t="shared" si="58"/>
        <v>34</v>
      </c>
      <c r="C53" s="329" t="s">
        <v>398</v>
      </c>
      <c r="D53" s="479">
        <v>2026</v>
      </c>
      <c r="E53" s="344">
        <f>'10-CWIP'!G63</f>
        <v>298000</v>
      </c>
      <c r="F53" s="344">
        <f>'10-CWIP'!H63</f>
        <v>0</v>
      </c>
      <c r="G53" s="344">
        <f>'10-CWIP'!I63</f>
        <v>22350</v>
      </c>
      <c r="H53" s="358">
        <v>0</v>
      </c>
      <c r="I53" s="305">
        <v>0</v>
      </c>
      <c r="J53" s="359">
        <v>0</v>
      </c>
      <c r="K53" s="305">
        <f t="shared" si="61"/>
        <v>52587125.617114998</v>
      </c>
      <c r="L53" s="305">
        <f t="shared" si="59"/>
        <v>114477.31456215959</v>
      </c>
      <c r="M53" s="305">
        <f t="shared" si="62"/>
        <v>368575.89774528873</v>
      </c>
      <c r="N53" s="305">
        <f t="shared" si="60"/>
        <v>52218549.719369709</v>
      </c>
      <c r="O53" s="360">
        <v>0</v>
      </c>
      <c r="P53" s="359">
        <f t="shared" si="57"/>
        <v>0</v>
      </c>
      <c r="S53" s="305"/>
      <c r="T53" s="343"/>
      <c r="U53" s="340"/>
      <c r="V53" s="242"/>
      <c r="W53" s="343"/>
      <c r="X53" s="340"/>
      <c r="Y53" s="242"/>
    </row>
    <row r="54" spans="1:25" ht="13">
      <c r="A54" s="310">
        <f t="shared" si="58"/>
        <v>35</v>
      </c>
      <c r="C54" s="329" t="s">
        <v>1065</v>
      </c>
      <c r="D54" s="479">
        <v>2026</v>
      </c>
      <c r="E54" s="344">
        <f>'10-CWIP'!G64</f>
        <v>307000</v>
      </c>
      <c r="F54" s="344">
        <f>'10-CWIP'!H64</f>
        <v>0</v>
      </c>
      <c r="G54" s="344">
        <f>'10-CWIP'!I64</f>
        <v>23025</v>
      </c>
      <c r="H54" s="358">
        <v>0</v>
      </c>
      <c r="I54" s="305">
        <v>0</v>
      </c>
      <c r="J54" s="359">
        <v>0</v>
      </c>
      <c r="K54" s="305">
        <f t="shared" si="61"/>
        <v>52917150.617114998</v>
      </c>
      <c r="L54" s="305">
        <f t="shared" si="59"/>
        <v>115178.96120645688</v>
      </c>
      <c r="M54" s="305">
        <f t="shared" si="62"/>
        <v>483754.85895174561</v>
      </c>
      <c r="N54" s="305">
        <f t="shared" si="60"/>
        <v>52433395.758163251</v>
      </c>
      <c r="O54" s="360">
        <v>0</v>
      </c>
      <c r="P54" s="359">
        <f t="shared" si="57"/>
        <v>0</v>
      </c>
      <c r="S54" s="305"/>
      <c r="T54" s="343"/>
      <c r="U54" s="340"/>
      <c r="V54" s="242"/>
      <c r="W54" s="343"/>
      <c r="X54" s="340"/>
      <c r="Y54" s="242"/>
    </row>
    <row r="55" spans="1:25" ht="13">
      <c r="A55" s="310">
        <f t="shared" si="58"/>
        <v>36</v>
      </c>
      <c r="C55" s="329" t="s">
        <v>400</v>
      </c>
      <c r="D55" s="479">
        <v>2026</v>
      </c>
      <c r="E55" s="344">
        <f>'10-CWIP'!G65</f>
        <v>390000</v>
      </c>
      <c r="F55" s="344">
        <f>'10-CWIP'!H65</f>
        <v>0</v>
      </c>
      <c r="G55" s="344">
        <f>'10-CWIP'!I65</f>
        <v>29250</v>
      </c>
      <c r="H55" s="358">
        <v>0</v>
      </c>
      <c r="I55" s="305">
        <v>0</v>
      </c>
      <c r="J55" s="359">
        <v>0</v>
      </c>
      <c r="K55" s="305">
        <f t="shared" si="61"/>
        <v>53336400.617114998</v>
      </c>
      <c r="L55" s="305">
        <f t="shared" si="59"/>
        <v>115901.79852121952</v>
      </c>
      <c r="M55" s="305">
        <f t="shared" si="62"/>
        <v>599656.65747296507</v>
      </c>
      <c r="N55" s="305">
        <f t="shared" si="60"/>
        <v>52736743.95964203</v>
      </c>
      <c r="O55" s="360">
        <v>0</v>
      </c>
      <c r="P55" s="359">
        <f>O55*(1-$E$107)*(1+$E$103+$E$111)</f>
        <v>0</v>
      </c>
      <c r="S55" s="305"/>
      <c r="T55" s="343"/>
      <c r="U55" s="340"/>
      <c r="V55" s="242"/>
      <c r="W55" s="343"/>
      <c r="X55" s="340"/>
      <c r="Y55" s="242"/>
    </row>
    <row r="56" spans="1:25" ht="13">
      <c r="A56" s="310">
        <f t="shared" si="58"/>
        <v>37</v>
      </c>
      <c r="C56" s="329" t="s">
        <v>388</v>
      </c>
      <c r="D56" s="479">
        <v>2026</v>
      </c>
      <c r="E56" s="344">
        <f>'10-CWIP'!G66</f>
        <v>2972278</v>
      </c>
      <c r="F56" s="344">
        <f>'10-CWIP'!H66</f>
        <v>0</v>
      </c>
      <c r="G56" s="344">
        <f>'10-CWIP'!I66</f>
        <v>222920.85</v>
      </c>
      <c r="H56" s="358">
        <v>0</v>
      </c>
      <c r="I56" s="305">
        <v>0</v>
      </c>
      <c r="J56" s="359">
        <v>0</v>
      </c>
      <c r="K56" s="305">
        <f t="shared" si="61"/>
        <v>56531599.467115</v>
      </c>
      <c r="L56" s="305">
        <f t="shared" si="59"/>
        <v>116820.06090805154</v>
      </c>
      <c r="M56" s="305">
        <f t="shared" si="62"/>
        <v>716476.71838101663</v>
      </c>
      <c r="N56" s="305">
        <f t="shared" si="60"/>
        <v>55815122.748733982</v>
      </c>
      <c r="O56" s="360">
        <v>0</v>
      </c>
      <c r="P56" s="359">
        <f t="shared" si="57"/>
        <v>0</v>
      </c>
      <c r="S56" s="305"/>
      <c r="T56" s="343"/>
      <c r="U56" s="340"/>
      <c r="V56" s="242"/>
      <c r="W56" s="343"/>
      <c r="X56" s="340"/>
      <c r="Y56" s="242"/>
    </row>
    <row r="57" spans="1:25" ht="13">
      <c r="A57" s="310">
        <f t="shared" si="58"/>
        <v>38</v>
      </c>
      <c r="C57" s="329" t="s">
        <v>390</v>
      </c>
      <c r="D57" s="479">
        <v>2027</v>
      </c>
      <c r="E57" s="344">
        <f>'10-CWIP'!G67</f>
        <v>10000</v>
      </c>
      <c r="F57" s="344">
        <f>'10-CWIP'!H67</f>
        <v>0</v>
      </c>
      <c r="G57" s="344">
        <f>'10-CWIP'!I67</f>
        <v>750</v>
      </c>
      <c r="H57" s="358">
        <v>0</v>
      </c>
      <c r="I57" s="305">
        <v>0</v>
      </c>
      <c r="J57" s="359">
        <v>0</v>
      </c>
      <c r="K57" s="305">
        <f t="shared" si="61"/>
        <v>56542349.467115</v>
      </c>
      <c r="L57" s="305">
        <f t="shared" si="59"/>
        <v>123818.3457557651</v>
      </c>
      <c r="M57" s="305">
        <f t="shared" si="62"/>
        <v>840295.06413678173</v>
      </c>
      <c r="N57" s="305">
        <f t="shared" si="60"/>
        <v>55702054.402978219</v>
      </c>
      <c r="O57" s="360">
        <v>0</v>
      </c>
      <c r="P57" s="359">
        <f t="shared" si="57"/>
        <v>0</v>
      </c>
      <c r="S57" s="305"/>
      <c r="T57" s="343"/>
      <c r="U57" s="340"/>
      <c r="V57" s="242"/>
      <c r="W57" s="343"/>
      <c r="X57" s="340"/>
      <c r="Y57" s="242"/>
    </row>
    <row r="58" spans="1:25" ht="13">
      <c r="A58" s="310">
        <f t="shared" si="58"/>
        <v>39</v>
      </c>
      <c r="C58" s="329" t="s">
        <v>391</v>
      </c>
      <c r="D58" s="479">
        <v>2027</v>
      </c>
      <c r="E58" s="344">
        <f>'10-CWIP'!G68</f>
        <v>10000</v>
      </c>
      <c r="F58" s="344">
        <f>'10-CWIP'!H68</f>
        <v>0</v>
      </c>
      <c r="G58" s="344">
        <f>'10-CWIP'!I68</f>
        <v>750</v>
      </c>
      <c r="H58" s="358">
        <v>0</v>
      </c>
      <c r="I58" s="305">
        <v>0</v>
      </c>
      <c r="J58" s="359">
        <v>0</v>
      </c>
      <c r="K58" s="305">
        <f t="shared" si="61"/>
        <v>56553099.467115</v>
      </c>
      <c r="L58" s="305">
        <f t="shared" si="59"/>
        <v>123841.89094517105</v>
      </c>
      <c r="M58" s="305">
        <f t="shared" si="62"/>
        <v>964136.95508195274</v>
      </c>
      <c r="N58" s="305">
        <f t="shared" si="60"/>
        <v>55588962.512033045</v>
      </c>
      <c r="O58" s="360">
        <v>0</v>
      </c>
      <c r="P58" s="359">
        <f t="shared" si="57"/>
        <v>0</v>
      </c>
      <c r="S58" s="305"/>
      <c r="T58" s="343"/>
      <c r="U58" s="340"/>
      <c r="V58" s="242"/>
      <c r="W58" s="343"/>
      <c r="X58" s="340"/>
      <c r="Y58" s="242"/>
    </row>
    <row r="59" spans="1:25" ht="13">
      <c r="A59" s="310">
        <f t="shared" si="58"/>
        <v>40</v>
      </c>
      <c r="C59" s="329" t="s">
        <v>392</v>
      </c>
      <c r="D59" s="479">
        <v>2027</v>
      </c>
      <c r="E59" s="344">
        <f>'10-CWIP'!G69</f>
        <v>2955428.88</v>
      </c>
      <c r="F59" s="344">
        <f>'10-CWIP'!H69</f>
        <v>2395428.88</v>
      </c>
      <c r="G59" s="344">
        <f>'10-CWIP'!I69</f>
        <v>42000</v>
      </c>
      <c r="H59" s="358">
        <v>0</v>
      </c>
      <c r="I59" s="305">
        <v>0</v>
      </c>
      <c r="J59" s="359">
        <v>0</v>
      </c>
      <c r="K59" s="305">
        <f t="shared" si="61"/>
        <v>59550528.347115003</v>
      </c>
      <c r="L59" s="305">
        <f t="shared" si="59"/>
        <v>123865.43613457699</v>
      </c>
      <c r="M59" s="305">
        <f t="shared" si="62"/>
        <v>1088002.3912165298</v>
      </c>
      <c r="N59" s="305">
        <f t="shared" si="60"/>
        <v>58462525.955898471</v>
      </c>
      <c r="O59" s="360">
        <v>0</v>
      </c>
      <c r="P59" s="359">
        <f t="shared" si="57"/>
        <v>0</v>
      </c>
      <c r="S59" s="305"/>
      <c r="T59" s="343"/>
      <c r="U59" s="340"/>
      <c r="V59" s="242"/>
      <c r="W59" s="343"/>
      <c r="X59" s="340"/>
      <c r="Y59" s="242"/>
    </row>
    <row r="60" spans="1:25" ht="13">
      <c r="A60" s="310">
        <f t="shared" si="58"/>
        <v>41</v>
      </c>
      <c r="C60" s="329" t="s">
        <v>393</v>
      </c>
      <c r="D60" s="479">
        <v>2027</v>
      </c>
      <c r="E60" s="344">
        <f>'10-CWIP'!G70</f>
        <v>12743331.68</v>
      </c>
      <c r="F60" s="344">
        <f>'10-CWIP'!H70</f>
        <v>1381331.68</v>
      </c>
      <c r="G60" s="344">
        <f>'10-CWIP'!I70</f>
        <v>852150</v>
      </c>
      <c r="H60" s="358">
        <v>0</v>
      </c>
      <c r="I60" s="305">
        <v>0</v>
      </c>
      <c r="J60" s="359">
        <v>0</v>
      </c>
      <c r="K60" s="305">
        <f t="shared" si="61"/>
        <v>73146010.027115002</v>
      </c>
      <c r="L60" s="305">
        <f t="shared" si="59"/>
        <v>130430.55527043394</v>
      </c>
      <c r="M60" s="305">
        <f t="shared" si="62"/>
        <v>1218432.9464869637</v>
      </c>
      <c r="N60" s="305">
        <f t="shared" si="60"/>
        <v>71927577.080628037</v>
      </c>
      <c r="O60" s="360">
        <v>0</v>
      </c>
      <c r="P60" s="359">
        <f t="shared" si="57"/>
        <v>0</v>
      </c>
      <c r="S60" s="305"/>
      <c r="T60" s="343"/>
      <c r="U60" s="340"/>
      <c r="V60" s="242"/>
      <c r="W60" s="343"/>
      <c r="X60" s="340"/>
      <c r="Y60" s="242"/>
    </row>
    <row r="61" spans="1:25" ht="13">
      <c r="A61" s="310">
        <f t="shared" si="58"/>
        <v>42</v>
      </c>
      <c r="C61" s="329" t="s">
        <v>394</v>
      </c>
      <c r="D61" s="479">
        <v>2027</v>
      </c>
      <c r="E61" s="344">
        <f>'10-CWIP'!G71</f>
        <v>562000</v>
      </c>
      <c r="F61" s="344">
        <f>'10-CWIP'!H71</f>
        <v>0</v>
      </c>
      <c r="G61" s="344">
        <f>'10-CWIP'!I71</f>
        <v>42150</v>
      </c>
      <c r="H61" s="358">
        <v>0</v>
      </c>
      <c r="I61" s="305">
        <v>0</v>
      </c>
      <c r="J61" s="359">
        <v>0</v>
      </c>
      <c r="K61" s="305">
        <f t="shared" si="61"/>
        <v>73750160.027115002</v>
      </c>
      <c r="L61" s="305">
        <f t="shared" si="59"/>
        <v>160208.06143050009</v>
      </c>
      <c r="M61" s="305">
        <f t="shared" si="62"/>
        <v>1378641.0079174638</v>
      </c>
      <c r="N61" s="305">
        <f t="shared" si="60"/>
        <v>72371519.019197538</v>
      </c>
      <c r="O61" s="360">
        <v>0</v>
      </c>
      <c r="P61" s="359">
        <f t="shared" si="57"/>
        <v>0</v>
      </c>
      <c r="S61" s="305"/>
      <c r="T61" s="343"/>
      <c r="U61" s="340"/>
      <c r="V61" s="242"/>
      <c r="W61" s="343"/>
      <c r="X61" s="340"/>
      <c r="Y61" s="242"/>
    </row>
    <row r="62" spans="1:25" ht="13">
      <c r="A62" s="310">
        <f t="shared" si="58"/>
        <v>43</v>
      </c>
      <c r="C62" s="329" t="s">
        <v>395</v>
      </c>
      <c r="D62" s="479">
        <v>2027</v>
      </c>
      <c r="E62" s="344">
        <f>'10-CWIP'!G72</f>
        <v>567000</v>
      </c>
      <c r="F62" s="344">
        <f>'10-CWIP'!H72</f>
        <v>0</v>
      </c>
      <c r="G62" s="344">
        <f>'10-CWIP'!I72</f>
        <v>42525</v>
      </c>
      <c r="H62" s="358">
        <v>0</v>
      </c>
      <c r="I62" s="305">
        <v>0</v>
      </c>
      <c r="J62" s="359">
        <v>0</v>
      </c>
      <c r="K62" s="305">
        <f t="shared" si="61"/>
        <v>74359685.027115002</v>
      </c>
      <c r="L62" s="305">
        <f t="shared" si="59"/>
        <v>161531.30107511443</v>
      </c>
      <c r="M62" s="305">
        <f t="shared" si="62"/>
        <v>1540172.3089925782</v>
      </c>
      <c r="N62" s="305">
        <f t="shared" si="60"/>
        <v>72819512.718122423</v>
      </c>
      <c r="O62" s="360">
        <v>0</v>
      </c>
      <c r="P62" s="359">
        <f t="shared" si="57"/>
        <v>0</v>
      </c>
      <c r="S62" s="305"/>
      <c r="T62" s="343"/>
      <c r="U62" s="340"/>
      <c r="V62" s="242"/>
      <c r="W62" s="343"/>
      <c r="X62" s="340"/>
      <c r="Y62" s="242"/>
    </row>
    <row r="63" spans="1:25" ht="13">
      <c r="A63" s="310">
        <f t="shared" si="58"/>
        <v>44</v>
      </c>
      <c r="C63" s="329" t="s">
        <v>396</v>
      </c>
      <c r="D63" s="479">
        <v>2027</v>
      </c>
      <c r="E63" s="344">
        <f>'10-CWIP'!G73</f>
        <v>556000</v>
      </c>
      <c r="F63" s="344">
        <f>'10-CWIP'!H73</f>
        <v>0</v>
      </c>
      <c r="G63" s="344">
        <f>'10-CWIP'!I73</f>
        <v>41700</v>
      </c>
      <c r="H63" s="358">
        <v>0</v>
      </c>
      <c r="I63" s="305">
        <v>0</v>
      </c>
      <c r="J63" s="359">
        <v>0</v>
      </c>
      <c r="K63" s="305">
        <f t="shared" si="61"/>
        <v>74957385.027115002</v>
      </c>
      <c r="L63" s="305">
        <f t="shared" si="59"/>
        <v>162866.31331443173</v>
      </c>
      <c r="M63" s="305">
        <f t="shared" si="62"/>
        <v>1703038.62230701</v>
      </c>
      <c r="N63" s="305">
        <f t="shared" si="60"/>
        <v>73254346.404807985</v>
      </c>
      <c r="O63" s="360">
        <v>0</v>
      </c>
      <c r="P63" s="359">
        <f t="shared" si="57"/>
        <v>0</v>
      </c>
      <c r="S63" s="305"/>
      <c r="T63" s="343"/>
      <c r="U63" s="340"/>
      <c r="V63" s="242"/>
      <c r="W63" s="343"/>
      <c r="X63" s="340"/>
      <c r="Y63" s="242"/>
    </row>
    <row r="64" spans="1:25" ht="13">
      <c r="A64" s="310">
        <f t="shared" si="58"/>
        <v>45</v>
      </c>
      <c r="C64" s="329" t="s">
        <v>397</v>
      </c>
      <c r="D64" s="479">
        <v>2027</v>
      </c>
      <c r="E64" s="344">
        <f>'10-CWIP'!G74</f>
        <v>1591000</v>
      </c>
      <c r="F64" s="344">
        <f>'10-CWIP'!H74</f>
        <v>0</v>
      </c>
      <c r="G64" s="344">
        <f>'10-CWIP'!I74</f>
        <v>119325</v>
      </c>
      <c r="H64" s="358">
        <v>0</v>
      </c>
      <c r="I64" s="305">
        <v>0</v>
      </c>
      <c r="J64" s="359">
        <v>0</v>
      </c>
      <c r="K64" s="305">
        <f t="shared" si="61"/>
        <v>76667710.027115002</v>
      </c>
      <c r="L64" s="305">
        <f t="shared" si="59"/>
        <v>164175.4258454025</v>
      </c>
      <c r="M64" s="305">
        <f t="shared" si="62"/>
        <v>1867214.0481524125</v>
      </c>
      <c r="N64" s="305">
        <f t="shared" si="60"/>
        <v>74800495.978962585</v>
      </c>
      <c r="O64" s="360">
        <v>0</v>
      </c>
      <c r="P64" s="359">
        <f t="shared" si="57"/>
        <v>0</v>
      </c>
      <c r="S64" s="305"/>
      <c r="T64" s="343"/>
      <c r="U64" s="340"/>
      <c r="V64" s="242"/>
      <c r="W64" s="343"/>
      <c r="X64" s="340"/>
      <c r="Y64" s="242"/>
    </row>
    <row r="65" spans="1:25" ht="13">
      <c r="A65" s="310">
        <f t="shared" si="58"/>
        <v>46</v>
      </c>
      <c r="C65" s="329" t="s">
        <v>398</v>
      </c>
      <c r="D65" s="479">
        <v>2027</v>
      </c>
      <c r="E65" s="344">
        <f>'10-CWIP'!G75</f>
        <v>4340000</v>
      </c>
      <c r="F65" s="344">
        <f>'10-CWIP'!H75</f>
        <v>0</v>
      </c>
      <c r="G65" s="344">
        <f>'10-CWIP'!I75</f>
        <v>325500</v>
      </c>
      <c r="H65" s="358">
        <v>0</v>
      </c>
      <c r="I65" s="305">
        <v>0</v>
      </c>
      <c r="J65" s="359">
        <v>0</v>
      </c>
      <c r="K65" s="305">
        <f t="shared" si="61"/>
        <v>81333210.027115002</v>
      </c>
      <c r="L65" s="305">
        <f t="shared" si="59"/>
        <v>167921.46547988901</v>
      </c>
      <c r="M65" s="305">
        <f t="shared" si="62"/>
        <v>2035135.5136323015</v>
      </c>
      <c r="N65" s="305">
        <f t="shared" si="60"/>
        <v>79298074.513482705</v>
      </c>
      <c r="O65" s="360">
        <v>0</v>
      </c>
      <c r="P65" s="359">
        <f t="shared" si="57"/>
        <v>0</v>
      </c>
      <c r="S65" s="305"/>
      <c r="T65" s="343"/>
      <c r="U65" s="340"/>
      <c r="V65" s="242"/>
      <c r="W65" s="343"/>
      <c r="X65" s="340"/>
      <c r="Y65" s="242"/>
    </row>
    <row r="66" spans="1:25" ht="13">
      <c r="A66" s="310">
        <f t="shared" si="58"/>
        <v>47</v>
      </c>
      <c r="C66" s="329" t="s">
        <v>399</v>
      </c>
      <c r="D66" s="479">
        <v>2027</v>
      </c>
      <c r="E66" s="344">
        <f>'10-CWIP'!G76</f>
        <v>6790946.5700000003</v>
      </c>
      <c r="F66" s="344">
        <f>'10-CWIP'!H76</f>
        <v>10946.57</v>
      </c>
      <c r="G66" s="344">
        <f>'10-CWIP'!I76</f>
        <v>508500</v>
      </c>
      <c r="H66" s="358">
        <v>0</v>
      </c>
      <c r="I66" s="305">
        <v>0</v>
      </c>
      <c r="J66" s="359">
        <v>0</v>
      </c>
      <c r="K66" s="305">
        <f t="shared" si="61"/>
        <v>88632656.59711501</v>
      </c>
      <c r="L66" s="305">
        <f t="shared" si="59"/>
        <v>178140.07768207093</v>
      </c>
      <c r="M66" s="305">
        <f t="shared" si="62"/>
        <v>2213275.5913143726</v>
      </c>
      <c r="N66" s="305">
        <f t="shared" si="60"/>
        <v>86419381.005800635</v>
      </c>
      <c r="O66" s="360">
        <v>0</v>
      </c>
      <c r="P66" s="359">
        <f t="shared" si="57"/>
        <v>0</v>
      </c>
      <c r="S66" s="305"/>
      <c r="T66" s="343"/>
      <c r="U66" s="340"/>
      <c r="V66" s="242"/>
      <c r="W66" s="343"/>
      <c r="X66" s="340"/>
      <c r="Y66" s="242"/>
    </row>
    <row r="67" spans="1:25" ht="13">
      <c r="A67" s="310">
        <f t="shared" si="58"/>
        <v>48</v>
      </c>
      <c r="C67" s="329" t="s">
        <v>400</v>
      </c>
      <c r="D67" s="479">
        <v>2027</v>
      </c>
      <c r="E67" s="344">
        <f>'10-CWIP'!G77</f>
        <v>2619000</v>
      </c>
      <c r="F67" s="344">
        <f>'10-CWIP'!H77</f>
        <v>0</v>
      </c>
      <c r="G67" s="344">
        <f>'10-CWIP'!I77</f>
        <v>196425</v>
      </c>
      <c r="H67" s="358">
        <v>0</v>
      </c>
      <c r="I67" s="305">
        <v>0</v>
      </c>
      <c r="J67" s="359">
        <v>0</v>
      </c>
      <c r="K67" s="305">
        <f t="shared" si="61"/>
        <v>91448081.59711501</v>
      </c>
      <c r="L67" s="305">
        <f t="shared" si="59"/>
        <v>194127.69182618777</v>
      </c>
      <c r="M67" s="305">
        <f t="shared" si="62"/>
        <v>2407403.2831405606</v>
      </c>
      <c r="N67" s="305">
        <f t="shared" si="60"/>
        <v>89040678.313974455</v>
      </c>
      <c r="O67" s="360">
        <v>0</v>
      </c>
      <c r="P67" s="359">
        <f t="shared" si="57"/>
        <v>0</v>
      </c>
      <c r="S67" s="305"/>
      <c r="T67" s="343"/>
      <c r="U67" s="340"/>
      <c r="V67" s="242"/>
      <c r="W67" s="343"/>
      <c r="X67" s="340"/>
      <c r="Y67" s="242"/>
    </row>
    <row r="68" spans="1:25" ht="13">
      <c r="A68" s="310">
        <f t="shared" si="58"/>
        <v>49</v>
      </c>
      <c r="C68" s="329" t="s">
        <v>388</v>
      </c>
      <c r="D68" s="479">
        <v>2027</v>
      </c>
      <c r="E68" s="344">
        <f>'10-CWIP'!G78</f>
        <v>40317042.810000002</v>
      </c>
      <c r="F68" s="344">
        <f>'10-CWIP'!H78</f>
        <v>997042.81</v>
      </c>
      <c r="G68" s="344">
        <f>'10-CWIP'!I78</f>
        <v>2949000</v>
      </c>
      <c r="H68" s="358">
        <v>0</v>
      </c>
      <c r="I68" s="305">
        <v>0</v>
      </c>
      <c r="J68" s="359">
        <v>0</v>
      </c>
      <c r="K68" s="305">
        <f t="shared" si="61"/>
        <v>134714124.40711501</v>
      </c>
      <c r="L68" s="305">
        <f t="shared" si="59"/>
        <v>200294.17693160582</v>
      </c>
      <c r="M68" s="305">
        <f>(M67+L68)-H68</f>
        <v>2607697.4600721663</v>
      </c>
      <c r="N68" s="305">
        <f t="shared" si="60"/>
        <v>132106426.94704285</v>
      </c>
      <c r="O68" s="360">
        <v>0</v>
      </c>
      <c r="P68" s="359">
        <f t="shared" si="57"/>
        <v>0</v>
      </c>
      <c r="S68" s="305"/>
      <c r="T68" s="343"/>
      <c r="U68" s="340"/>
      <c r="V68" s="242"/>
      <c r="W68" s="343"/>
      <c r="X68" s="340"/>
      <c r="Y68" s="242"/>
    </row>
    <row r="69" spans="1:25" ht="13">
      <c r="A69" s="310"/>
      <c r="D69" s="342"/>
      <c r="G69" s="305"/>
      <c r="N69" s="305"/>
    </row>
    <row r="70" spans="1:25" ht="13">
      <c r="A70" s="310"/>
      <c r="B70" s="307" t="s">
        <v>1447</v>
      </c>
      <c r="D70" s="342"/>
      <c r="F70" s="39" t="s">
        <v>200</v>
      </c>
      <c r="G70" s="240" t="s">
        <v>1097</v>
      </c>
      <c r="H70" s="314"/>
      <c r="N70" s="305"/>
    </row>
    <row r="71" spans="1:25" ht="13">
      <c r="A71" s="310"/>
      <c r="E71" s="335" t="s">
        <v>345</v>
      </c>
      <c r="F71" s="335" t="s">
        <v>346</v>
      </c>
      <c r="G71" s="335" t="s">
        <v>347</v>
      </c>
      <c r="H71" s="335" t="s">
        <v>348</v>
      </c>
      <c r="I71" s="335" t="s">
        <v>349</v>
      </c>
      <c r="J71" s="335" t="s">
        <v>350</v>
      </c>
      <c r="K71" s="335" t="s">
        <v>351</v>
      </c>
      <c r="L71" s="335" t="s">
        <v>352</v>
      </c>
      <c r="M71" s="335" t="s">
        <v>353</v>
      </c>
      <c r="N71" s="335" t="s">
        <v>603</v>
      </c>
      <c r="O71" s="335" t="s">
        <v>604</v>
      </c>
      <c r="P71" s="335" t="s">
        <v>605</v>
      </c>
    </row>
    <row r="72" spans="1:25" ht="25.5">
      <c r="A72" s="310"/>
      <c r="E72" s="336"/>
      <c r="F72" s="336"/>
      <c r="G72" s="336" t="str">
        <f>"=(C"&amp;RIGHT(E71)&amp;"-C"&amp;RIGHT(F71)&amp;")*L"&amp;$A$103</f>
        <v>=(C1-C2)*L74</v>
      </c>
      <c r="H72" s="336" t="str">
        <f>"=(C"&amp;RIGHT(E71)&amp;"-C"&amp;RIGHT(F71)&amp;"+C"&amp;RIGHT(G71)&amp;")*L"&amp;$A$107</f>
        <v>=(C1-C2+C3)*L75</v>
      </c>
      <c r="I72" s="336" t="str">
        <f>"=C"&amp;RIGHT(E71)&amp;"-C"&amp;RIGHT(F71)&amp;"+C"&amp;RIGHT(G71)&amp;"-C"&amp;RIGHT(H71)</f>
        <v>=C1-C2+C3-C4</v>
      </c>
      <c r="J72" s="336" t="str">
        <f>"=C"&amp;RIGHT(I71)&amp;"*L"&amp;$A$111</f>
        <v>=C5*L76</v>
      </c>
      <c r="K72" s="616" t="s">
        <v>1448</v>
      </c>
      <c r="L72" s="616" t="s">
        <v>1443</v>
      </c>
      <c r="M72" s="617" t="s">
        <v>1444</v>
      </c>
      <c r="N72" s="336" t="str">
        <f>"=C"&amp;RIGHT(K71)&amp;"-C"&amp;RIGHT(M71)</f>
        <v>=C7-C9</v>
      </c>
      <c r="P72" s="617" t="s">
        <v>1446</v>
      </c>
    </row>
    <row r="73" spans="1:25" ht="13">
      <c r="A73" s="310"/>
      <c r="C73" s="310" t="str">
        <f>C10</f>
        <v>Forecast</v>
      </c>
      <c r="E73" s="310" t="str">
        <f>E10</f>
        <v>Unloaded</v>
      </c>
      <c r="F73" s="310"/>
      <c r="G73" s="310"/>
      <c r="H73" s="310"/>
      <c r="I73" s="310" t="str">
        <f>I10</f>
        <v>AFUDC</v>
      </c>
      <c r="J73" s="310"/>
      <c r="K73" s="310"/>
      <c r="L73" s="310"/>
      <c r="M73" s="310"/>
      <c r="O73" s="310" t="str">
        <f>O10</f>
        <v>Unloaded</v>
      </c>
      <c r="P73" s="310" t="str">
        <f>P10</f>
        <v>Loaded</v>
      </c>
    </row>
    <row r="74" spans="1:25" ht="13">
      <c r="A74" s="310"/>
      <c r="C74" s="310" t="str">
        <f>C11</f>
        <v>Period</v>
      </c>
      <c r="E74" s="310" t="str">
        <f>E11</f>
        <v>Total</v>
      </c>
      <c r="F74" s="310" t="str">
        <f t="shared" ref="F74:H75" si="63">F11</f>
        <v>Prior Period</v>
      </c>
      <c r="G74" s="310" t="str">
        <f t="shared" si="63"/>
        <v>Over Heads</v>
      </c>
      <c r="H74" s="310" t="str">
        <f t="shared" si="63"/>
        <v xml:space="preserve">Cost of </v>
      </c>
      <c r="I74" s="310" t="str">
        <f>I11</f>
        <v>Eligible Plant</v>
      </c>
      <c r="J74" s="310"/>
      <c r="K74" s="310" t="str">
        <f t="shared" ref="K74:M74" si="64">K11</f>
        <v>Incremental</v>
      </c>
      <c r="L74" s="310" t="str">
        <f t="shared" si="64"/>
        <v>Depreciation</v>
      </c>
      <c r="M74" s="310" t="str">
        <f t="shared" si="64"/>
        <v>Incremental</v>
      </c>
      <c r="O74" s="310" t="str">
        <f>O11</f>
        <v>Low Voltage</v>
      </c>
      <c r="P74" s="310" t="str">
        <f>P11</f>
        <v>Low Voltage</v>
      </c>
      <c r="Q74" s="310"/>
    </row>
    <row r="75" spans="1:25" ht="13">
      <c r="A75" s="338" t="s">
        <v>282</v>
      </c>
      <c r="C75" s="328" t="str">
        <f>C12</f>
        <v>Month</v>
      </c>
      <c r="D75" s="328" t="str">
        <f>D12</f>
        <v>Year</v>
      </c>
      <c r="E75" s="328" t="str">
        <f>E12</f>
        <v>Plant Adds</v>
      </c>
      <c r="F75" s="328" t="str">
        <f t="shared" si="63"/>
        <v>CWIP Closed</v>
      </c>
      <c r="G75" s="328" t="str">
        <f t="shared" si="63"/>
        <v>Closed to PIS</v>
      </c>
      <c r="H75" s="328" t="str">
        <f t="shared" si="63"/>
        <v>Removal</v>
      </c>
      <c r="I75" s="328" t="str">
        <f>I12</f>
        <v>Additions</v>
      </c>
      <c r="J75" s="328" t="str">
        <f t="shared" ref="J75:P75" si="65">J12</f>
        <v>AFUDC</v>
      </c>
      <c r="K75" s="328" t="str">
        <f t="shared" si="65"/>
        <v>Gross Plant</v>
      </c>
      <c r="L75" s="328" t="str">
        <f t="shared" si="65"/>
        <v>Accrual</v>
      </c>
      <c r="M75" s="328" t="str">
        <f t="shared" si="65"/>
        <v>Reserve</v>
      </c>
      <c r="N75" s="328" t="str">
        <f t="shared" si="65"/>
        <v>Net Plant</v>
      </c>
      <c r="O75" s="328" t="str">
        <f t="shared" si="65"/>
        <v>Additions</v>
      </c>
      <c r="P75" s="328" t="str">
        <f t="shared" si="65"/>
        <v>Additions</v>
      </c>
      <c r="Q75" s="328"/>
      <c r="S75" s="362"/>
      <c r="T75" s="328"/>
      <c r="U75" s="328"/>
      <c r="V75" s="328"/>
      <c r="W75" s="328"/>
      <c r="X75" s="328"/>
      <c r="Y75" s="328"/>
    </row>
    <row r="76" spans="1:25" ht="13">
      <c r="A76" s="310">
        <f>A68+1</f>
        <v>50</v>
      </c>
      <c r="C76" s="329" t="str">
        <f t="shared" ref="C76:C96" si="66">C45</f>
        <v>January</v>
      </c>
      <c r="D76" s="479">
        <v>2026</v>
      </c>
      <c r="E76" s="345">
        <v>18291164.435757402</v>
      </c>
      <c r="F76" s="345">
        <v>2402037.617718834</v>
      </c>
      <c r="G76" s="305">
        <f>(E76-F76)*$E$103</f>
        <v>1191684.5113528925</v>
      </c>
      <c r="H76" s="305">
        <f>(E76-F76+G76)*$E$107</f>
        <v>1366464.906351317</v>
      </c>
      <c r="I76" s="305">
        <f>E76-F76+G76-H76</f>
        <v>15714346.423040144</v>
      </c>
      <c r="J76" s="305">
        <f t="shared" ref="J76:J99" si="67">I76*$E$111</f>
        <v>471430.39269120432</v>
      </c>
      <c r="K76" s="305">
        <f>F76+I76+J76</f>
        <v>18587814.433450185</v>
      </c>
      <c r="L76" s="305">
        <v>0</v>
      </c>
      <c r="M76" s="305">
        <f>L76</f>
        <v>0</v>
      </c>
      <c r="N76" s="305">
        <f t="shared" ref="N76:N99" si="68">K76-M76</f>
        <v>18587814.433450185</v>
      </c>
      <c r="O76" s="360">
        <v>147072.67281017447</v>
      </c>
      <c r="P76" s="305">
        <f t="shared" ref="P76:P96" si="69">O76*(1-$E$107)*(1+$E$103+$E$111)</f>
        <v>149514.07917882336</v>
      </c>
      <c r="Q76" s="343"/>
      <c r="R76" s="340"/>
      <c r="S76" s="343"/>
      <c r="T76" s="343"/>
      <c r="U76" s="340"/>
      <c r="V76" s="242"/>
      <c r="W76" s="343"/>
      <c r="X76" s="340"/>
      <c r="Y76" s="242"/>
    </row>
    <row r="77" spans="1:25" ht="13">
      <c r="A77" s="310">
        <f t="shared" si="58"/>
        <v>51</v>
      </c>
      <c r="C77" s="329" t="str">
        <f t="shared" si="66"/>
        <v>February</v>
      </c>
      <c r="D77" s="479">
        <v>2026</v>
      </c>
      <c r="E77" s="345">
        <v>19294327.095757406</v>
      </c>
      <c r="F77" s="345">
        <v>3605200.2777188336</v>
      </c>
      <c r="G77" s="305">
        <f t="shared" ref="G77:G99" si="70">(E77-F77)*$E$103</f>
        <v>1176684.5113528927</v>
      </c>
      <c r="H77" s="305">
        <f t="shared" ref="H77:H99" si="71">(E77-F77+G77)*$E$107</f>
        <v>1349264.9063513172</v>
      </c>
      <c r="I77" s="305">
        <f t="shared" ref="I77:I99" si="72">E77-F77+G77-H77</f>
        <v>15516546.423040148</v>
      </c>
      <c r="J77" s="305">
        <f t="shared" si="67"/>
        <v>465496.39269120444</v>
      </c>
      <c r="K77" s="305">
        <f>K76+J77+I77+F77</f>
        <v>38175057.526900373</v>
      </c>
      <c r="L77" s="305">
        <f t="shared" ref="L77:L99" si="73">K76*$E$139/12</f>
        <v>40711.963858439012</v>
      </c>
      <c r="M77" s="305">
        <f>M76-H77+L77</f>
        <v>-1308552.9424928781</v>
      </c>
      <c r="N77" s="305">
        <f t="shared" si="68"/>
        <v>39483610.469393253</v>
      </c>
      <c r="O77" s="360">
        <v>294145.34562034893</v>
      </c>
      <c r="P77" s="305">
        <f t="shared" si="69"/>
        <v>299028.15835764672</v>
      </c>
      <c r="Q77" s="343"/>
      <c r="R77" s="340"/>
      <c r="S77" s="343"/>
      <c r="T77" s="343"/>
      <c r="U77" s="340"/>
      <c r="V77" s="242"/>
      <c r="W77" s="343"/>
      <c r="X77" s="340"/>
      <c r="Y77" s="242"/>
    </row>
    <row r="78" spans="1:25" ht="13">
      <c r="A78" s="310">
        <f t="shared" si="58"/>
        <v>52</v>
      </c>
      <c r="C78" s="329" t="str">
        <f t="shared" si="66"/>
        <v>March</v>
      </c>
      <c r="D78" s="479">
        <v>2026</v>
      </c>
      <c r="E78" s="345">
        <v>25251818.935757414</v>
      </c>
      <c r="F78" s="345">
        <v>7686736.1177188335</v>
      </c>
      <c r="G78" s="305">
        <f t="shared" si="70"/>
        <v>1317381.2113528934</v>
      </c>
      <c r="H78" s="305">
        <f t="shared" si="71"/>
        <v>1510597.1223513177</v>
      </c>
      <c r="I78" s="305">
        <f t="shared" si="72"/>
        <v>17371866.907040153</v>
      </c>
      <c r="J78" s="305">
        <f t="shared" si="67"/>
        <v>521156.00721120456</v>
      </c>
      <c r="K78" s="305">
        <f t="shared" ref="K78:K99" si="74">K77+J78+I78+F78</f>
        <v>63754816.558870554</v>
      </c>
      <c r="L78" s="305">
        <f t="shared" si="73"/>
        <v>83612.926516639316</v>
      </c>
      <c r="M78" s="305">
        <f t="shared" ref="M78:M98" si="75">M77-H78+L78</f>
        <v>-2735537.1383275562</v>
      </c>
      <c r="N78" s="305">
        <f t="shared" si="68"/>
        <v>66490353.697198108</v>
      </c>
      <c r="O78" s="360">
        <v>6747936.0984305236</v>
      </c>
      <c r="P78" s="305">
        <f t="shared" si="69"/>
        <v>6859951.837664471</v>
      </c>
      <c r="Q78" s="343"/>
      <c r="R78" s="340"/>
      <c r="S78" s="343"/>
      <c r="T78" s="343"/>
      <c r="U78" s="340"/>
      <c r="V78" s="242"/>
      <c r="W78" s="343"/>
      <c r="X78" s="340"/>
      <c r="Y78" s="242"/>
    </row>
    <row r="79" spans="1:25" ht="13">
      <c r="A79" s="310">
        <f t="shared" si="58"/>
        <v>53</v>
      </c>
      <c r="C79" s="329" t="str">
        <f t="shared" si="66"/>
        <v>April</v>
      </c>
      <c r="D79" s="479">
        <v>2026</v>
      </c>
      <c r="E79" s="345">
        <v>16929760.385757402</v>
      </c>
      <c r="F79" s="345">
        <v>1070925.5677188332</v>
      </c>
      <c r="G79" s="305">
        <f t="shared" si="70"/>
        <v>1189412.6113528926</v>
      </c>
      <c r="H79" s="305">
        <f t="shared" si="71"/>
        <v>1363859.7943513168</v>
      </c>
      <c r="I79" s="305">
        <f t="shared" si="72"/>
        <v>15684387.635040142</v>
      </c>
      <c r="J79" s="305">
        <f t="shared" si="67"/>
        <v>470531.62905120425</v>
      </c>
      <c r="K79" s="305">
        <f t="shared" si="74"/>
        <v>80980661.39068073</v>
      </c>
      <c r="L79" s="305">
        <f t="shared" si="73"/>
        <v>139638.9982716417</v>
      </c>
      <c r="M79" s="305">
        <f t="shared" si="75"/>
        <v>-3959757.9344072309</v>
      </c>
      <c r="N79" s="305">
        <f t="shared" si="68"/>
        <v>84940419.325087965</v>
      </c>
      <c r="O79" s="360">
        <v>6895008.7712406982</v>
      </c>
      <c r="P79" s="305">
        <f t="shared" si="69"/>
        <v>7009465.9168432932</v>
      </c>
      <c r="Q79" s="343"/>
      <c r="R79" s="340"/>
      <c r="S79" s="343"/>
      <c r="T79" s="343"/>
      <c r="U79" s="340"/>
      <c r="V79" s="242"/>
      <c r="W79" s="343"/>
      <c r="X79" s="340"/>
      <c r="Y79" s="242"/>
    </row>
    <row r="80" spans="1:25" ht="13">
      <c r="A80" s="310">
        <f t="shared" si="58"/>
        <v>54</v>
      </c>
      <c r="C80" s="329" t="str">
        <f t="shared" si="66"/>
        <v>May</v>
      </c>
      <c r="D80" s="479">
        <v>2026</v>
      </c>
      <c r="E80" s="345">
        <v>15926010.815757409</v>
      </c>
      <c r="F80" s="345">
        <v>146260.99771883339</v>
      </c>
      <c r="G80" s="305">
        <f t="shared" si="70"/>
        <v>1183481.2363528931</v>
      </c>
      <c r="H80" s="305">
        <f t="shared" si="71"/>
        <v>1357058.4843513176</v>
      </c>
      <c r="I80" s="305">
        <f t="shared" si="72"/>
        <v>15606172.570040151</v>
      </c>
      <c r="J80" s="305">
        <f t="shared" si="67"/>
        <v>468185.17710120452</v>
      </c>
      <c r="K80" s="305">
        <f t="shared" si="74"/>
        <v>97201280.135540932</v>
      </c>
      <c r="L80" s="305">
        <f t="shared" si="73"/>
        <v>177367.90796861475</v>
      </c>
      <c r="M80" s="305">
        <f t="shared" si="75"/>
        <v>-5139448.5107899336</v>
      </c>
      <c r="N80" s="305">
        <f t="shared" si="68"/>
        <v>102340728.64633086</v>
      </c>
      <c r="O80" s="360">
        <v>7042081.4440508727</v>
      </c>
      <c r="P80" s="305">
        <f t="shared" si="69"/>
        <v>7158979.9960221173</v>
      </c>
      <c r="Q80" s="343"/>
      <c r="R80" s="340"/>
      <c r="S80" s="343"/>
      <c r="T80" s="343"/>
      <c r="U80" s="340"/>
      <c r="V80" s="242"/>
      <c r="W80" s="343"/>
      <c r="X80" s="340"/>
      <c r="Y80" s="242"/>
    </row>
    <row r="81" spans="1:25" ht="13">
      <c r="A81" s="310">
        <f t="shared" si="58"/>
        <v>55</v>
      </c>
      <c r="C81" s="329" t="str">
        <f t="shared" si="66"/>
        <v xml:space="preserve">June </v>
      </c>
      <c r="D81" s="479">
        <v>2026</v>
      </c>
      <c r="E81" s="345">
        <v>32770084.791930407</v>
      </c>
      <c r="F81" s="345">
        <v>10903593.154591832</v>
      </c>
      <c r="G81" s="305">
        <f t="shared" si="70"/>
        <v>1639986.872800393</v>
      </c>
      <c r="H81" s="305">
        <f t="shared" si="71"/>
        <v>1880518.2808111173</v>
      </c>
      <c r="I81" s="305">
        <f t="shared" si="72"/>
        <v>21625960.22932785</v>
      </c>
      <c r="J81" s="305">
        <f t="shared" si="67"/>
        <v>648778.80687983544</v>
      </c>
      <c r="K81" s="305">
        <f t="shared" si="74"/>
        <v>130379612.32634044</v>
      </c>
      <c r="L81" s="305">
        <f t="shared" si="73"/>
        <v>212895.12105042147</v>
      </c>
      <c r="M81" s="305">
        <f t="shared" si="75"/>
        <v>-6807071.6705506295</v>
      </c>
      <c r="N81" s="305">
        <f t="shared" si="68"/>
        <v>137186683.99689108</v>
      </c>
      <c r="O81" s="360">
        <v>7215798.1168610472</v>
      </c>
      <c r="P81" s="305">
        <f t="shared" si="69"/>
        <v>7335580.3656009408</v>
      </c>
      <c r="Q81" s="343"/>
      <c r="R81" s="340"/>
      <c r="S81" s="343"/>
      <c r="T81" s="343"/>
      <c r="U81" s="340"/>
      <c r="V81" s="242"/>
      <c r="W81" s="343"/>
      <c r="X81" s="340"/>
      <c r="Y81" s="242"/>
    </row>
    <row r="82" spans="1:25" ht="13">
      <c r="A82" s="310">
        <f t="shared" si="58"/>
        <v>56</v>
      </c>
      <c r="C82" s="329" t="str">
        <f t="shared" si="66"/>
        <v>July</v>
      </c>
      <c r="D82" s="479">
        <v>2026</v>
      </c>
      <c r="E82" s="345">
        <v>15366947.425757438</v>
      </c>
      <c r="F82" s="345">
        <v>-365507.39228116663</v>
      </c>
      <c r="G82" s="305">
        <f t="shared" si="70"/>
        <v>1179934.1113528954</v>
      </c>
      <c r="H82" s="305">
        <f t="shared" si="71"/>
        <v>1352991.1143513201</v>
      </c>
      <c r="I82" s="305">
        <f t="shared" si="72"/>
        <v>15559397.815040179</v>
      </c>
      <c r="J82" s="305">
        <f t="shared" si="67"/>
        <v>466781.93445120536</v>
      </c>
      <c r="K82" s="305">
        <f t="shared" si="74"/>
        <v>146040284.68355066</v>
      </c>
      <c r="L82" s="305">
        <f t="shared" si="73"/>
        <v>285563.96901375847</v>
      </c>
      <c r="M82" s="305">
        <f t="shared" si="75"/>
        <v>-7874498.8158881906</v>
      </c>
      <c r="N82" s="305">
        <f t="shared" si="68"/>
        <v>153914783.49943885</v>
      </c>
      <c r="O82" s="360">
        <v>7362870.7896712217</v>
      </c>
      <c r="P82" s="305">
        <f t="shared" si="69"/>
        <v>7485094.4447797639</v>
      </c>
      <c r="Q82" s="343"/>
      <c r="R82" s="340"/>
      <c r="S82" s="343"/>
      <c r="T82" s="343"/>
      <c r="U82" s="340"/>
      <c r="V82" s="242"/>
      <c r="W82" s="343"/>
      <c r="X82" s="340"/>
      <c r="Y82" s="242"/>
    </row>
    <row r="83" spans="1:25" ht="13">
      <c r="A83" s="310">
        <f t="shared" si="58"/>
        <v>57</v>
      </c>
      <c r="C83" s="329" t="str">
        <f t="shared" si="66"/>
        <v>August</v>
      </c>
      <c r="D83" s="479">
        <v>2026</v>
      </c>
      <c r="E83" s="345">
        <v>33289189.985757381</v>
      </c>
      <c r="F83" s="345">
        <v>13196650.167718833</v>
      </c>
      <c r="G83" s="305">
        <f t="shared" si="70"/>
        <v>1506940.486352891</v>
      </c>
      <c r="H83" s="305">
        <f t="shared" si="71"/>
        <v>1727958.424351315</v>
      </c>
      <c r="I83" s="305">
        <f t="shared" si="72"/>
        <v>19871521.88004012</v>
      </c>
      <c r="J83" s="305">
        <f t="shared" si="67"/>
        <v>596145.6564012036</v>
      </c>
      <c r="K83" s="305">
        <f t="shared" si="74"/>
        <v>179704602.38771081</v>
      </c>
      <c r="L83" s="305">
        <f t="shared" si="73"/>
        <v>319864.75942073768</v>
      </c>
      <c r="M83" s="305">
        <f t="shared" si="75"/>
        <v>-9282592.4808187671</v>
      </c>
      <c r="N83" s="305">
        <f t="shared" si="68"/>
        <v>188987194.86852959</v>
      </c>
      <c r="O83" s="360">
        <v>7509943.4624813963</v>
      </c>
      <c r="P83" s="305">
        <f t="shared" si="69"/>
        <v>7634608.5239585871</v>
      </c>
      <c r="Q83" s="343"/>
      <c r="R83" s="340"/>
      <c r="S83" s="343"/>
      <c r="T83" s="343"/>
      <c r="U83" s="340"/>
      <c r="V83" s="242"/>
      <c r="W83" s="343"/>
      <c r="X83" s="340"/>
      <c r="Y83" s="242"/>
    </row>
    <row r="84" spans="1:25" ht="13">
      <c r="A84" s="310">
        <f t="shared" si="58"/>
        <v>58</v>
      </c>
      <c r="C84" s="329" t="str">
        <f t="shared" si="66"/>
        <v>September</v>
      </c>
      <c r="D84" s="479">
        <v>2026</v>
      </c>
      <c r="E84" s="345">
        <v>17965206.136221439</v>
      </c>
      <c r="F84" s="345">
        <v>2181602.8141828338</v>
      </c>
      <c r="G84" s="305">
        <f t="shared" si="70"/>
        <v>1183770.2491528953</v>
      </c>
      <c r="H84" s="305">
        <f t="shared" si="71"/>
        <v>1357389.8856953201</v>
      </c>
      <c r="I84" s="305">
        <f t="shared" si="72"/>
        <v>15609983.685496181</v>
      </c>
      <c r="J84" s="305">
        <f t="shared" si="67"/>
        <v>468299.51056488539</v>
      </c>
      <c r="K84" s="305">
        <f t="shared" si="74"/>
        <v>197964488.39795473</v>
      </c>
      <c r="L84" s="305">
        <f t="shared" si="73"/>
        <v>393598.03724087687</v>
      </c>
      <c r="M84" s="305">
        <f t="shared" si="75"/>
        <v>-10246384.329273209</v>
      </c>
      <c r="N84" s="305">
        <f t="shared" si="68"/>
        <v>208210872.72722793</v>
      </c>
      <c r="O84" s="360">
        <v>7657016.1352915708</v>
      </c>
      <c r="P84" s="305">
        <f t="shared" si="69"/>
        <v>7784122.6031374112</v>
      </c>
      <c r="Q84" s="343"/>
      <c r="R84" s="340"/>
      <c r="S84" s="343"/>
      <c r="T84" s="343"/>
      <c r="U84" s="340"/>
      <c r="V84" s="242"/>
      <c r="W84" s="343"/>
      <c r="X84" s="340"/>
      <c r="Y84" s="242"/>
    </row>
    <row r="85" spans="1:25" ht="13">
      <c r="A85" s="310">
        <f t="shared" si="58"/>
        <v>59</v>
      </c>
      <c r="C85" s="329" t="str">
        <f t="shared" si="66"/>
        <v xml:space="preserve">October </v>
      </c>
      <c r="D85" s="479">
        <v>2026</v>
      </c>
      <c r="E85" s="345">
        <v>19006614.195757389</v>
      </c>
      <c r="F85" s="345">
        <v>600477.37771883339</v>
      </c>
      <c r="G85" s="305">
        <f t="shared" si="70"/>
        <v>1380460.2613528918</v>
      </c>
      <c r="H85" s="305">
        <f t="shared" si="71"/>
        <v>1582927.7663513161</v>
      </c>
      <c r="I85" s="305">
        <f t="shared" si="72"/>
        <v>18203669.313040134</v>
      </c>
      <c r="J85" s="305">
        <f t="shared" si="67"/>
        <v>546110.07939120394</v>
      </c>
      <c r="K85" s="305">
        <f t="shared" si="74"/>
        <v>217314745.16810492</v>
      </c>
      <c r="L85" s="305">
        <f t="shared" si="73"/>
        <v>433591.75581224752</v>
      </c>
      <c r="M85" s="305">
        <f t="shared" si="75"/>
        <v>-11395720.339812277</v>
      </c>
      <c r="N85" s="305">
        <f t="shared" si="68"/>
        <v>228710465.5079172</v>
      </c>
      <c r="O85" s="360">
        <v>7804088.8081017453</v>
      </c>
      <c r="P85" s="305">
        <f t="shared" si="69"/>
        <v>7933636.6823162343</v>
      </c>
      <c r="Q85" s="343"/>
      <c r="R85" s="340"/>
      <c r="S85" s="343"/>
      <c r="T85" s="343"/>
      <c r="U85" s="340"/>
      <c r="V85" s="242"/>
      <c r="W85" s="343"/>
      <c r="X85" s="340"/>
      <c r="Y85" s="242"/>
    </row>
    <row r="86" spans="1:25" ht="13">
      <c r="A86" s="310">
        <f t="shared" si="58"/>
        <v>60</v>
      </c>
      <c r="C86" s="329" t="str">
        <f t="shared" si="66"/>
        <v>November</v>
      </c>
      <c r="D86" s="479">
        <v>2026</v>
      </c>
      <c r="E86" s="345">
        <v>59224249.515757412</v>
      </c>
      <c r="F86" s="345">
        <v>3014572.6977188331</v>
      </c>
      <c r="G86" s="305">
        <f t="shared" si="70"/>
        <v>4215725.761352893</v>
      </c>
      <c r="H86" s="305">
        <f t="shared" si="71"/>
        <v>4834032.2063513175</v>
      </c>
      <c r="I86" s="305">
        <f t="shared" si="72"/>
        <v>55591370.373040147</v>
      </c>
      <c r="J86" s="305">
        <f t="shared" si="67"/>
        <v>1667741.1111912043</v>
      </c>
      <c r="K86" s="305">
        <f t="shared" si="74"/>
        <v>277588429.35005516</v>
      </c>
      <c r="L86" s="305">
        <f t="shared" si="73"/>
        <v>475973.65913382289</v>
      </c>
      <c r="M86" s="305">
        <f t="shared" si="75"/>
        <v>-15753778.887029771</v>
      </c>
      <c r="N86" s="305">
        <f t="shared" si="68"/>
        <v>293342208.23708493</v>
      </c>
      <c r="O86" s="360">
        <v>7951161.4809119198</v>
      </c>
      <c r="P86" s="305">
        <f t="shared" si="69"/>
        <v>8083150.7614950584</v>
      </c>
      <c r="Q86" s="343"/>
      <c r="R86" s="340"/>
      <c r="S86" s="343"/>
      <c r="T86" s="343"/>
      <c r="U86" s="340"/>
      <c r="V86" s="242"/>
      <c r="W86" s="343"/>
      <c r="X86" s="340"/>
      <c r="Y86" s="242"/>
    </row>
    <row r="87" spans="1:25" ht="13">
      <c r="A87" s="310">
        <f t="shared" si="58"/>
        <v>61</v>
      </c>
      <c r="C87" s="329" t="str">
        <f t="shared" si="66"/>
        <v>December</v>
      </c>
      <c r="D87" s="479">
        <v>2026</v>
      </c>
      <c r="E87" s="345">
        <v>67068105.93886447</v>
      </c>
      <c r="F87" s="345">
        <v>30118717.020825833</v>
      </c>
      <c r="G87" s="305">
        <f t="shared" si="70"/>
        <v>2771204.1688528978</v>
      </c>
      <c r="H87" s="305">
        <f t="shared" si="71"/>
        <v>3177647.4469513227</v>
      </c>
      <c r="I87" s="305">
        <f t="shared" si="72"/>
        <v>36542945.63994021</v>
      </c>
      <c r="J87" s="305">
        <f t="shared" si="67"/>
        <v>1096288.3691982063</v>
      </c>
      <c r="K87" s="305">
        <f t="shared" si="74"/>
        <v>345346380.38001943</v>
      </c>
      <c r="L87" s="305">
        <f t="shared" si="73"/>
        <v>607988.10659971845</v>
      </c>
      <c r="M87" s="305">
        <f t="shared" si="75"/>
        <v>-18323438.227381375</v>
      </c>
      <c r="N87" s="305">
        <f t="shared" si="68"/>
        <v>363669818.60740077</v>
      </c>
      <c r="O87" s="360">
        <v>28824524.343722098</v>
      </c>
      <c r="P87" s="305">
        <f t="shared" si="69"/>
        <v>29303011.447827887</v>
      </c>
      <c r="Q87" s="343"/>
      <c r="R87" s="340"/>
      <c r="S87" s="343"/>
      <c r="T87" s="343"/>
      <c r="U87" s="340"/>
      <c r="V87" s="242"/>
      <c r="W87" s="343"/>
      <c r="X87" s="340"/>
      <c r="Y87" s="242"/>
    </row>
    <row r="88" spans="1:25" ht="13">
      <c r="A88" s="310">
        <f t="shared" si="58"/>
        <v>62</v>
      </c>
      <c r="C88" s="329" t="str">
        <f t="shared" si="66"/>
        <v>January</v>
      </c>
      <c r="D88" s="479">
        <v>2027</v>
      </c>
      <c r="E88" s="345">
        <v>62809967.534940422</v>
      </c>
      <c r="F88" s="345">
        <v>1035423.6699999999</v>
      </c>
      <c r="G88" s="305">
        <f t="shared" si="70"/>
        <v>4633090.7898705313</v>
      </c>
      <c r="H88" s="305">
        <f t="shared" si="71"/>
        <v>5312610.7723848764</v>
      </c>
      <c r="I88" s="305">
        <f t="shared" si="72"/>
        <v>61095023.882426076</v>
      </c>
      <c r="J88" s="305">
        <f t="shared" si="67"/>
        <v>1832850.7164727822</v>
      </c>
      <c r="K88" s="305">
        <f t="shared" si="74"/>
        <v>409309678.64891833</v>
      </c>
      <c r="L88" s="305">
        <f t="shared" si="73"/>
        <v>756394.9708564193</v>
      </c>
      <c r="M88" s="305">
        <f t="shared" si="75"/>
        <v>-22879654.028909832</v>
      </c>
      <c r="N88" s="305">
        <f t="shared" si="68"/>
        <v>432189332.67782819</v>
      </c>
      <c r="O88" s="360">
        <v>29035243.568233542</v>
      </c>
      <c r="P88" s="305">
        <f t="shared" si="69"/>
        <v>29517228.611466218</v>
      </c>
      <c r="Q88" s="343"/>
      <c r="R88" s="340"/>
      <c r="S88" s="343"/>
      <c r="T88" s="343"/>
      <c r="U88" s="340"/>
      <c r="V88" s="242"/>
      <c r="W88" s="343"/>
      <c r="X88" s="340"/>
      <c r="Y88" s="242"/>
    </row>
    <row r="89" spans="1:25" ht="13">
      <c r="A89" s="310">
        <f t="shared" si="58"/>
        <v>63</v>
      </c>
      <c r="C89" s="329" t="str">
        <f t="shared" si="66"/>
        <v>February</v>
      </c>
      <c r="D89" s="479">
        <v>2027</v>
      </c>
      <c r="E89" s="345">
        <v>29132817.25038141</v>
      </c>
      <c r="F89" s="345">
        <v>631567.69904099999</v>
      </c>
      <c r="G89" s="305">
        <f t="shared" si="70"/>
        <v>2137593.7163505307</v>
      </c>
      <c r="H89" s="305">
        <f t="shared" si="71"/>
        <v>2451107.461415275</v>
      </c>
      <c r="I89" s="305">
        <f t="shared" si="72"/>
        <v>28187735.806275662</v>
      </c>
      <c r="J89" s="305">
        <f t="shared" si="67"/>
        <v>845632.07418826979</v>
      </c>
      <c r="K89" s="305">
        <f t="shared" si="74"/>
        <v>438974614.2284233</v>
      </c>
      <c r="L89" s="305">
        <f t="shared" si="73"/>
        <v>896490.59623041388</v>
      </c>
      <c r="M89" s="305">
        <f t="shared" si="75"/>
        <v>-24434270.894094694</v>
      </c>
      <c r="N89" s="305">
        <f t="shared" si="68"/>
        <v>463408885.122518</v>
      </c>
      <c r="O89" s="360">
        <v>29245962.792744987</v>
      </c>
      <c r="P89" s="305">
        <f t="shared" si="69"/>
        <v>29731445.775104556</v>
      </c>
      <c r="Q89" s="343"/>
      <c r="R89" s="340"/>
      <c r="S89" s="343"/>
      <c r="T89" s="343"/>
      <c r="U89" s="340"/>
      <c r="V89" s="242"/>
      <c r="W89" s="343"/>
      <c r="X89" s="340"/>
      <c r="Y89" s="242"/>
    </row>
    <row r="90" spans="1:25" ht="13">
      <c r="A90" s="310">
        <f t="shared" si="58"/>
        <v>64</v>
      </c>
      <c r="C90" s="329" t="str">
        <f t="shared" si="66"/>
        <v>March</v>
      </c>
      <c r="D90" s="479">
        <v>2027</v>
      </c>
      <c r="E90" s="345">
        <v>38705917.592920244</v>
      </c>
      <c r="F90" s="345">
        <v>7434468.3278040001</v>
      </c>
      <c r="G90" s="305">
        <f t="shared" si="70"/>
        <v>2345358.6948837182</v>
      </c>
      <c r="H90" s="305">
        <f t="shared" si="71"/>
        <v>2689344.6367999972</v>
      </c>
      <c r="I90" s="305">
        <f t="shared" si="72"/>
        <v>30927463.323199965</v>
      </c>
      <c r="J90" s="305">
        <f t="shared" si="67"/>
        <v>927823.89969599887</v>
      </c>
      <c r="K90" s="305">
        <f t="shared" si="74"/>
        <v>478264369.77912331</v>
      </c>
      <c r="L90" s="305">
        <f t="shared" si="73"/>
        <v>961464.22664294625</v>
      </c>
      <c r="M90" s="305">
        <f t="shared" si="75"/>
        <v>-26162151.304251745</v>
      </c>
      <c r="N90" s="305">
        <f t="shared" si="68"/>
        <v>504426521.08337504</v>
      </c>
      <c r="O90" s="360">
        <v>29456682.017256431</v>
      </c>
      <c r="P90" s="305">
        <f t="shared" si="69"/>
        <v>29945662.938742891</v>
      </c>
      <c r="Q90" s="343"/>
      <c r="R90" s="340"/>
      <c r="S90" s="343"/>
      <c r="T90" s="343"/>
      <c r="U90" s="340"/>
      <c r="V90" s="242"/>
      <c r="W90" s="343"/>
      <c r="X90" s="340"/>
      <c r="Y90" s="242"/>
    </row>
    <row r="91" spans="1:25" ht="13">
      <c r="A91" s="310">
        <f t="shared" si="58"/>
        <v>65</v>
      </c>
      <c r="C91" s="329" t="str">
        <f t="shared" si="66"/>
        <v>April</v>
      </c>
      <c r="D91" s="479">
        <v>2027</v>
      </c>
      <c r="E91" s="345">
        <v>33747327.364940405</v>
      </c>
      <c r="F91" s="345">
        <v>4589408.5</v>
      </c>
      <c r="G91" s="305">
        <f t="shared" si="70"/>
        <v>2186843.9148705304</v>
      </c>
      <c r="H91" s="305">
        <f t="shared" si="71"/>
        <v>2507581.022384875</v>
      </c>
      <c r="I91" s="305">
        <f t="shared" si="72"/>
        <v>28837181.757426061</v>
      </c>
      <c r="J91" s="305">
        <f t="shared" si="67"/>
        <v>865115.4527227818</v>
      </c>
      <c r="K91" s="305">
        <f t="shared" si="74"/>
        <v>512556075.48927218</v>
      </c>
      <c r="L91" s="305">
        <f t="shared" si="73"/>
        <v>1047518.6207038461</v>
      </c>
      <c r="M91" s="305">
        <f t="shared" si="75"/>
        <v>-27622213.705932774</v>
      </c>
      <c r="N91" s="305">
        <f t="shared" si="68"/>
        <v>540178289.19520497</v>
      </c>
      <c r="O91" s="360">
        <v>29667401.24176788</v>
      </c>
      <c r="P91" s="305">
        <f t="shared" si="69"/>
        <v>30159880.102381226</v>
      </c>
      <c r="Q91" s="343"/>
      <c r="R91" s="340"/>
      <c r="S91" s="343"/>
      <c r="T91" s="343"/>
      <c r="U91" s="340"/>
      <c r="V91" s="242"/>
      <c r="W91" s="343"/>
      <c r="X91" s="340"/>
      <c r="Y91" s="242"/>
    </row>
    <row r="92" spans="1:25" ht="13">
      <c r="A92" s="310">
        <f t="shared" si="58"/>
        <v>66</v>
      </c>
      <c r="C92" s="329" t="str">
        <f t="shared" si="66"/>
        <v>May</v>
      </c>
      <c r="D92" s="479">
        <v>2027</v>
      </c>
      <c r="E92" s="345">
        <v>23649042.684940398</v>
      </c>
      <c r="F92" s="345">
        <v>275448.82</v>
      </c>
      <c r="G92" s="305">
        <f t="shared" si="70"/>
        <v>1753019.5398705297</v>
      </c>
      <c r="H92" s="305">
        <f t="shared" si="71"/>
        <v>2010129.0723848743</v>
      </c>
      <c r="I92" s="305">
        <f t="shared" si="72"/>
        <v>23116484.332426053</v>
      </c>
      <c r="J92" s="305">
        <f t="shared" si="67"/>
        <v>693494.52997278154</v>
      </c>
      <c r="K92" s="305">
        <f t="shared" si="74"/>
        <v>536641503.17167103</v>
      </c>
      <c r="L92" s="305">
        <f t="shared" si="73"/>
        <v>1122626.0352153364</v>
      </c>
      <c r="M92" s="305">
        <f t="shared" si="75"/>
        <v>-28509716.743102312</v>
      </c>
      <c r="N92" s="305">
        <f t="shared" si="68"/>
        <v>565151219.91477334</v>
      </c>
      <c r="O92" s="360">
        <v>29878120.466279324</v>
      </c>
      <c r="P92" s="305">
        <f t="shared" si="69"/>
        <v>30374097.26601956</v>
      </c>
      <c r="Q92" s="343"/>
      <c r="R92" s="340"/>
      <c r="S92" s="343"/>
      <c r="T92" s="343"/>
      <c r="U92" s="340"/>
      <c r="V92" s="242"/>
      <c r="W92" s="343"/>
      <c r="X92" s="340"/>
      <c r="Y92" s="242"/>
    </row>
    <row r="93" spans="1:25" ht="13">
      <c r="A93" s="310">
        <f t="shared" si="58"/>
        <v>67</v>
      </c>
      <c r="C93" s="329" t="str">
        <f t="shared" si="66"/>
        <v xml:space="preserve">June </v>
      </c>
      <c r="D93" s="479">
        <v>2027</v>
      </c>
      <c r="E93" s="345">
        <v>30683749.794940412</v>
      </c>
      <c r="F93" s="345">
        <v>3919989.9299999997</v>
      </c>
      <c r="G93" s="305">
        <f t="shared" si="70"/>
        <v>2007281.9898705308</v>
      </c>
      <c r="H93" s="305">
        <f t="shared" si="71"/>
        <v>2301683.3483848753</v>
      </c>
      <c r="I93" s="305">
        <f t="shared" si="72"/>
        <v>26469358.506426066</v>
      </c>
      <c r="J93" s="305">
        <f t="shared" si="67"/>
        <v>794080.75519278191</v>
      </c>
      <c r="K93" s="305">
        <f t="shared" si="74"/>
        <v>567824932.36328983</v>
      </c>
      <c r="L93" s="305">
        <f t="shared" si="73"/>
        <v>1175379.1474669988</v>
      </c>
      <c r="M93" s="305">
        <f t="shared" si="75"/>
        <v>-29636020.944020189</v>
      </c>
      <c r="N93" s="305">
        <f t="shared" si="68"/>
        <v>597460953.30730999</v>
      </c>
      <c r="O93" s="360">
        <v>30528410.430790771</v>
      </c>
      <c r="P93" s="305">
        <f t="shared" si="69"/>
        <v>31035182.043941896</v>
      </c>
      <c r="Q93" s="343"/>
      <c r="R93" s="340"/>
      <c r="S93" s="343"/>
      <c r="T93" s="343"/>
      <c r="U93" s="340"/>
      <c r="V93" s="242"/>
      <c r="W93" s="343"/>
      <c r="X93" s="340"/>
      <c r="Y93" s="242"/>
    </row>
    <row r="94" spans="1:25" ht="13">
      <c r="A94" s="310">
        <f t="shared" si="58"/>
        <v>68</v>
      </c>
      <c r="C94" s="329" t="str">
        <f t="shared" si="66"/>
        <v>July</v>
      </c>
      <c r="D94" s="479">
        <v>2027</v>
      </c>
      <c r="E94" s="345">
        <v>37631844.644940376</v>
      </c>
      <c r="F94" s="345">
        <v>8093876.7800000003</v>
      </c>
      <c r="G94" s="305">
        <f t="shared" si="70"/>
        <v>2215347.5898705279</v>
      </c>
      <c r="H94" s="305">
        <f t="shared" si="71"/>
        <v>2540265.2363848723</v>
      </c>
      <c r="I94" s="305">
        <f t="shared" si="72"/>
        <v>29213050.21842603</v>
      </c>
      <c r="J94" s="305">
        <f t="shared" si="67"/>
        <v>876391.50655278086</v>
      </c>
      <c r="K94" s="305">
        <f t="shared" si="74"/>
        <v>606008250.86826861</v>
      </c>
      <c r="L94" s="305">
        <f t="shared" si="73"/>
        <v>1243678.6587826889</v>
      </c>
      <c r="M94" s="305">
        <f t="shared" si="75"/>
        <v>-30932607.521622375</v>
      </c>
      <c r="N94" s="305">
        <f t="shared" si="68"/>
        <v>636940858.38989103</v>
      </c>
      <c r="O94" s="360">
        <v>30739129.655302215</v>
      </c>
      <c r="P94" s="305">
        <f t="shared" si="69"/>
        <v>31249399.207580231</v>
      </c>
      <c r="Q94" s="343"/>
      <c r="R94" s="340"/>
      <c r="S94" s="343"/>
      <c r="T94" s="343"/>
      <c r="U94" s="340"/>
      <c r="V94" s="242"/>
      <c r="W94" s="343"/>
      <c r="X94" s="340"/>
      <c r="Y94" s="242"/>
    </row>
    <row r="95" spans="1:25" ht="13">
      <c r="A95" s="310">
        <f t="shared" si="58"/>
        <v>69</v>
      </c>
      <c r="C95" s="329" t="str">
        <f t="shared" si="66"/>
        <v>August</v>
      </c>
      <c r="D95" s="479">
        <v>2027</v>
      </c>
      <c r="E95" s="345">
        <v>31637141.824940324</v>
      </c>
      <c r="F95" s="345">
        <v>59815.960000000006</v>
      </c>
      <c r="G95" s="305">
        <f t="shared" si="70"/>
        <v>2368299.4398705242</v>
      </c>
      <c r="H95" s="305">
        <f t="shared" si="71"/>
        <v>2715650.0243848674</v>
      </c>
      <c r="I95" s="305">
        <f t="shared" si="72"/>
        <v>31229975.280425977</v>
      </c>
      <c r="J95" s="305">
        <f t="shared" si="67"/>
        <v>936899.25841277931</v>
      </c>
      <c r="K95" s="305">
        <f t="shared" si="74"/>
        <v>638234941.36710751</v>
      </c>
      <c r="L95" s="305">
        <f t="shared" si="73"/>
        <v>1327309.6789080291</v>
      </c>
      <c r="M95" s="305">
        <f t="shared" si="75"/>
        <v>-32320947.867099218</v>
      </c>
      <c r="N95" s="305">
        <f t="shared" si="68"/>
        <v>670555889.23420668</v>
      </c>
      <c r="O95" s="360">
        <v>30949848.87981366</v>
      </c>
      <c r="P95" s="305">
        <f t="shared" si="69"/>
        <v>31463616.37121857</v>
      </c>
      <c r="Q95" s="343"/>
      <c r="R95" s="340"/>
      <c r="S95" s="343"/>
      <c r="T95" s="343"/>
      <c r="U95" s="340"/>
      <c r="V95" s="242"/>
      <c r="W95" s="343"/>
      <c r="X95" s="340"/>
      <c r="Y95" s="242"/>
    </row>
    <row r="96" spans="1:25" ht="13">
      <c r="A96" s="310">
        <f t="shared" si="58"/>
        <v>70</v>
      </c>
      <c r="C96" s="329" t="str">
        <f t="shared" si="66"/>
        <v>September</v>
      </c>
      <c r="D96" s="479">
        <v>2027</v>
      </c>
      <c r="E96" s="345">
        <v>21012533.710604429</v>
      </c>
      <c r="F96" s="345">
        <v>108283.49856399999</v>
      </c>
      <c r="G96" s="305">
        <f t="shared" si="70"/>
        <v>1567818.7659030322</v>
      </c>
      <c r="H96" s="305">
        <f t="shared" si="71"/>
        <v>1797765.5182354769</v>
      </c>
      <c r="I96" s="305">
        <f t="shared" si="72"/>
        <v>20674303.459707983</v>
      </c>
      <c r="J96" s="305">
        <f t="shared" si="67"/>
        <v>620229.10379123944</v>
      </c>
      <c r="K96" s="305">
        <f t="shared" si="74"/>
        <v>659637757.42917073</v>
      </c>
      <c r="L96" s="305">
        <f t="shared" si="73"/>
        <v>1397894.1934868256</v>
      </c>
      <c r="M96" s="305">
        <f t="shared" si="75"/>
        <v>-32720819.191847868</v>
      </c>
      <c r="N96" s="305">
        <f t="shared" si="68"/>
        <v>692358576.62101865</v>
      </c>
      <c r="O96" s="360">
        <v>31415412.474325106</v>
      </c>
      <c r="P96" s="305">
        <f t="shared" si="69"/>
        <v>31936908.321398903</v>
      </c>
      <c r="Q96" s="343"/>
      <c r="R96" s="340"/>
      <c r="S96" s="343"/>
      <c r="T96" s="343"/>
      <c r="U96" s="340"/>
      <c r="V96" s="242"/>
      <c r="W96" s="343"/>
      <c r="X96" s="340"/>
      <c r="Y96" s="242"/>
    </row>
    <row r="97" spans="1:25" ht="13">
      <c r="A97" s="310">
        <f t="shared" si="58"/>
        <v>71</v>
      </c>
      <c r="C97" s="329" t="str">
        <f t="shared" ref="C97:C99" si="76">C66</f>
        <v>October</v>
      </c>
      <c r="D97" s="479">
        <v>2027</v>
      </c>
      <c r="E97" s="345">
        <v>29862502.834940314</v>
      </c>
      <c r="F97" s="345">
        <v>7771911.9699999997</v>
      </c>
      <c r="G97" s="305">
        <f t="shared" si="70"/>
        <v>1656794.3148705235</v>
      </c>
      <c r="H97" s="305">
        <f t="shared" si="71"/>
        <v>1899790.8143848672</v>
      </c>
      <c r="I97" s="305">
        <f t="shared" si="72"/>
        <v>21847594.365425974</v>
      </c>
      <c r="J97" s="305">
        <f t="shared" si="67"/>
        <v>655427.83096277923</v>
      </c>
      <c r="K97" s="305">
        <f t="shared" si="74"/>
        <v>689912691.59555948</v>
      </c>
      <c r="L97" s="305">
        <f t="shared" si="73"/>
        <v>1444771.7151614272</v>
      </c>
      <c r="M97" s="305">
        <f t="shared" si="75"/>
        <v>-33175838.291071311</v>
      </c>
      <c r="N97" s="305">
        <f t="shared" si="68"/>
        <v>723088529.88663077</v>
      </c>
      <c r="O97" s="360">
        <v>31626131.69883655</v>
      </c>
      <c r="P97" s="305">
        <f t="shared" ref="P97:P99" si="77">O97*(1-$E$107)*(1+$E$103+$E$111)</f>
        <v>32151125.485037237</v>
      </c>
      <c r="Q97" s="343"/>
      <c r="R97" s="340"/>
      <c r="S97" s="343"/>
      <c r="T97" s="343"/>
      <c r="U97" s="340"/>
      <c r="V97" s="242"/>
      <c r="W97" s="343"/>
      <c r="X97" s="340"/>
      <c r="Y97" s="242"/>
    </row>
    <row r="98" spans="1:25" ht="13">
      <c r="A98" s="310">
        <f t="shared" si="58"/>
        <v>72</v>
      </c>
      <c r="C98" s="329" t="str">
        <f t="shared" si="76"/>
        <v>November</v>
      </c>
      <c r="D98" s="479">
        <v>2027</v>
      </c>
      <c r="E98" s="345">
        <v>26945900.50494051</v>
      </c>
      <c r="F98" s="345">
        <v>1718530.64</v>
      </c>
      <c r="G98" s="305">
        <f t="shared" si="70"/>
        <v>1892052.739870538</v>
      </c>
      <c r="H98" s="305">
        <f t="shared" si="71"/>
        <v>2169553.8083848837</v>
      </c>
      <c r="I98" s="305">
        <f t="shared" si="72"/>
        <v>24949868.796426162</v>
      </c>
      <c r="J98" s="305">
        <f t="shared" si="67"/>
        <v>748496.06389278488</v>
      </c>
      <c r="K98" s="305">
        <f t="shared" si="74"/>
        <v>717329587.09587848</v>
      </c>
      <c r="L98" s="305">
        <f t="shared" si="73"/>
        <v>1511081.3950870333</v>
      </c>
      <c r="M98" s="305">
        <f t="shared" si="75"/>
        <v>-33834310.704369158</v>
      </c>
      <c r="N98" s="305">
        <f t="shared" si="68"/>
        <v>751163897.80024767</v>
      </c>
      <c r="O98" s="360">
        <v>31836850.923347995</v>
      </c>
      <c r="P98" s="305">
        <f t="shared" si="77"/>
        <v>32365342.648675572</v>
      </c>
      <c r="Q98" s="343"/>
      <c r="R98" s="340"/>
      <c r="S98" s="343"/>
      <c r="T98" s="343"/>
      <c r="U98" s="340"/>
      <c r="V98" s="242"/>
      <c r="W98" s="343"/>
      <c r="X98" s="340"/>
      <c r="Y98" s="242"/>
    </row>
    <row r="99" spans="1:25" ht="13">
      <c r="A99" s="310">
        <f t="shared" si="58"/>
        <v>73</v>
      </c>
      <c r="C99" s="329" t="str">
        <f t="shared" si="76"/>
        <v>December</v>
      </c>
      <c r="D99" s="479">
        <v>2027</v>
      </c>
      <c r="E99" s="345">
        <v>24914738.516614914</v>
      </c>
      <c r="F99" s="345">
        <v>354583.40786866564</v>
      </c>
      <c r="G99" s="305">
        <f t="shared" si="70"/>
        <v>1842011.6331559687</v>
      </c>
      <c r="H99" s="305">
        <f t="shared" si="71"/>
        <v>2112173.3393521775</v>
      </c>
      <c r="I99" s="305">
        <f t="shared" si="72"/>
        <v>24289993.402550042</v>
      </c>
      <c r="J99" s="305">
        <f t="shared" si="67"/>
        <v>728699.80207650119</v>
      </c>
      <c r="K99" s="305">
        <f t="shared" si="74"/>
        <v>742702863.70837355</v>
      </c>
      <c r="L99" s="305">
        <f t="shared" si="73"/>
        <v>1571131.2553175564</v>
      </c>
      <c r="M99" s="305">
        <f>M98-H99+L99</f>
        <v>-34375352.788403779</v>
      </c>
      <c r="N99" s="305">
        <f t="shared" si="68"/>
        <v>777078216.4967773</v>
      </c>
      <c r="O99" s="360">
        <v>33380373.60165944</v>
      </c>
      <c r="P99" s="305">
        <f t="shared" si="77"/>
        <v>33934487.803446986</v>
      </c>
      <c r="Q99" s="343"/>
      <c r="R99" s="340"/>
      <c r="S99" s="343"/>
      <c r="T99" s="343"/>
      <c r="U99" s="340"/>
      <c r="V99" s="242"/>
      <c r="W99" s="343"/>
      <c r="X99" s="340"/>
      <c r="Y99" s="242"/>
    </row>
    <row r="100" spans="1:25" ht="13">
      <c r="A100" s="310"/>
      <c r="E100" s="305"/>
      <c r="F100" s="305"/>
      <c r="O100" s="340"/>
    </row>
    <row r="101" spans="1:25" ht="13">
      <c r="A101" s="310"/>
      <c r="B101" s="307" t="s">
        <v>1449</v>
      </c>
    </row>
    <row r="102" spans="1:25" ht="13">
      <c r="A102" s="338" t="s">
        <v>282</v>
      </c>
      <c r="F102" s="363"/>
    </row>
    <row r="103" spans="1:25" ht="13">
      <c r="A103" s="310">
        <f>A99+1</f>
        <v>74</v>
      </c>
      <c r="C103" s="304" t="s">
        <v>1450</v>
      </c>
      <c r="E103" s="346">
        <v>7.4999999999999997E-2</v>
      </c>
    </row>
    <row r="105" spans="1:25" ht="13">
      <c r="A105" s="310"/>
      <c r="B105" s="307" t="s">
        <v>1451</v>
      </c>
    </row>
    <row r="106" spans="1:25" ht="13">
      <c r="A106" s="338" t="s">
        <v>282</v>
      </c>
      <c r="F106" s="363"/>
    </row>
    <row r="107" spans="1:25" ht="13">
      <c r="A107" s="310">
        <f>A103+1</f>
        <v>75</v>
      </c>
      <c r="B107" s="307"/>
      <c r="C107" s="304" t="s">
        <v>1452</v>
      </c>
      <c r="E107" s="346">
        <v>0.08</v>
      </c>
    </row>
    <row r="108" spans="1:25" ht="13">
      <c r="A108" s="310"/>
      <c r="C108" s="304"/>
    </row>
    <row r="109" spans="1:25" ht="13">
      <c r="B109" s="307" t="s">
        <v>1453</v>
      </c>
    </row>
    <row r="110" spans="1:25" ht="13">
      <c r="A110" s="338" t="s">
        <v>282</v>
      </c>
      <c r="F110" s="363"/>
    </row>
    <row r="111" spans="1:25" ht="13">
      <c r="A111" s="310">
        <f>A107+1</f>
        <v>76</v>
      </c>
      <c r="C111" s="304" t="s">
        <v>1454</v>
      </c>
      <c r="E111" s="346">
        <v>0.03</v>
      </c>
    </row>
    <row r="113" spans="1:9" ht="13">
      <c r="B113" s="307" t="s">
        <v>1455</v>
      </c>
    </row>
    <row r="114" spans="1:9" s="328" customFormat="1" ht="13">
      <c r="C114" s="329" t="s">
        <v>1456</v>
      </c>
      <c r="F114" s="347"/>
    </row>
    <row r="115" spans="1:9" s="310" customFormat="1" ht="13">
      <c r="B115" s="328" t="s">
        <v>345</v>
      </c>
      <c r="C115" s="328" t="s">
        <v>346</v>
      </c>
      <c r="D115" s="328" t="s">
        <v>347</v>
      </c>
      <c r="E115" s="328" t="s">
        <v>348</v>
      </c>
      <c r="F115" s="328"/>
    </row>
    <row r="116" spans="1:9" s="328" customFormat="1" ht="13">
      <c r="C116" s="310" t="s">
        <v>388</v>
      </c>
      <c r="E116" s="337" t="s">
        <v>1457</v>
      </c>
    </row>
    <row r="117" spans="1:9" ht="13">
      <c r="A117" s="310"/>
      <c r="B117" s="310"/>
      <c r="C117" s="310" t="str">
        <f>"Prior Year"</f>
        <v>Prior Year</v>
      </c>
      <c r="D117" s="310" t="s">
        <v>1437</v>
      </c>
      <c r="E117" s="310" t="s">
        <v>634</v>
      </c>
      <c r="F117" s="310" t="s">
        <v>1458</v>
      </c>
    </row>
    <row r="118" spans="1:9" ht="13">
      <c r="A118" s="328" t="s">
        <v>282</v>
      </c>
      <c r="B118" s="328" t="s">
        <v>1459</v>
      </c>
      <c r="C118" s="328" t="s">
        <v>1460</v>
      </c>
      <c r="D118" s="328" t="s">
        <v>385</v>
      </c>
      <c r="E118" s="328" t="s">
        <v>1437</v>
      </c>
      <c r="F118" s="3" t="s">
        <v>254</v>
      </c>
    </row>
    <row r="119" spans="1:9" ht="13">
      <c r="A119" s="310">
        <f>A111+1</f>
        <v>77</v>
      </c>
      <c r="B119" s="310">
        <v>350.1</v>
      </c>
      <c r="C119" s="364">
        <f>'17-Depreciation'!C24</f>
        <v>100570233.46136045</v>
      </c>
      <c r="D119" s="489">
        <f>'18-DepRates'!G6</f>
        <v>0</v>
      </c>
      <c r="E119" s="365">
        <f>C119*D119</f>
        <v>0</v>
      </c>
      <c r="F119" s="615" t="s">
        <v>1461</v>
      </c>
      <c r="H119" s="364"/>
      <c r="I119" s="362"/>
    </row>
    <row r="120" spans="1:9" ht="13">
      <c r="A120" s="310">
        <f>A119+1</f>
        <v>78</v>
      </c>
      <c r="B120" s="310">
        <v>350.2</v>
      </c>
      <c r="C120" s="364">
        <f>'17-Depreciation'!D24</f>
        <v>187326744.63357162</v>
      </c>
      <c r="D120" s="489">
        <f>'18-DepRates'!G7</f>
        <v>1.66E-2</v>
      </c>
      <c r="E120" s="365">
        <f>C120*D120</f>
        <v>3109623.9609172889</v>
      </c>
      <c r="F120" s="615" t="s">
        <v>1462</v>
      </c>
      <c r="H120" s="364"/>
      <c r="I120" s="362"/>
    </row>
    <row r="121" spans="1:9" ht="13">
      <c r="A121" s="310" t="s">
        <v>3059</v>
      </c>
      <c r="B121" s="4">
        <v>351.1</v>
      </c>
      <c r="C121" s="1161">
        <f>'17-Depreciation'!C41</f>
        <v>599922.1049452459</v>
      </c>
      <c r="D121" s="489">
        <f>'18-DepRates'!G8</f>
        <v>0.2041</v>
      </c>
      <c r="E121" s="365">
        <f t="shared" ref="E121:E126" si="78">C121*D121</f>
        <v>122444.10161932469</v>
      </c>
      <c r="F121" s="615" t="s">
        <v>3065</v>
      </c>
      <c r="H121" s="364"/>
      <c r="I121" s="362"/>
    </row>
    <row r="122" spans="1:9" ht="13">
      <c r="A122" s="310" t="s">
        <v>3060</v>
      </c>
      <c r="B122" s="4">
        <v>351.2</v>
      </c>
      <c r="C122" s="1161">
        <f>'17-Depreciation'!D41</f>
        <v>0</v>
      </c>
      <c r="D122" s="489">
        <f>'18-DepRates'!G9</f>
        <v>0.19739999999999999</v>
      </c>
      <c r="E122" s="365">
        <f t="shared" si="78"/>
        <v>0</v>
      </c>
      <c r="F122" s="615" t="s">
        <v>3066</v>
      </c>
      <c r="H122" s="364"/>
      <c r="I122" s="362"/>
    </row>
    <row r="123" spans="1:9" ht="13">
      <c r="A123" s="310" t="s">
        <v>3061</v>
      </c>
      <c r="B123" s="2">
        <v>351.2</v>
      </c>
      <c r="C123" s="1161">
        <f>'17-Depreciation'!E41</f>
        <v>0</v>
      </c>
      <c r="D123" s="489">
        <f>'18-DepRates'!G10</f>
        <v>0.1444</v>
      </c>
      <c r="E123" s="365">
        <f t="shared" si="78"/>
        <v>0</v>
      </c>
      <c r="F123" s="615" t="s">
        <v>3067</v>
      </c>
      <c r="H123" s="364"/>
      <c r="I123" s="362"/>
    </row>
    <row r="124" spans="1:9" ht="13">
      <c r="A124" s="310" t="s">
        <v>3062</v>
      </c>
      <c r="B124" s="2">
        <v>351.2</v>
      </c>
      <c r="C124" s="1161">
        <f>'17-Depreciation'!F41</f>
        <v>0</v>
      </c>
      <c r="D124" s="489">
        <f>'18-DepRates'!G11</f>
        <v>0.13270000000000001</v>
      </c>
      <c r="E124" s="365">
        <f t="shared" si="78"/>
        <v>0</v>
      </c>
      <c r="F124" s="615" t="s">
        <v>3068</v>
      </c>
      <c r="H124" s="364"/>
      <c r="I124" s="362"/>
    </row>
    <row r="125" spans="1:9" ht="13">
      <c r="A125" s="310" t="s">
        <v>3063</v>
      </c>
      <c r="B125" s="2">
        <v>351.2</v>
      </c>
      <c r="C125" s="1161">
        <f>'17-Depreciation'!G41</f>
        <v>0</v>
      </c>
      <c r="D125" s="489">
        <f>'18-DepRates'!G12</f>
        <v>6.6600000000000006E-2</v>
      </c>
      <c r="E125" s="365">
        <f t="shared" si="78"/>
        <v>0</v>
      </c>
      <c r="F125" s="615" t="s">
        <v>3069</v>
      </c>
      <c r="H125" s="364"/>
      <c r="I125" s="362"/>
    </row>
    <row r="126" spans="1:9" ht="13">
      <c r="A126" s="310" t="s">
        <v>3064</v>
      </c>
      <c r="B126" s="2">
        <v>351.3</v>
      </c>
      <c r="C126" s="1161">
        <f>'17-Depreciation'!H41</f>
        <v>119009983.53697526</v>
      </c>
      <c r="D126" s="489">
        <f>'18-DepRates'!G13</f>
        <v>8.9300000000000004E-2</v>
      </c>
      <c r="E126" s="365">
        <f t="shared" si="78"/>
        <v>10627591.529851891</v>
      </c>
      <c r="F126" s="615" t="s">
        <v>3070</v>
      </c>
      <c r="H126" s="364"/>
      <c r="I126" s="362"/>
    </row>
    <row r="127" spans="1:9" ht="13">
      <c r="A127" s="310">
        <f>A120+1</f>
        <v>79</v>
      </c>
      <c r="B127" s="310">
        <v>352</v>
      </c>
      <c r="C127" s="364">
        <f>'17-Depreciation'!E24</f>
        <v>997121241.56282353</v>
      </c>
      <c r="D127" s="489">
        <f>'18-DepRates'!G14</f>
        <v>2.5700000000000001E-2</v>
      </c>
      <c r="E127" s="365">
        <f t="shared" ref="E127:E134" si="79">C127*D127</f>
        <v>25626015.908164565</v>
      </c>
      <c r="F127" s="615" t="s">
        <v>1463</v>
      </c>
      <c r="H127" s="364"/>
      <c r="I127" s="362"/>
    </row>
    <row r="128" spans="1:9" ht="13">
      <c r="A128" s="310">
        <f t="shared" ref="A128:A139" si="80">A127+1</f>
        <v>80</v>
      </c>
      <c r="B128" s="310">
        <v>353</v>
      </c>
      <c r="C128" s="364">
        <f>'17-Depreciation'!F24</f>
        <v>4909339726.8853455</v>
      </c>
      <c r="D128" s="489">
        <f>'18-DepRates'!G15</f>
        <v>2.47E-2</v>
      </c>
      <c r="E128" s="365">
        <f t="shared" si="79"/>
        <v>121260691.25406803</v>
      </c>
      <c r="F128" s="615" t="s">
        <v>1464</v>
      </c>
      <c r="H128" s="364"/>
      <c r="I128" s="362"/>
    </row>
    <row r="129" spans="1:9" ht="13">
      <c r="A129" s="310">
        <f t="shared" si="80"/>
        <v>81</v>
      </c>
      <c r="B129" s="310">
        <v>354</v>
      </c>
      <c r="C129" s="364">
        <f>'17-Depreciation'!G24</f>
        <v>2589498528.5157771</v>
      </c>
      <c r="D129" s="489">
        <f>'18-DepRates'!G16</f>
        <v>2.4400000000000002E-2</v>
      </c>
      <c r="E129" s="365">
        <f>C129*D129</f>
        <v>63183764.095784962</v>
      </c>
      <c r="F129" s="615" t="s">
        <v>1465</v>
      </c>
      <c r="H129" s="364"/>
      <c r="I129" s="362"/>
    </row>
    <row r="130" spans="1:9" ht="13">
      <c r="A130" s="310">
        <f t="shared" si="80"/>
        <v>82</v>
      </c>
      <c r="B130" s="310">
        <v>355</v>
      </c>
      <c r="C130" s="364">
        <f>'17-Depreciation'!H24</f>
        <v>652727599.37119353</v>
      </c>
      <c r="D130" s="489">
        <f>'18-DepRates'!G17</f>
        <v>3.6700000000000003E-2</v>
      </c>
      <c r="E130" s="365">
        <f t="shared" si="79"/>
        <v>23955102.896922804</v>
      </c>
      <c r="F130" s="615" t="s">
        <v>1466</v>
      </c>
      <c r="H130" s="364"/>
      <c r="I130" s="362"/>
    </row>
    <row r="131" spans="1:9" ht="13">
      <c r="A131" s="310">
        <f t="shared" si="80"/>
        <v>83</v>
      </c>
      <c r="B131" s="310">
        <v>356</v>
      </c>
      <c r="C131" s="364">
        <f>'17-Depreciation'!I24</f>
        <v>1745095033.8296139</v>
      </c>
      <c r="D131" s="489">
        <f>'18-DepRates'!G18</f>
        <v>3.0499999999999999E-2</v>
      </c>
      <c r="E131" s="365">
        <f t="shared" si="79"/>
        <v>53225398.531803221</v>
      </c>
      <c r="F131" s="615" t="s">
        <v>1467</v>
      </c>
      <c r="H131" s="364"/>
      <c r="I131" s="362"/>
    </row>
    <row r="132" spans="1:9" ht="13">
      <c r="A132" s="310">
        <f t="shared" si="80"/>
        <v>84</v>
      </c>
      <c r="B132" s="310">
        <v>357</v>
      </c>
      <c r="C132" s="364">
        <f>'17-Depreciation'!J24</f>
        <v>215309410.45358056</v>
      </c>
      <c r="D132" s="489">
        <f>'18-DepRates'!G19</f>
        <v>1.6500000000000001E-2</v>
      </c>
      <c r="E132" s="365">
        <f t="shared" si="79"/>
        <v>3552605.2724840795</v>
      </c>
      <c r="F132" s="615" t="s">
        <v>1468</v>
      </c>
      <c r="H132" s="364"/>
      <c r="I132" s="362"/>
    </row>
    <row r="133" spans="1:9" ht="13">
      <c r="A133" s="310">
        <f t="shared" si="80"/>
        <v>85</v>
      </c>
      <c r="B133" s="310">
        <v>358</v>
      </c>
      <c r="C133" s="364">
        <f>'17-Depreciation'!K24</f>
        <v>58752899.030000001</v>
      </c>
      <c r="D133" s="489">
        <f>'18-DepRates'!G20</f>
        <v>3.8699999999999998E-2</v>
      </c>
      <c r="E133" s="365">
        <f t="shared" si="79"/>
        <v>2273737.1924609998</v>
      </c>
      <c r="F133" s="615" t="s">
        <v>1469</v>
      </c>
      <c r="H133" s="364"/>
      <c r="I133" s="362"/>
    </row>
    <row r="134" spans="1:9" ht="13">
      <c r="A134" s="310">
        <f t="shared" si="80"/>
        <v>86</v>
      </c>
      <c r="B134" s="310">
        <v>359</v>
      </c>
      <c r="C134" s="364">
        <f>'17-Depreciation'!L24</f>
        <v>252924342.04312441</v>
      </c>
      <c r="D134" s="489">
        <f>'18-DepRates'!G21</f>
        <v>1.5599999999999999E-2</v>
      </c>
      <c r="E134" s="365">
        <f t="shared" si="79"/>
        <v>3945619.7358727404</v>
      </c>
      <c r="F134" s="615" t="s">
        <v>1470</v>
      </c>
      <c r="H134" s="364"/>
      <c r="I134" s="362"/>
    </row>
    <row r="135" spans="1:9" ht="13">
      <c r="A135" s="310">
        <f t="shared" si="80"/>
        <v>87</v>
      </c>
    </row>
    <row r="136" spans="1:9" ht="13">
      <c r="A136" s="310">
        <f t="shared" si="80"/>
        <v>88</v>
      </c>
      <c r="C136" s="303" t="s">
        <v>1471</v>
      </c>
      <c r="E136" s="365">
        <f>SUM(E119:E134)</f>
        <v>310882594.47994989</v>
      </c>
      <c r="F136" s="303" t="str">
        <f>"Sum of C"&amp;RIGHT(E115)&amp;" Lines "&amp;A119&amp;" to "&amp;A134</f>
        <v>Sum of C4 Lines 77 to 86</v>
      </c>
    </row>
    <row r="137" spans="1:9" ht="13">
      <c r="A137" s="310">
        <f t="shared" si="80"/>
        <v>89</v>
      </c>
      <c r="C137" s="303" t="str">
        <f>"Sum of Dec Prior Year Plant"</f>
        <v>Sum of Dec Prior Year Plant</v>
      </c>
      <c r="E137" s="365">
        <f>SUM(C119:C134)</f>
        <v>11828275665.428312</v>
      </c>
      <c r="F137" s="303" t="str">
        <f>"Sum of C"&amp;RIGHT(C115)&amp;" Lines "&amp;A119&amp;" to "&amp;A134</f>
        <v>Sum of C2 Lines 77 to 86</v>
      </c>
    </row>
    <row r="138" spans="1:9" ht="13">
      <c r="A138" s="310">
        <f t="shared" si="80"/>
        <v>90</v>
      </c>
    </row>
    <row r="139" spans="1:9" ht="13">
      <c r="A139" s="310">
        <f t="shared" si="80"/>
        <v>91</v>
      </c>
      <c r="C139" s="303" t="s">
        <v>1472</v>
      </c>
      <c r="E139" s="348">
        <f>E136/E137</f>
        <v>2.6283002127571106E-2</v>
      </c>
      <c r="F139" s="303" t="str">
        <f>"Line "&amp;A136&amp;" / Line "&amp;A137</f>
        <v>Line 88 / Line 89</v>
      </c>
    </row>
    <row r="140" spans="1:9" ht="13">
      <c r="A140" s="310"/>
    </row>
    <row r="141" spans="1:9" ht="13">
      <c r="A141" s="310"/>
      <c r="B141" s="334" t="s">
        <v>233</v>
      </c>
      <c r="C141"/>
      <c r="D141"/>
      <c r="E141"/>
      <c r="F141"/>
      <c r="G141"/>
      <c r="H141"/>
      <c r="I141"/>
    </row>
    <row r="142" spans="1:9" ht="13">
      <c r="A142" s="310"/>
      <c r="B142" s="329" t="s">
        <v>1126</v>
      </c>
      <c r="C142"/>
      <c r="D142"/>
      <c r="E142"/>
      <c r="F142"/>
      <c r="G142"/>
      <c r="H142"/>
      <c r="I142"/>
    </row>
    <row r="143" spans="1:9" ht="13">
      <c r="A143" s="310"/>
      <c r="B143" s="329" t="s">
        <v>1473</v>
      </c>
      <c r="C143"/>
      <c r="D143"/>
      <c r="E143"/>
      <c r="F143"/>
      <c r="G143"/>
      <c r="H143"/>
      <c r="I143"/>
    </row>
    <row r="144" spans="1:9" ht="13">
      <c r="A144" s="310"/>
    </row>
    <row r="145" spans="1:1" ht="13">
      <c r="A145" s="310"/>
    </row>
    <row r="146" spans="1:1" ht="13">
      <c r="A146" s="310"/>
    </row>
    <row r="147" spans="1:1" ht="13">
      <c r="A147" s="310"/>
    </row>
    <row r="148" spans="1:1" ht="13">
      <c r="A148" s="310"/>
    </row>
    <row r="149" spans="1:1" ht="13">
      <c r="A149" s="310"/>
    </row>
    <row r="150" spans="1:1" ht="13">
      <c r="A150" s="310"/>
    </row>
    <row r="151" spans="1:1" ht="13">
      <c r="A151" s="310"/>
    </row>
    <row r="152" spans="1:1" ht="13">
      <c r="A152" s="310"/>
    </row>
    <row r="153" spans="1:1" ht="13">
      <c r="A153" s="310"/>
    </row>
    <row r="154" spans="1:1" ht="13">
      <c r="A154" s="310"/>
    </row>
    <row r="155" spans="1:1" ht="13">
      <c r="A155" s="310"/>
    </row>
    <row r="156" spans="1:1" ht="13">
      <c r="A156" s="310"/>
    </row>
    <row r="157" spans="1:1" ht="13">
      <c r="A157" s="310"/>
    </row>
    <row r="158" spans="1:1" ht="13">
      <c r="A158" s="310"/>
    </row>
    <row r="159" spans="1:1" ht="13">
      <c r="A159" s="310"/>
    </row>
    <row r="160" spans="1:1" ht="13">
      <c r="A160" s="310"/>
    </row>
    <row r="161" spans="1:1" ht="13">
      <c r="A161" s="310"/>
    </row>
    <row r="162" spans="1:1" ht="13">
      <c r="A162" s="310"/>
    </row>
    <row r="163" spans="1:1" ht="13">
      <c r="A163" s="310"/>
    </row>
    <row r="164" spans="1:1" ht="13">
      <c r="A164" s="310"/>
    </row>
    <row r="165" spans="1:1" ht="13">
      <c r="A165" s="310"/>
    </row>
    <row r="166" spans="1:1" ht="13">
      <c r="A166" s="310"/>
    </row>
    <row r="167" spans="1:1" ht="13">
      <c r="A167" s="310"/>
    </row>
    <row r="168" spans="1:1" ht="13">
      <c r="A168" s="310"/>
    </row>
    <row r="169" spans="1:1" ht="13">
      <c r="A169" s="310"/>
    </row>
    <row r="170" spans="1:1" ht="13">
      <c r="A170" s="310"/>
    </row>
    <row r="171" spans="1:1" ht="13">
      <c r="A171" s="310"/>
    </row>
    <row r="172" spans="1:1" ht="13">
      <c r="A172" s="310"/>
    </row>
    <row r="173" spans="1:1" ht="13">
      <c r="A173" s="310"/>
    </row>
    <row r="174" spans="1:1" ht="13">
      <c r="A174" s="310"/>
    </row>
    <row r="175" spans="1:1" ht="13">
      <c r="A175" s="310"/>
    </row>
    <row r="176" spans="1:1" ht="13">
      <c r="A176" s="310"/>
    </row>
    <row r="177" spans="1:1" ht="13">
      <c r="A177" s="310"/>
    </row>
    <row r="178" spans="1:1" ht="13">
      <c r="A178" s="310"/>
    </row>
    <row r="179" spans="1:1" ht="13">
      <c r="A179" s="310"/>
    </row>
    <row r="180" spans="1:1" ht="13">
      <c r="A180" s="310"/>
    </row>
    <row r="181" spans="1:1" ht="13">
      <c r="A181" s="310"/>
    </row>
    <row r="182" spans="1:1" ht="13">
      <c r="A182" s="310"/>
    </row>
    <row r="183" spans="1:1" ht="13">
      <c r="A183" s="310"/>
    </row>
    <row r="184" spans="1:1" ht="13">
      <c r="A184" s="310"/>
    </row>
    <row r="185" spans="1:1" ht="13">
      <c r="A185" s="310"/>
    </row>
    <row r="186" spans="1:1" ht="13">
      <c r="A186" s="310"/>
    </row>
    <row r="187" spans="1:1" ht="13">
      <c r="A187" s="310"/>
    </row>
    <row r="188" spans="1:1" ht="13">
      <c r="A188" s="310"/>
    </row>
    <row r="189" spans="1:1" ht="13">
      <c r="A189" s="310"/>
    </row>
    <row r="190" spans="1:1" ht="13">
      <c r="A190" s="310"/>
    </row>
    <row r="191" spans="1:1" ht="13">
      <c r="A191" s="310"/>
    </row>
    <row r="192" spans="1:1" ht="13">
      <c r="A192" s="310"/>
    </row>
    <row r="193" spans="1:1" ht="13">
      <c r="A193" s="310"/>
    </row>
    <row r="194" spans="1:1" ht="13">
      <c r="A194" s="310"/>
    </row>
    <row r="195" spans="1:1" ht="13">
      <c r="A195" s="310"/>
    </row>
    <row r="196" spans="1:1" ht="13">
      <c r="A196" s="310"/>
    </row>
    <row r="197" spans="1:1" ht="13">
      <c r="A197" s="310"/>
    </row>
    <row r="198" spans="1:1" ht="13">
      <c r="A198" s="310"/>
    </row>
    <row r="199" spans="1:1" ht="13">
      <c r="A199" s="310"/>
    </row>
    <row r="200" spans="1:1" ht="13">
      <c r="A200" s="310"/>
    </row>
    <row r="201" spans="1:1" ht="13">
      <c r="A201" s="310"/>
    </row>
    <row r="202" spans="1:1" ht="13">
      <c r="A202" s="310"/>
    </row>
    <row r="203" spans="1:1" ht="13">
      <c r="A203" s="310"/>
    </row>
    <row r="204" spans="1:1" ht="13">
      <c r="A204" s="310"/>
    </row>
    <row r="205" spans="1:1" ht="13">
      <c r="A205" s="310"/>
    </row>
    <row r="206" spans="1:1" ht="13">
      <c r="A206" s="310"/>
    </row>
    <row r="207" spans="1:1" ht="13">
      <c r="A207" s="310"/>
    </row>
    <row r="208" spans="1:1" ht="13">
      <c r="A208" s="310"/>
    </row>
    <row r="209" spans="1:1" ht="13">
      <c r="A209" s="310"/>
    </row>
    <row r="210" spans="1:1" ht="13">
      <c r="A210" s="310"/>
    </row>
  </sheetData>
  <pageMargins left="0.7" right="0.7" top="0.75" bottom="0.75" header="0.3" footer="0.3"/>
  <pageSetup scale="50" orientation="landscape" cellComments="asDisplayed" r:id="rId1"/>
  <headerFooter>
    <oddHeader>&amp;CSchedule 16
Plant Additions
&amp;RTO2027 Draft Annual Update 
Attachment 1</oddHeader>
    <oddFooter>&amp;R&amp;A</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5"/>
  <sheetViews>
    <sheetView zoomScaleNormal="100" workbookViewId="0"/>
  </sheetViews>
  <sheetFormatPr defaultRowHeight="12.5"/>
  <cols>
    <col min="1" max="1" width="5.54296875" customWidth="1"/>
    <col min="3" max="3" width="15.453125" customWidth="1"/>
    <col min="4" max="5" width="14.54296875" customWidth="1"/>
    <col min="6" max="6" width="15.54296875" customWidth="1"/>
    <col min="7" max="12" width="14.54296875" customWidth="1"/>
    <col min="13" max="13" width="16" bestFit="1" customWidth="1"/>
  </cols>
  <sheetData>
    <row r="1" spans="1:13" ht="13">
      <c r="A1" s="1" t="s">
        <v>206</v>
      </c>
      <c r="B1" s="112"/>
      <c r="C1" s="112"/>
      <c r="D1" s="112"/>
      <c r="E1" s="112"/>
      <c r="F1" s="112"/>
      <c r="G1" s="112"/>
      <c r="H1" s="112"/>
      <c r="I1" s="259" t="s">
        <v>738</v>
      </c>
      <c r="J1" s="103"/>
      <c r="K1" s="112"/>
      <c r="L1" s="112"/>
      <c r="M1" s="112"/>
    </row>
    <row r="2" spans="1:13">
      <c r="A2" s="112"/>
      <c r="B2" s="112"/>
      <c r="C2" s="112"/>
      <c r="D2" s="112"/>
      <c r="E2" s="112"/>
      <c r="F2" s="112"/>
      <c r="G2" s="112"/>
      <c r="H2" s="112"/>
      <c r="K2" s="112"/>
      <c r="L2" s="112"/>
      <c r="M2" s="112"/>
    </row>
    <row r="3" spans="1:13" ht="13">
      <c r="A3" s="112"/>
      <c r="B3" s="1" t="s">
        <v>1474</v>
      </c>
      <c r="C3" s="112"/>
      <c r="D3" s="112"/>
      <c r="E3" s="112"/>
      <c r="F3" s="112"/>
      <c r="G3" s="112"/>
      <c r="H3" s="112"/>
      <c r="I3" s="113" t="s">
        <v>655</v>
      </c>
      <c r="J3" s="803">
        <v>2025</v>
      </c>
      <c r="K3" s="112"/>
      <c r="L3" s="112"/>
      <c r="M3" s="112"/>
    </row>
    <row r="4" spans="1:13">
      <c r="A4" s="112"/>
      <c r="B4" s="112"/>
      <c r="C4" s="112"/>
      <c r="D4" s="112"/>
      <c r="E4" s="112"/>
      <c r="F4" s="112"/>
      <c r="G4" s="112"/>
      <c r="H4" s="112"/>
      <c r="I4" s="112"/>
      <c r="J4" s="112"/>
      <c r="K4" s="112"/>
      <c r="L4" s="112"/>
      <c r="M4" s="112"/>
    </row>
    <row r="5" spans="1:13" ht="13">
      <c r="A5" s="112"/>
      <c r="B5" s="233" t="s">
        <v>1475</v>
      </c>
      <c r="C5" s="112"/>
      <c r="D5" s="112"/>
      <c r="E5" s="112"/>
      <c r="F5" s="112"/>
      <c r="G5" s="112"/>
      <c r="H5" s="233" t="s">
        <v>3108</v>
      </c>
      <c r="I5" s="112"/>
      <c r="J5" s="112"/>
      <c r="K5" s="112"/>
      <c r="L5" s="112"/>
      <c r="M5" s="112"/>
    </row>
    <row r="6" spans="1:13">
      <c r="A6" s="112"/>
      <c r="B6" s="112"/>
      <c r="C6" s="112"/>
      <c r="D6" s="112"/>
      <c r="E6" s="112"/>
      <c r="F6" s="112"/>
      <c r="G6" s="112"/>
      <c r="H6" s="112"/>
      <c r="I6" s="112"/>
      <c r="J6" s="112"/>
      <c r="K6" s="112"/>
      <c r="L6" s="112"/>
      <c r="M6" s="112"/>
    </row>
    <row r="7" spans="1:13" ht="13">
      <c r="A7" s="112"/>
      <c r="B7" s="48" t="s">
        <v>345</v>
      </c>
      <c r="C7" s="48" t="s">
        <v>346</v>
      </c>
      <c r="D7" s="48" t="s">
        <v>347</v>
      </c>
      <c r="E7" s="48" t="s">
        <v>348</v>
      </c>
      <c r="F7" s="48" t="s">
        <v>349</v>
      </c>
      <c r="G7" s="48" t="s">
        <v>350</v>
      </c>
      <c r="H7" s="48" t="s">
        <v>351</v>
      </c>
      <c r="I7" s="48" t="s">
        <v>352</v>
      </c>
      <c r="J7" s="48" t="s">
        <v>353</v>
      </c>
      <c r="K7" s="48" t="s">
        <v>603</v>
      </c>
      <c r="L7" s="48" t="s">
        <v>604</v>
      </c>
      <c r="M7" s="48"/>
    </row>
    <row r="8" spans="1:13">
      <c r="A8" s="112"/>
      <c r="B8" s="125"/>
      <c r="C8" s="112"/>
      <c r="D8" s="112"/>
      <c r="E8" s="112"/>
      <c r="F8" s="112"/>
      <c r="G8" s="112"/>
      <c r="H8" s="112"/>
      <c r="I8" s="112"/>
      <c r="J8" s="112"/>
      <c r="K8" s="112"/>
      <c r="L8" s="112"/>
      <c r="M8" s="1090"/>
    </row>
    <row r="9" spans="1:13" ht="13">
      <c r="A9" s="112"/>
      <c r="B9" s="2"/>
      <c r="C9" s="243" t="s">
        <v>247</v>
      </c>
      <c r="D9" s="112"/>
      <c r="E9" s="112"/>
      <c r="F9" s="112"/>
      <c r="G9" s="112"/>
      <c r="H9" s="112"/>
      <c r="I9" s="112"/>
      <c r="J9" s="112"/>
      <c r="K9" s="112"/>
      <c r="L9" s="112"/>
      <c r="M9" s="112"/>
    </row>
    <row r="10" spans="1:13" ht="13">
      <c r="A10" s="112"/>
      <c r="B10" s="2"/>
      <c r="C10" s="243" t="s">
        <v>789</v>
      </c>
      <c r="D10" s="112"/>
      <c r="E10" s="112"/>
      <c r="F10" s="112"/>
      <c r="G10" s="112"/>
      <c r="H10" s="112"/>
      <c r="I10" s="112"/>
      <c r="J10" s="112"/>
      <c r="K10" s="112"/>
      <c r="L10" s="112"/>
      <c r="M10" s="112"/>
    </row>
    <row r="11" spans="1:13" ht="13">
      <c r="A11" s="30" t="s">
        <v>282</v>
      </c>
      <c r="B11" s="3" t="s">
        <v>657</v>
      </c>
      <c r="C11" s="48">
        <v>350.1</v>
      </c>
      <c r="D11" s="48">
        <v>350.2</v>
      </c>
      <c r="E11" s="48">
        <v>352</v>
      </c>
      <c r="F11" s="48">
        <v>353</v>
      </c>
      <c r="G11" s="48">
        <v>354</v>
      </c>
      <c r="H11" s="48">
        <v>355</v>
      </c>
      <c r="I11" s="48">
        <v>356</v>
      </c>
      <c r="J11" s="48">
        <v>357</v>
      </c>
      <c r="K11" s="48">
        <v>358</v>
      </c>
      <c r="L11" s="48">
        <v>359</v>
      </c>
      <c r="M11" s="3"/>
    </row>
    <row r="12" spans="1:13" ht="13">
      <c r="A12" s="2">
        <v>1</v>
      </c>
      <c r="B12" s="507" t="s">
        <v>3089</v>
      </c>
      <c r="C12" s="114">
        <f>'6-PlantInService'!C13</f>
        <v>92848062.874113053</v>
      </c>
      <c r="D12" s="114">
        <f>'6-PlantInService'!D13</f>
        <v>186476377.28716636</v>
      </c>
      <c r="E12" s="114">
        <f>'6-PlantInService'!E13</f>
        <v>978263465.651196</v>
      </c>
      <c r="F12" s="114">
        <f>'6-PlantInService'!F13</f>
        <v>4713129522.556879</v>
      </c>
      <c r="G12" s="114">
        <f>'6-PlantInService'!G13</f>
        <v>2528354263.1955895</v>
      </c>
      <c r="H12" s="114">
        <f>'6-PlantInService'!H13</f>
        <v>655191734.57475924</v>
      </c>
      <c r="I12" s="114">
        <f>'6-PlantInService'!I13</f>
        <v>1646992122.5487008</v>
      </c>
      <c r="J12" s="114">
        <f>'6-PlantInService'!J13</f>
        <v>215307571.51137736</v>
      </c>
      <c r="K12" s="114">
        <f>'6-PlantInService'!K13</f>
        <v>58752899.030000001</v>
      </c>
      <c r="L12" s="114">
        <f>'6-PlantInService'!L13</f>
        <v>232315316.61933443</v>
      </c>
      <c r="M12" s="6"/>
    </row>
    <row r="13" spans="1:13" ht="13">
      <c r="A13" s="2">
        <f>A12+1</f>
        <v>2</v>
      </c>
      <c r="B13" s="507" t="s">
        <v>3090</v>
      </c>
      <c r="C13" s="114">
        <f>'6-PlantInService'!C14</f>
        <v>92848714.03411305</v>
      </c>
      <c r="D13" s="114">
        <f>'6-PlantInService'!D14</f>
        <v>186960762.67439348</v>
      </c>
      <c r="E13" s="114">
        <f>'6-PlantInService'!E14</f>
        <v>979770761.27099109</v>
      </c>
      <c r="F13" s="114">
        <f>'6-PlantInService'!F14</f>
        <v>4720839306.057168</v>
      </c>
      <c r="G13" s="114">
        <f>'6-PlantInService'!G14</f>
        <v>2528468514.3425283</v>
      </c>
      <c r="H13" s="114">
        <f>'6-PlantInService'!H14</f>
        <v>537787742.18115473</v>
      </c>
      <c r="I13" s="114">
        <f>'6-PlantInService'!I14</f>
        <v>1645428620.9004955</v>
      </c>
      <c r="J13" s="114">
        <f>'6-PlantInService'!J14</f>
        <v>215307709.24139857</v>
      </c>
      <c r="K13" s="114">
        <f>'6-PlantInService'!K14</f>
        <v>58752899.030000001</v>
      </c>
      <c r="L13" s="114">
        <f>'6-PlantInService'!L14</f>
        <v>232325752.64887694</v>
      </c>
      <c r="M13" s="6"/>
    </row>
    <row r="14" spans="1:13" ht="13">
      <c r="A14" s="2">
        <f t="shared" ref="A14:A127" si="0">A13+1</f>
        <v>3</v>
      </c>
      <c r="B14" s="507" t="s">
        <v>3091</v>
      </c>
      <c r="C14" s="114">
        <f>'6-PlantInService'!C15</f>
        <v>99919005.788402393</v>
      </c>
      <c r="D14" s="114">
        <f>'6-PlantInService'!D15</f>
        <v>187053084.5743801</v>
      </c>
      <c r="E14" s="114">
        <f>'6-PlantInService'!E15</f>
        <v>980518554.3098408</v>
      </c>
      <c r="F14" s="114">
        <f>'6-PlantInService'!F15</f>
        <v>4723736587.8852291</v>
      </c>
      <c r="G14" s="114">
        <f>'6-PlantInService'!G15</f>
        <v>2528432127.3106327</v>
      </c>
      <c r="H14" s="114">
        <f>'6-PlantInService'!H15</f>
        <v>402052786.25490469</v>
      </c>
      <c r="I14" s="114">
        <f>'6-PlantInService'!I15</f>
        <v>1647302838.0568142</v>
      </c>
      <c r="J14" s="114">
        <f>'6-PlantInService'!J15</f>
        <v>215307846.93190545</v>
      </c>
      <c r="K14" s="114">
        <f>'6-PlantInService'!K15</f>
        <v>58752899.030000001</v>
      </c>
      <c r="L14" s="114">
        <f>'6-PlantInService'!L15</f>
        <v>232329223.55896202</v>
      </c>
      <c r="M14" s="6"/>
    </row>
    <row r="15" spans="1:13" ht="13">
      <c r="A15" s="2">
        <f t="shared" si="0"/>
        <v>4</v>
      </c>
      <c r="B15" s="507" t="s">
        <v>3092</v>
      </c>
      <c r="C15" s="114">
        <f>'6-PlantInService'!C16</f>
        <v>99927290.202973545</v>
      </c>
      <c r="D15" s="114">
        <f>'6-PlantInService'!D16</f>
        <v>187070729.56563032</v>
      </c>
      <c r="E15" s="114">
        <f>'6-PlantInService'!E16</f>
        <v>983133652.30817771</v>
      </c>
      <c r="F15" s="114">
        <f>'6-PlantInService'!F16</f>
        <v>4747601272.8459558</v>
      </c>
      <c r="G15" s="114">
        <f>'6-PlantInService'!G16</f>
        <v>2530972555.4306073</v>
      </c>
      <c r="H15" s="114">
        <f>'6-PlantInService'!H16</f>
        <v>456403109.46515381</v>
      </c>
      <c r="I15" s="114">
        <f>'6-PlantInService'!I16</f>
        <v>1648231338.7288501</v>
      </c>
      <c r="J15" s="114">
        <f>'6-PlantInService'!J16</f>
        <v>215307984.63228461</v>
      </c>
      <c r="K15" s="114">
        <f>'6-PlantInService'!K16</f>
        <v>58752899.030000001</v>
      </c>
      <c r="L15" s="114">
        <f>'6-PlantInService'!L16</f>
        <v>232335466.67063642</v>
      </c>
      <c r="M15" s="6"/>
    </row>
    <row r="16" spans="1:13" ht="13">
      <c r="A16" s="2">
        <f t="shared" si="0"/>
        <v>5</v>
      </c>
      <c r="B16" s="507" t="s">
        <v>3093</v>
      </c>
      <c r="C16" s="114">
        <f>'6-PlantInService'!C17</f>
        <v>99927251.132973552</v>
      </c>
      <c r="D16" s="114">
        <f>'6-PlantInService'!D17</f>
        <v>187074998.08469722</v>
      </c>
      <c r="E16" s="114">
        <f>'6-PlantInService'!E17</f>
        <v>988677926.31101525</v>
      </c>
      <c r="F16" s="114">
        <f>'6-PlantInService'!F17</f>
        <v>4771368455.8380165</v>
      </c>
      <c r="G16" s="114">
        <f>'6-PlantInService'!G17</f>
        <v>2561190115.0269995</v>
      </c>
      <c r="H16" s="114">
        <f>'6-PlantInService'!H17</f>
        <v>685306602.95617008</v>
      </c>
      <c r="I16" s="114">
        <f>'6-PlantInService'!I17</f>
        <v>1723495444.3347497</v>
      </c>
      <c r="J16" s="114">
        <f>'6-PlantInService'!J17</f>
        <v>215308122.33643004</v>
      </c>
      <c r="K16" s="114">
        <f>'6-PlantInService'!K17</f>
        <v>58752899.030000001</v>
      </c>
      <c r="L16" s="114">
        <f>'6-PlantInService'!L17</f>
        <v>232437724.80335957</v>
      </c>
      <c r="M16" s="6"/>
    </row>
    <row r="17" spans="1:13" ht="13">
      <c r="A17" s="2">
        <f t="shared" si="0"/>
        <v>6</v>
      </c>
      <c r="B17" s="507" t="s">
        <v>3094</v>
      </c>
      <c r="C17" s="114">
        <f>'6-PlantInService'!C18</f>
        <v>99927251.132973552</v>
      </c>
      <c r="D17" s="114">
        <f>'6-PlantInService'!D18</f>
        <v>187208696.81470928</v>
      </c>
      <c r="E17" s="114">
        <f>'6-PlantInService'!E18</f>
        <v>990513794.23118711</v>
      </c>
      <c r="F17" s="114">
        <f>'6-PlantInService'!F18</f>
        <v>4781408447.5073433</v>
      </c>
      <c r="G17" s="114">
        <f>'6-PlantInService'!G18</f>
        <v>2559935932.8894205</v>
      </c>
      <c r="H17" s="114">
        <f>'6-PlantInService'!H18</f>
        <v>943999766.36315584</v>
      </c>
      <c r="I17" s="114">
        <f>'6-PlantInService'!I18</f>
        <v>1728241154.8461802</v>
      </c>
      <c r="J17" s="114">
        <f>'6-PlantInService'!J18</f>
        <v>215308360.75425953</v>
      </c>
      <c r="K17" s="114">
        <f>'6-PlantInService'!K18</f>
        <v>58752899.030000001</v>
      </c>
      <c r="L17" s="114">
        <f>'6-PlantInService'!L18</f>
        <v>233116294.91278014</v>
      </c>
      <c r="M17" s="6"/>
    </row>
    <row r="18" spans="1:13" ht="13">
      <c r="A18" s="2">
        <f t="shared" si="0"/>
        <v>7</v>
      </c>
      <c r="B18" s="507" t="s">
        <v>3095</v>
      </c>
      <c r="C18" s="114">
        <f>'6-PlantInService'!C19</f>
        <v>99929582.594760716</v>
      </c>
      <c r="D18" s="114">
        <f>'6-PlantInService'!D19</f>
        <v>187216404.51849055</v>
      </c>
      <c r="E18" s="114">
        <f>'6-PlantInService'!E19</f>
        <v>991358736.00196886</v>
      </c>
      <c r="F18" s="114">
        <f>'6-PlantInService'!F19</f>
        <v>4884828941.4354143</v>
      </c>
      <c r="G18" s="114">
        <f>'6-PlantInService'!G19</f>
        <v>2560213366.6430712</v>
      </c>
      <c r="H18" s="114">
        <f>'6-PlantInService'!H19</f>
        <v>922763722.39420176</v>
      </c>
      <c r="I18" s="114">
        <f>'6-PlantInService'!I19</f>
        <v>1668869243.3933151</v>
      </c>
      <c r="J18" s="114">
        <f>'6-PlantInService'!J19</f>
        <v>215308499.62250713</v>
      </c>
      <c r="K18" s="114">
        <f>'6-PlantInService'!K19</f>
        <v>58752899.030000001</v>
      </c>
      <c r="L18" s="114">
        <f>'6-PlantInService'!L19</f>
        <v>249178516.35624209</v>
      </c>
      <c r="M18" s="6"/>
    </row>
    <row r="19" spans="1:13" ht="13">
      <c r="A19" s="2">
        <f t="shared" si="0"/>
        <v>8</v>
      </c>
      <c r="B19" s="507" t="s">
        <v>3096</v>
      </c>
      <c r="C19" s="114">
        <f>'6-PlantInService'!C20</f>
        <v>100570710.28476071</v>
      </c>
      <c r="D19" s="114">
        <f>'6-PlantInService'!D20</f>
        <v>187264836.41102588</v>
      </c>
      <c r="E19" s="114">
        <f>'6-PlantInService'!E20</f>
        <v>992268583.75314367</v>
      </c>
      <c r="F19" s="114">
        <f>'6-PlantInService'!F20</f>
        <v>4885906708.0319424</v>
      </c>
      <c r="G19" s="114">
        <f>'6-PlantInService'!G20</f>
        <v>2579113406.6580873</v>
      </c>
      <c r="H19" s="114">
        <f>'6-PlantInService'!H20</f>
        <v>812688929.96485925</v>
      </c>
      <c r="I19" s="114">
        <f>'6-PlantInService'!I20</f>
        <v>1700721202.79598</v>
      </c>
      <c r="J19" s="114">
        <f>'6-PlantInService'!J20</f>
        <v>215308639.57560736</v>
      </c>
      <c r="K19" s="114">
        <f>'6-PlantInService'!K20</f>
        <v>58752899.030000001</v>
      </c>
      <c r="L19" s="114">
        <f>'6-PlantInService'!L20</f>
        <v>250224626.40127668</v>
      </c>
      <c r="M19" s="6"/>
    </row>
    <row r="20" spans="1:13" ht="13">
      <c r="A20" s="2">
        <f t="shared" si="0"/>
        <v>9</v>
      </c>
      <c r="B20" s="507" t="s">
        <v>3097</v>
      </c>
      <c r="C20" s="114">
        <f>'6-PlantInService'!C21</f>
        <v>100570701.6447607</v>
      </c>
      <c r="D20" s="114">
        <f>'6-PlantInService'!D21</f>
        <v>187272565.03600955</v>
      </c>
      <c r="E20" s="114">
        <f>'6-PlantInService'!E21</f>
        <v>994227728.91155398</v>
      </c>
      <c r="F20" s="114">
        <f>'6-PlantInService'!F21</f>
        <v>4891833850.5022688</v>
      </c>
      <c r="G20" s="114">
        <f>'6-PlantInService'!G21</f>
        <v>2577176190.2776084</v>
      </c>
      <c r="H20" s="114">
        <f>'6-PlantInService'!H21</f>
        <v>975021110.82741261</v>
      </c>
      <c r="I20" s="114">
        <f>'6-PlantInService'!I21</f>
        <v>1699707738.6786847</v>
      </c>
      <c r="J20" s="114">
        <f>'6-PlantInService'!J21</f>
        <v>215308779.04787061</v>
      </c>
      <c r="K20" s="114">
        <f>'6-PlantInService'!K21</f>
        <v>58752899.030000001</v>
      </c>
      <c r="L20" s="114">
        <f>'6-PlantInService'!L21</f>
        <v>250429952.89308131</v>
      </c>
      <c r="M20" s="6"/>
    </row>
    <row r="21" spans="1:13" ht="13">
      <c r="A21" s="2">
        <f t="shared" si="0"/>
        <v>10</v>
      </c>
      <c r="B21" s="507" t="s">
        <v>3098</v>
      </c>
      <c r="C21" s="114">
        <f>'6-PlantInService'!C22</f>
        <v>100570924.2647607</v>
      </c>
      <c r="D21" s="114">
        <f>'6-PlantInService'!D22</f>
        <v>187281484.00417501</v>
      </c>
      <c r="E21" s="114">
        <f>'6-PlantInService'!E22</f>
        <v>995087472.57552838</v>
      </c>
      <c r="F21" s="114">
        <f>'6-PlantInService'!F22</f>
        <v>4894453766.536684</v>
      </c>
      <c r="G21" s="114">
        <f>'6-PlantInService'!G22</f>
        <v>2578277637.454185</v>
      </c>
      <c r="H21" s="114">
        <f>'6-PlantInService'!H22</f>
        <v>833659803.12033677</v>
      </c>
      <c r="I21" s="114">
        <f>'6-PlantInService'!I22</f>
        <v>1710103930.0814176</v>
      </c>
      <c r="J21" s="114">
        <f>'6-PlantInService'!J22</f>
        <v>215308921.00774693</v>
      </c>
      <c r="K21" s="114">
        <f>'6-PlantInService'!K22</f>
        <v>58752899.030000001</v>
      </c>
      <c r="L21" s="114">
        <f>'6-PlantInService'!L22</f>
        <v>250971207.32582802</v>
      </c>
      <c r="M21" s="6"/>
    </row>
    <row r="22" spans="1:13" ht="13">
      <c r="A22" s="2">
        <f t="shared" si="0"/>
        <v>11</v>
      </c>
      <c r="B22" s="507" t="s">
        <v>3099</v>
      </c>
      <c r="C22" s="114">
        <f>'6-PlantInService'!C23</f>
        <v>100570912.3947607</v>
      </c>
      <c r="D22" s="114">
        <f>'6-PlantInService'!D23</f>
        <v>187288564.7794795</v>
      </c>
      <c r="E22" s="114">
        <f>'6-PlantInService'!E23</f>
        <v>996073049.66317523</v>
      </c>
      <c r="F22" s="114">
        <f>'6-PlantInService'!F23</f>
        <v>4897133773.9709578</v>
      </c>
      <c r="G22" s="114">
        <f>'6-PlantInService'!G23</f>
        <v>2584732668.1231337</v>
      </c>
      <c r="H22" s="114">
        <f>'6-PlantInService'!H23</f>
        <v>676404465.24039459</v>
      </c>
      <c r="I22" s="114">
        <f>'6-PlantInService'!I23</f>
        <v>1710408570.2204223</v>
      </c>
      <c r="J22" s="114">
        <f>'6-PlantInService'!J23</f>
        <v>215309057.04981774</v>
      </c>
      <c r="K22" s="114">
        <f>'6-PlantInService'!K23</f>
        <v>58752899.030000001</v>
      </c>
      <c r="L22" s="114">
        <f>'6-PlantInService'!L23</f>
        <v>251270163.40483466</v>
      </c>
      <c r="M22" s="6"/>
    </row>
    <row r="23" spans="1:13" ht="13">
      <c r="A23" s="2">
        <f t="shared" si="0"/>
        <v>12</v>
      </c>
      <c r="B23" s="507" t="s">
        <v>3100</v>
      </c>
      <c r="C23" s="114">
        <f>'6-PlantInService'!C24</f>
        <v>100570086.23136047</v>
      </c>
      <c r="D23" s="114">
        <f>'6-PlantInService'!D24</f>
        <v>187296185.77585995</v>
      </c>
      <c r="E23" s="114">
        <f>'6-PlantInService'!E24</f>
        <v>995533703.78994834</v>
      </c>
      <c r="F23" s="114">
        <f>'6-PlantInService'!F24</f>
        <v>4898057409.8976994</v>
      </c>
      <c r="G23" s="114">
        <f>'6-PlantInService'!G24</f>
        <v>2584741850.3234572</v>
      </c>
      <c r="H23" s="114">
        <f>'6-PlantInService'!H24</f>
        <v>670978951.12628913</v>
      </c>
      <c r="I23" s="114">
        <f>'6-PlantInService'!I24</f>
        <v>1709948475.8841112</v>
      </c>
      <c r="J23" s="114">
        <f>'6-PlantInService'!J24</f>
        <v>215309258.95166999</v>
      </c>
      <c r="K23" s="114">
        <f>'6-PlantInService'!K24</f>
        <v>58752899.030000001</v>
      </c>
      <c r="L23" s="114">
        <f>'6-PlantInService'!L24</f>
        <v>252572086.60716563</v>
      </c>
      <c r="M23" s="6"/>
    </row>
    <row r="24" spans="1:13" ht="13">
      <c r="A24" s="2">
        <f t="shared" si="0"/>
        <v>13</v>
      </c>
      <c r="B24" s="507" t="s">
        <v>3101</v>
      </c>
      <c r="C24" s="114">
        <f>'6-PlantInService'!C25</f>
        <v>100570233.46136045</v>
      </c>
      <c r="D24" s="114">
        <f>'6-PlantInService'!D25</f>
        <v>187326744.63357162</v>
      </c>
      <c r="E24" s="114">
        <f>'6-PlantInService'!E25</f>
        <v>997121241.56282353</v>
      </c>
      <c r="F24" s="114">
        <f>'6-PlantInService'!F25</f>
        <v>4909339726.8853455</v>
      </c>
      <c r="G24" s="114">
        <f>'6-PlantInService'!G25</f>
        <v>2589498528.5157771</v>
      </c>
      <c r="H24" s="114">
        <f>'6-PlantInService'!H25</f>
        <v>652727599.37119353</v>
      </c>
      <c r="I24" s="114">
        <f>'6-PlantInService'!I25</f>
        <v>1745095033.8296139</v>
      </c>
      <c r="J24" s="114">
        <f>'6-PlantInService'!J25</f>
        <v>215309410.45358056</v>
      </c>
      <c r="K24" s="114">
        <f>'6-PlantInService'!K25</f>
        <v>58752899.030000001</v>
      </c>
      <c r="L24" s="114">
        <f>'6-PlantInService'!L25</f>
        <v>252924342.04312441</v>
      </c>
      <c r="M24" s="6"/>
    </row>
    <row r="25" spans="1:13" ht="13">
      <c r="A25" s="2">
        <f>A24+1</f>
        <v>14</v>
      </c>
      <c r="B25" s="1084"/>
      <c r="C25" s="114"/>
      <c r="D25" s="114"/>
      <c r="E25" s="114"/>
      <c r="F25" s="114"/>
      <c r="G25" s="114"/>
      <c r="H25" s="114"/>
      <c r="I25" s="114"/>
      <c r="J25" s="114"/>
      <c r="K25" s="114"/>
      <c r="L25" s="114"/>
      <c r="M25" s="48"/>
    </row>
    <row r="26" spans="1:13" ht="13">
      <c r="B26" s="48" t="s">
        <v>345</v>
      </c>
      <c r="C26" s="48" t="s">
        <v>346</v>
      </c>
      <c r="D26" s="48" t="s">
        <v>347</v>
      </c>
      <c r="E26" s="48" t="s">
        <v>348</v>
      </c>
      <c r="F26" s="48" t="s">
        <v>349</v>
      </c>
      <c r="G26" s="48" t="s">
        <v>350</v>
      </c>
      <c r="H26" s="48" t="s">
        <v>351</v>
      </c>
      <c r="I26" s="48" t="s">
        <v>352</v>
      </c>
      <c r="J26" s="112"/>
      <c r="K26" s="112"/>
      <c r="L26" s="112"/>
      <c r="M26" s="1090"/>
    </row>
    <row r="27" spans="1:13" ht="13">
      <c r="A27" s="2"/>
      <c r="B27" s="233"/>
      <c r="C27" s="233"/>
      <c r="D27" s="233"/>
      <c r="E27" s="233"/>
      <c r="F27" s="233"/>
      <c r="G27" s="233"/>
      <c r="H27" s="233"/>
      <c r="I27" s="1160"/>
      <c r="J27" s="112"/>
      <c r="K27" s="112"/>
      <c r="L27" s="112"/>
      <c r="M27" s="1090"/>
    </row>
    <row r="28" spans="1:13" ht="13">
      <c r="A28" s="3" t="s">
        <v>282</v>
      </c>
      <c r="B28" s="3" t="s">
        <v>657</v>
      </c>
      <c r="C28" s="48">
        <v>351.1</v>
      </c>
      <c r="D28" s="48" t="s">
        <v>660</v>
      </c>
      <c r="E28" s="48" t="s">
        <v>661</v>
      </c>
      <c r="F28" s="48" t="s">
        <v>662</v>
      </c>
      <c r="G28" s="48" t="s">
        <v>663</v>
      </c>
      <c r="H28" s="48">
        <v>351.3</v>
      </c>
      <c r="I28" s="48" t="s">
        <v>1476</v>
      </c>
      <c r="J28" s="3" t="s">
        <v>684</v>
      </c>
      <c r="K28" s="112"/>
      <c r="L28" s="112"/>
      <c r="M28" s="3"/>
    </row>
    <row r="29" spans="1:13" ht="13">
      <c r="A29" s="2" t="s">
        <v>664</v>
      </c>
      <c r="B29" s="507" t="s">
        <v>3089</v>
      </c>
      <c r="C29" s="785">
        <f>'6-PlantInService'!C34</f>
        <v>14178381.389753928</v>
      </c>
      <c r="D29" s="785">
        <f>'6-PlantInService'!D34</f>
        <v>0</v>
      </c>
      <c r="E29" s="785">
        <f>'6-PlantInService'!E34</f>
        <v>0</v>
      </c>
      <c r="F29" s="785">
        <f>'6-PlantInService'!F34</f>
        <v>0</v>
      </c>
      <c r="G29" s="785">
        <f>'6-PlantInService'!G34</f>
        <v>0</v>
      </c>
      <c r="H29" s="785">
        <f>'6-PlantInService'!H34</f>
        <v>132486138.33151276</v>
      </c>
      <c r="I29" s="235">
        <f>'6-PlantInService'!I34</f>
        <v>11454295855.570381</v>
      </c>
      <c r="J29" s="232" t="s">
        <v>3021</v>
      </c>
      <c r="L29" s="112"/>
      <c r="M29" s="114"/>
    </row>
    <row r="30" spans="1:13" ht="13">
      <c r="A30" s="2" t="s">
        <v>665</v>
      </c>
      <c r="B30" s="507" t="s">
        <v>3090</v>
      </c>
      <c r="C30" s="785">
        <f>'6-PlantInService'!C35</f>
        <v>13636762.932951048</v>
      </c>
      <c r="D30" s="785">
        <f>'6-PlantInService'!D35</f>
        <v>0</v>
      </c>
      <c r="E30" s="785">
        <f>'6-PlantInService'!E35</f>
        <v>0</v>
      </c>
      <c r="F30" s="785">
        <f>'6-PlantInService'!F35</f>
        <v>0</v>
      </c>
      <c r="G30" s="785">
        <f>'6-PlantInService'!G35</f>
        <v>0</v>
      </c>
      <c r="H30" s="785">
        <f>'6-PlantInService'!H35</f>
        <v>127238233.68586612</v>
      </c>
      <c r="I30" s="235">
        <f>'6-PlantInService'!I35</f>
        <v>11339365778.999935</v>
      </c>
      <c r="J30" s="233"/>
      <c r="L30" s="112"/>
      <c r="M30" s="114"/>
    </row>
    <row r="31" spans="1:13" ht="13">
      <c r="A31" s="2" t="s">
        <v>666</v>
      </c>
      <c r="B31" s="507" t="s">
        <v>3091</v>
      </c>
      <c r="C31" s="785">
        <f>'6-PlantInService'!C36</f>
        <v>15288637.592236195</v>
      </c>
      <c r="D31" s="785">
        <f>'6-PlantInService'!D36</f>
        <v>0</v>
      </c>
      <c r="E31" s="785">
        <f>'6-PlantInService'!E36</f>
        <v>0</v>
      </c>
      <c r="F31" s="785">
        <f>'6-PlantInService'!F36</f>
        <v>0</v>
      </c>
      <c r="G31" s="785">
        <f>'6-PlantInService'!G36</f>
        <v>0</v>
      </c>
      <c r="H31" s="785">
        <f>'6-PlantInService'!H36</f>
        <v>127362463.13189264</v>
      </c>
      <c r="I31" s="235">
        <f>'6-PlantInService'!I36</f>
        <v>11218056054.4252</v>
      </c>
      <c r="J31" s="232" t="s">
        <v>3017</v>
      </c>
      <c r="L31" s="112"/>
      <c r="M31" s="114"/>
    </row>
    <row r="32" spans="1:13" ht="13">
      <c r="A32" s="2" t="s">
        <v>667</v>
      </c>
      <c r="B32" s="507" t="s">
        <v>3092</v>
      </c>
      <c r="C32" s="785">
        <f>'6-PlantInService'!C37</f>
        <v>13877346.902100669</v>
      </c>
      <c r="D32" s="785">
        <f>'6-PlantInService'!D37</f>
        <v>0</v>
      </c>
      <c r="E32" s="785">
        <f>'6-PlantInService'!E37</f>
        <v>0</v>
      </c>
      <c r="F32" s="785">
        <f>'6-PlantInService'!F37</f>
        <v>0</v>
      </c>
      <c r="G32" s="785">
        <f>'6-PlantInService'!G37</f>
        <v>0</v>
      </c>
      <c r="H32" s="785">
        <f>'6-PlantInService'!H37</f>
        <v>129483009.76932834</v>
      </c>
      <c r="I32" s="235">
        <f>'6-PlantInService'!I37</f>
        <v>11303096655.551699</v>
      </c>
      <c r="J32" s="232" t="s">
        <v>3016</v>
      </c>
      <c r="L32" s="112"/>
      <c r="M32" s="114"/>
    </row>
    <row r="33" spans="1:14" ht="13">
      <c r="A33" s="2" t="s">
        <v>668</v>
      </c>
      <c r="B33" s="507" t="s">
        <v>3093</v>
      </c>
      <c r="C33" s="785">
        <f>'6-PlantInService'!C38</f>
        <v>13888068.207214035</v>
      </c>
      <c r="D33" s="785">
        <f>'6-PlantInService'!D38</f>
        <v>0</v>
      </c>
      <c r="E33" s="785">
        <f>'6-PlantInService'!E38</f>
        <v>0</v>
      </c>
      <c r="F33" s="785">
        <f>'6-PlantInService'!F38</f>
        <v>0</v>
      </c>
      <c r="G33" s="785">
        <f>'6-PlantInService'!G38</f>
        <v>0</v>
      </c>
      <c r="H33" s="785">
        <f>'6-PlantInService'!H38</f>
        <v>128957763.41309454</v>
      </c>
      <c r="I33" s="235">
        <f>'6-PlantInService'!I38</f>
        <v>11666385371.47472</v>
      </c>
      <c r="J33" s="279" t="s">
        <v>3018</v>
      </c>
      <c r="L33" s="112"/>
      <c r="M33" s="114"/>
    </row>
    <row r="34" spans="1:14" ht="13">
      <c r="A34" s="2" t="s">
        <v>669</v>
      </c>
      <c r="B34" s="507" t="s">
        <v>3094</v>
      </c>
      <c r="C34" s="785">
        <f>'6-PlantInService'!C39</f>
        <v>13897013.307726031</v>
      </c>
      <c r="D34" s="785">
        <f>'6-PlantInService'!D39</f>
        <v>0</v>
      </c>
      <c r="E34" s="785">
        <f>'6-PlantInService'!E39</f>
        <v>0</v>
      </c>
      <c r="F34" s="785">
        <f>'6-PlantInService'!F39</f>
        <v>0</v>
      </c>
      <c r="G34" s="785">
        <f>'6-PlantInService'!G39</f>
        <v>0</v>
      </c>
      <c r="H34" s="785">
        <f>'6-PlantInService'!H39</f>
        <v>129000576.8556643</v>
      </c>
      <c r="I34" s="235">
        <f>'6-PlantInService'!I39</f>
        <v>11941310188.645401</v>
      </c>
      <c r="J34" s="232" t="s">
        <v>3019</v>
      </c>
      <c r="L34" s="112"/>
      <c r="M34" s="114"/>
    </row>
    <row r="35" spans="1:14" ht="13">
      <c r="A35" s="2" t="s">
        <v>670</v>
      </c>
      <c r="B35" s="507" t="s">
        <v>3095</v>
      </c>
      <c r="C35" s="785">
        <f>'6-PlantInService'!C40</f>
        <v>13897013.307726031</v>
      </c>
      <c r="D35" s="785">
        <f>'6-PlantInService'!D40</f>
        <v>0</v>
      </c>
      <c r="E35" s="785">
        <f>'6-PlantInService'!E40</f>
        <v>0</v>
      </c>
      <c r="F35" s="785">
        <f>'6-PlantInService'!F40</f>
        <v>0</v>
      </c>
      <c r="G35" s="785">
        <f>'6-PlantInService'!G40</f>
        <v>0</v>
      </c>
      <c r="H35" s="785">
        <f>'6-PlantInService'!H40</f>
        <v>128523784.76732218</v>
      </c>
      <c r="I35" s="235">
        <f>'6-PlantInService'!I40</f>
        <v>11980840710.06502</v>
      </c>
      <c r="J35" s="112"/>
      <c r="L35" s="112"/>
      <c r="M35" s="114"/>
    </row>
    <row r="36" spans="1:14" ht="13">
      <c r="A36" s="2" t="s">
        <v>671</v>
      </c>
      <c r="B36" s="507" t="s">
        <v>3096</v>
      </c>
      <c r="C36" s="785">
        <f>'6-PlantInService'!C41</f>
        <v>14031099.138782362</v>
      </c>
      <c r="D36" s="785">
        <f>'6-PlantInService'!D41</f>
        <v>0</v>
      </c>
      <c r="E36" s="785">
        <f>'6-PlantInService'!E41</f>
        <v>0</v>
      </c>
      <c r="F36" s="785">
        <f>'6-PlantInService'!F41</f>
        <v>0</v>
      </c>
      <c r="G36" s="785">
        <f>'6-PlantInService'!G41</f>
        <v>0</v>
      </c>
      <c r="H36" s="785">
        <f>'6-PlantInService'!H41</f>
        <v>128766954.22740053</v>
      </c>
      <c r="I36" s="235">
        <f>'6-PlantInService'!I41</f>
        <v>11925618596.272867</v>
      </c>
      <c r="J36" s="112"/>
      <c r="L36" s="112"/>
      <c r="M36" s="114"/>
    </row>
    <row r="37" spans="1:14" ht="13">
      <c r="A37" s="2" t="s">
        <v>672</v>
      </c>
      <c r="B37" s="507" t="s">
        <v>3097</v>
      </c>
      <c r="C37" s="785">
        <f>'6-PlantInService'!C42</f>
        <v>14031452.441061586</v>
      </c>
      <c r="D37" s="785">
        <f>'6-PlantInService'!D42</f>
        <v>0</v>
      </c>
      <c r="E37" s="785">
        <f>'6-PlantInService'!E42</f>
        <v>0</v>
      </c>
      <c r="F37" s="785">
        <f>'6-PlantInService'!F42</f>
        <v>0</v>
      </c>
      <c r="G37" s="785">
        <f>'6-PlantInService'!G42</f>
        <v>0</v>
      </c>
      <c r="H37" s="785">
        <f>'6-PlantInService'!H42</f>
        <v>126753788.4652268</v>
      </c>
      <c r="I37" s="235">
        <f>'6-PlantInService'!I42</f>
        <v>12091086757.755541</v>
      </c>
      <c r="J37" s="112"/>
      <c r="L37" s="112"/>
      <c r="M37" s="114"/>
    </row>
    <row r="38" spans="1:14" ht="13">
      <c r="A38" s="2" t="s">
        <v>673</v>
      </c>
      <c r="B38" s="507" t="s">
        <v>3098</v>
      </c>
      <c r="C38" s="785">
        <f>'6-PlantInService'!C43</f>
        <v>14040446.453125957</v>
      </c>
      <c r="D38" s="785">
        <f>'6-PlantInService'!D43</f>
        <v>0</v>
      </c>
      <c r="E38" s="785">
        <f>'6-PlantInService'!E43</f>
        <v>0</v>
      </c>
      <c r="F38" s="785">
        <f>'6-PlantInService'!F43</f>
        <v>0</v>
      </c>
      <c r="G38" s="785">
        <f>'6-PlantInService'!G43</f>
        <v>0</v>
      </c>
      <c r="H38" s="785">
        <f>'6-PlantInService'!H43</f>
        <v>125686528.3801181</v>
      </c>
      <c r="I38" s="235">
        <f>'6-PlantInService'!I43</f>
        <v>11964195020.233908</v>
      </c>
      <c r="J38" s="112"/>
      <c r="L38" s="112"/>
      <c r="M38" s="114"/>
    </row>
    <row r="39" spans="1:14" ht="13">
      <c r="A39" s="2" t="s">
        <v>674</v>
      </c>
      <c r="B39" s="507" t="s">
        <v>3099</v>
      </c>
      <c r="C39" s="785">
        <f>'6-PlantInService'!C44</f>
        <v>1661342.1844159041</v>
      </c>
      <c r="D39" s="785">
        <f>'6-PlantInService'!D44</f>
        <v>0</v>
      </c>
      <c r="E39" s="785">
        <f>'6-PlantInService'!E44</f>
        <v>0</v>
      </c>
      <c r="F39" s="785">
        <f>'6-PlantInService'!F44</f>
        <v>0</v>
      </c>
      <c r="G39" s="785">
        <f>'6-PlantInService'!G44</f>
        <v>0</v>
      </c>
      <c r="H39" s="785">
        <f>'6-PlantInService'!H44</f>
        <v>124891262.95726645</v>
      </c>
      <c r="I39" s="235">
        <f>'6-PlantInService'!I44</f>
        <v>11804496729.01866</v>
      </c>
      <c r="J39" s="112"/>
      <c r="L39" s="112"/>
      <c r="M39" s="114"/>
    </row>
    <row r="40" spans="1:14" ht="13">
      <c r="A40" s="2" t="s">
        <v>675</v>
      </c>
      <c r="B40" s="507" t="s">
        <v>3100</v>
      </c>
      <c r="C40" s="785">
        <f>'6-PlantInService'!C45</f>
        <v>626001.4207617077</v>
      </c>
      <c r="D40" s="785">
        <f>'6-PlantInService'!D45</f>
        <v>0</v>
      </c>
      <c r="E40" s="785">
        <f>'6-PlantInService'!E45</f>
        <v>0</v>
      </c>
      <c r="F40" s="785">
        <f>'6-PlantInService'!F45</f>
        <v>0</v>
      </c>
      <c r="G40" s="785">
        <f>'6-PlantInService'!G45</f>
        <v>0</v>
      </c>
      <c r="H40" s="785">
        <f>'6-PlantInService'!H45</f>
        <v>124459479.64186096</v>
      </c>
      <c r="I40" s="235">
        <f>'6-PlantInService'!I45</f>
        <v>11798846388.680185</v>
      </c>
      <c r="J40" s="112"/>
      <c r="L40" s="112"/>
      <c r="M40" s="114"/>
    </row>
    <row r="41" spans="1:14" ht="13">
      <c r="A41" s="2" t="s">
        <v>676</v>
      </c>
      <c r="B41" s="1084" t="s">
        <v>3101</v>
      </c>
      <c r="C41" s="785">
        <f>'6-PlantInService'!C46</f>
        <v>599922.1049452459</v>
      </c>
      <c r="D41" s="785">
        <f>'6-PlantInService'!D46</f>
        <v>0</v>
      </c>
      <c r="E41" s="785">
        <f>'6-PlantInService'!E46</f>
        <v>0</v>
      </c>
      <c r="F41" s="785">
        <f>'6-PlantInService'!F46</f>
        <v>0</v>
      </c>
      <c r="G41" s="785">
        <f>'6-PlantInService'!G46</f>
        <v>0</v>
      </c>
      <c r="H41" s="785">
        <f>'6-PlantInService'!H46</f>
        <v>119009983.53697526</v>
      </c>
      <c r="I41" s="235">
        <f>'6-PlantInService'!I46</f>
        <v>11828275665.428312</v>
      </c>
      <c r="J41" s="112"/>
      <c r="L41" s="112"/>
      <c r="M41" s="114"/>
    </row>
    <row r="42" spans="1:14" ht="13">
      <c r="A42" s="2"/>
      <c r="B42" s="112"/>
      <c r="C42" s="112"/>
      <c r="D42" s="112"/>
      <c r="E42" s="112"/>
      <c r="F42" s="112"/>
      <c r="G42" s="112"/>
      <c r="H42" s="112"/>
      <c r="I42" s="112"/>
      <c r="J42" s="112"/>
      <c r="K42" s="112"/>
      <c r="L42" s="112"/>
      <c r="M42" s="3"/>
    </row>
    <row r="43" spans="1:14" ht="13">
      <c r="A43" s="2">
        <f>A25+1</f>
        <v>15</v>
      </c>
      <c r="B43" s="329" t="s">
        <v>1477</v>
      </c>
      <c r="C43" s="112"/>
      <c r="D43" s="112"/>
      <c r="E43" s="112"/>
      <c r="F43" s="112"/>
      <c r="G43" s="112"/>
      <c r="H43" s="112"/>
      <c r="I43" s="112"/>
      <c r="J43" s="112"/>
      <c r="K43" s="112"/>
      <c r="L43" s="112"/>
      <c r="M43" s="112"/>
    </row>
    <row r="44" spans="1:14" ht="13">
      <c r="A44" s="2"/>
      <c r="B44" s="2"/>
      <c r="C44" s="112"/>
      <c r="D44" s="112"/>
      <c r="E44" s="112"/>
      <c r="F44" s="112"/>
      <c r="G44" s="112"/>
      <c r="H44" s="112"/>
      <c r="I44" s="112"/>
      <c r="J44" s="112"/>
      <c r="K44" s="112"/>
      <c r="L44" s="112"/>
      <c r="M44" s="112"/>
    </row>
    <row r="45" spans="1:14" ht="13">
      <c r="A45" s="2">
        <f>A43+1</f>
        <v>16</v>
      </c>
      <c r="B45" s="3" t="s">
        <v>657</v>
      </c>
      <c r="C45" s="48">
        <v>350.1</v>
      </c>
      <c r="D45" s="48">
        <v>350.2</v>
      </c>
      <c r="E45" s="48">
        <v>352</v>
      </c>
      <c r="F45" s="48">
        <v>353</v>
      </c>
      <c r="G45" s="48">
        <v>354</v>
      </c>
      <c r="H45" s="48">
        <v>355</v>
      </c>
      <c r="I45" s="48">
        <v>356</v>
      </c>
      <c r="J45" s="48">
        <v>357</v>
      </c>
      <c r="K45" s="48">
        <v>358</v>
      </c>
      <c r="L45" s="48">
        <v>359</v>
      </c>
      <c r="M45" s="112"/>
    </row>
    <row r="46" spans="1:14" ht="13">
      <c r="A46" s="2" t="s">
        <v>1478</v>
      </c>
      <c r="B46" s="507" t="s">
        <v>3089</v>
      </c>
      <c r="C46" s="796">
        <v>0</v>
      </c>
      <c r="D46" s="796">
        <v>1.66E-2</v>
      </c>
      <c r="E46" s="796">
        <v>2.5700000000000001E-2</v>
      </c>
      <c r="F46" s="796">
        <v>2.47E-2</v>
      </c>
      <c r="G46" s="796">
        <v>2.4400000000000002E-2</v>
      </c>
      <c r="H46" s="796">
        <v>3.6700000000000003E-2</v>
      </c>
      <c r="I46" s="796">
        <v>3.0499999999999999E-2</v>
      </c>
      <c r="J46" s="796">
        <v>1.6500000000000001E-2</v>
      </c>
      <c r="K46" s="796">
        <v>3.8699999999999998E-2</v>
      </c>
      <c r="L46" s="796">
        <v>1.5599999999999999E-2</v>
      </c>
      <c r="M46" s="112"/>
      <c r="N46" s="258"/>
    </row>
    <row r="47" spans="1:14" ht="13">
      <c r="A47" s="2" t="s">
        <v>1479</v>
      </c>
      <c r="B47" s="507" t="s">
        <v>3090</v>
      </c>
      <c r="C47" s="796">
        <v>0</v>
      </c>
      <c r="D47" s="796">
        <v>1.66E-2</v>
      </c>
      <c r="E47" s="796">
        <v>2.5700000000000001E-2</v>
      </c>
      <c r="F47" s="796">
        <v>2.47E-2</v>
      </c>
      <c r="G47" s="796">
        <v>2.4400000000000002E-2</v>
      </c>
      <c r="H47" s="796">
        <v>3.6700000000000003E-2</v>
      </c>
      <c r="I47" s="796">
        <v>3.0499999999999999E-2</v>
      </c>
      <c r="J47" s="796">
        <v>1.6500000000000001E-2</v>
      </c>
      <c r="K47" s="796">
        <v>3.8699999999999998E-2</v>
      </c>
      <c r="L47" s="796">
        <v>1.5599999999999999E-2</v>
      </c>
      <c r="M47" s="112"/>
      <c r="N47" s="258"/>
    </row>
    <row r="48" spans="1:14" ht="13">
      <c r="A48" s="2" t="s">
        <v>1480</v>
      </c>
      <c r="B48" s="507" t="s">
        <v>3091</v>
      </c>
      <c r="C48" s="796">
        <v>0</v>
      </c>
      <c r="D48" s="796">
        <v>1.66E-2</v>
      </c>
      <c r="E48" s="796">
        <v>2.5700000000000001E-2</v>
      </c>
      <c r="F48" s="796">
        <v>2.47E-2</v>
      </c>
      <c r="G48" s="796">
        <v>2.4400000000000002E-2</v>
      </c>
      <c r="H48" s="796">
        <v>3.6700000000000003E-2</v>
      </c>
      <c r="I48" s="796">
        <v>3.0499999999999999E-2</v>
      </c>
      <c r="J48" s="796">
        <v>1.6500000000000001E-2</v>
      </c>
      <c r="K48" s="796">
        <v>3.8699999999999998E-2</v>
      </c>
      <c r="L48" s="796">
        <v>1.5599999999999999E-2</v>
      </c>
      <c r="M48" s="112"/>
      <c r="N48" s="258"/>
    </row>
    <row r="49" spans="1:14" ht="13">
      <c r="A49" s="2" t="s">
        <v>1481</v>
      </c>
      <c r="B49" s="507" t="s">
        <v>3092</v>
      </c>
      <c r="C49" s="796">
        <v>0</v>
      </c>
      <c r="D49" s="796">
        <v>1.66E-2</v>
      </c>
      <c r="E49" s="796">
        <v>2.5700000000000001E-2</v>
      </c>
      <c r="F49" s="796">
        <v>2.47E-2</v>
      </c>
      <c r="G49" s="796">
        <v>2.4400000000000002E-2</v>
      </c>
      <c r="H49" s="796">
        <v>3.6700000000000003E-2</v>
      </c>
      <c r="I49" s="796">
        <v>3.0499999999999999E-2</v>
      </c>
      <c r="J49" s="796">
        <v>1.6500000000000001E-2</v>
      </c>
      <c r="K49" s="796">
        <v>3.8699999999999998E-2</v>
      </c>
      <c r="L49" s="796">
        <v>1.5599999999999999E-2</v>
      </c>
      <c r="M49" s="112"/>
      <c r="N49" s="258"/>
    </row>
    <row r="50" spans="1:14" ht="13">
      <c r="A50" s="2" t="s">
        <v>1482</v>
      </c>
      <c r="B50" s="507" t="s">
        <v>3093</v>
      </c>
      <c r="C50" s="796">
        <v>0</v>
      </c>
      <c r="D50" s="796">
        <v>1.66E-2</v>
      </c>
      <c r="E50" s="796">
        <v>2.5700000000000001E-2</v>
      </c>
      <c r="F50" s="796">
        <v>2.47E-2</v>
      </c>
      <c r="G50" s="796">
        <v>2.4400000000000002E-2</v>
      </c>
      <c r="H50" s="796">
        <v>3.6700000000000003E-2</v>
      </c>
      <c r="I50" s="796">
        <v>3.0499999999999999E-2</v>
      </c>
      <c r="J50" s="796">
        <v>1.6500000000000001E-2</v>
      </c>
      <c r="K50" s="796">
        <v>3.8699999999999998E-2</v>
      </c>
      <c r="L50" s="796">
        <v>1.5599999999999999E-2</v>
      </c>
      <c r="M50" s="112"/>
      <c r="N50" s="258"/>
    </row>
    <row r="51" spans="1:14" ht="13">
      <c r="A51" s="2" t="s">
        <v>1483</v>
      </c>
      <c r="B51" s="507" t="s">
        <v>3094</v>
      </c>
      <c r="C51" s="796">
        <v>0</v>
      </c>
      <c r="D51" s="796">
        <v>1.66E-2</v>
      </c>
      <c r="E51" s="796">
        <v>2.5700000000000001E-2</v>
      </c>
      <c r="F51" s="796">
        <v>2.47E-2</v>
      </c>
      <c r="G51" s="796">
        <v>2.4400000000000002E-2</v>
      </c>
      <c r="H51" s="796">
        <v>3.6700000000000003E-2</v>
      </c>
      <c r="I51" s="796">
        <v>3.0499999999999999E-2</v>
      </c>
      <c r="J51" s="796">
        <v>1.6500000000000001E-2</v>
      </c>
      <c r="K51" s="796">
        <v>3.8699999999999998E-2</v>
      </c>
      <c r="L51" s="796">
        <v>1.5599999999999999E-2</v>
      </c>
      <c r="M51" s="112"/>
      <c r="N51" s="258"/>
    </row>
    <row r="52" spans="1:14" ht="13">
      <c r="A52" s="2" t="s">
        <v>1484</v>
      </c>
      <c r="B52" s="507" t="s">
        <v>3095</v>
      </c>
      <c r="C52" s="796">
        <v>0</v>
      </c>
      <c r="D52" s="796">
        <v>1.66E-2</v>
      </c>
      <c r="E52" s="796">
        <v>2.5700000000000001E-2</v>
      </c>
      <c r="F52" s="796">
        <v>2.47E-2</v>
      </c>
      <c r="G52" s="796">
        <v>2.4400000000000002E-2</v>
      </c>
      <c r="H52" s="796">
        <v>3.6700000000000003E-2</v>
      </c>
      <c r="I52" s="796">
        <v>3.0499999999999999E-2</v>
      </c>
      <c r="J52" s="796">
        <v>1.6500000000000001E-2</v>
      </c>
      <c r="K52" s="796">
        <v>3.8699999999999998E-2</v>
      </c>
      <c r="L52" s="796">
        <v>1.5599999999999999E-2</v>
      </c>
      <c r="M52" s="112"/>
      <c r="N52" s="258"/>
    </row>
    <row r="53" spans="1:14" ht="13">
      <c r="A53" s="2" t="s">
        <v>1485</v>
      </c>
      <c r="B53" s="507" t="s">
        <v>3096</v>
      </c>
      <c r="C53" s="796">
        <v>0</v>
      </c>
      <c r="D53" s="796">
        <v>1.66E-2</v>
      </c>
      <c r="E53" s="796">
        <v>2.5700000000000001E-2</v>
      </c>
      <c r="F53" s="796">
        <v>2.47E-2</v>
      </c>
      <c r="G53" s="796">
        <v>2.4400000000000002E-2</v>
      </c>
      <c r="H53" s="796">
        <v>3.6700000000000003E-2</v>
      </c>
      <c r="I53" s="796">
        <v>3.0499999999999999E-2</v>
      </c>
      <c r="J53" s="796">
        <v>1.6500000000000001E-2</v>
      </c>
      <c r="K53" s="796">
        <v>3.8699999999999998E-2</v>
      </c>
      <c r="L53" s="796">
        <v>1.5599999999999999E-2</v>
      </c>
      <c r="M53" s="112"/>
      <c r="N53" s="258"/>
    </row>
    <row r="54" spans="1:14" ht="13">
      <c r="A54" s="2" t="s">
        <v>1486</v>
      </c>
      <c r="B54" s="507" t="s">
        <v>3097</v>
      </c>
      <c r="C54" s="796">
        <v>0</v>
      </c>
      <c r="D54" s="796">
        <v>1.66E-2</v>
      </c>
      <c r="E54" s="796">
        <v>2.5700000000000001E-2</v>
      </c>
      <c r="F54" s="796">
        <v>2.47E-2</v>
      </c>
      <c r="G54" s="796">
        <v>2.4400000000000002E-2</v>
      </c>
      <c r="H54" s="796">
        <v>3.6700000000000003E-2</v>
      </c>
      <c r="I54" s="796">
        <v>3.0499999999999999E-2</v>
      </c>
      <c r="J54" s="796">
        <v>1.6500000000000001E-2</v>
      </c>
      <c r="K54" s="796">
        <v>3.8699999999999998E-2</v>
      </c>
      <c r="L54" s="796">
        <v>1.5599999999999999E-2</v>
      </c>
      <c r="M54" s="112"/>
      <c r="N54" s="258"/>
    </row>
    <row r="55" spans="1:14" ht="13">
      <c r="A55" s="2" t="s">
        <v>1487</v>
      </c>
      <c r="B55" s="507" t="s">
        <v>3098</v>
      </c>
      <c r="C55" s="796">
        <v>0</v>
      </c>
      <c r="D55" s="796">
        <v>1.66E-2</v>
      </c>
      <c r="E55" s="796">
        <v>2.5700000000000001E-2</v>
      </c>
      <c r="F55" s="796">
        <v>2.47E-2</v>
      </c>
      <c r="G55" s="796">
        <v>2.4400000000000002E-2</v>
      </c>
      <c r="H55" s="796">
        <v>3.6700000000000003E-2</v>
      </c>
      <c r="I55" s="796">
        <v>3.0499999999999999E-2</v>
      </c>
      <c r="J55" s="796">
        <v>1.6500000000000001E-2</v>
      </c>
      <c r="K55" s="796">
        <v>3.8699999999999998E-2</v>
      </c>
      <c r="L55" s="796">
        <v>1.5599999999999999E-2</v>
      </c>
      <c r="M55" s="112"/>
      <c r="N55" s="258"/>
    </row>
    <row r="56" spans="1:14" ht="13">
      <c r="A56" s="2" t="s">
        <v>1488</v>
      </c>
      <c r="B56" s="507" t="s">
        <v>3099</v>
      </c>
      <c r="C56" s="796">
        <v>0</v>
      </c>
      <c r="D56" s="796">
        <v>1.66E-2</v>
      </c>
      <c r="E56" s="796">
        <v>2.5700000000000001E-2</v>
      </c>
      <c r="F56" s="796">
        <v>2.47E-2</v>
      </c>
      <c r="G56" s="796">
        <v>2.4400000000000002E-2</v>
      </c>
      <c r="H56" s="796">
        <v>3.6700000000000003E-2</v>
      </c>
      <c r="I56" s="796">
        <v>3.0499999999999999E-2</v>
      </c>
      <c r="J56" s="796">
        <v>1.6500000000000001E-2</v>
      </c>
      <c r="K56" s="796">
        <v>3.8699999999999998E-2</v>
      </c>
      <c r="L56" s="796">
        <v>1.5599999999999999E-2</v>
      </c>
      <c r="M56" s="112"/>
    </row>
    <row r="57" spans="1:14" ht="13">
      <c r="A57" s="2" t="s">
        <v>1489</v>
      </c>
      <c r="B57" s="507" t="s">
        <v>3100</v>
      </c>
      <c r="C57" s="796">
        <v>0</v>
      </c>
      <c r="D57" s="796">
        <v>1.66E-2</v>
      </c>
      <c r="E57" s="796">
        <v>2.5700000000000001E-2</v>
      </c>
      <c r="F57" s="796">
        <v>2.47E-2</v>
      </c>
      <c r="G57" s="796">
        <v>2.4400000000000002E-2</v>
      </c>
      <c r="H57" s="796">
        <v>3.6700000000000003E-2</v>
      </c>
      <c r="I57" s="796">
        <v>3.0499999999999999E-2</v>
      </c>
      <c r="J57" s="796">
        <v>1.6500000000000001E-2</v>
      </c>
      <c r="K57" s="796">
        <v>3.8699999999999998E-2</v>
      </c>
      <c r="L57" s="796">
        <v>1.5599999999999999E-2</v>
      </c>
      <c r="M57" s="3"/>
    </row>
    <row r="58" spans="1:14" ht="13">
      <c r="A58" s="2" t="s">
        <v>1490</v>
      </c>
      <c r="B58" s="507" t="s">
        <v>3101</v>
      </c>
      <c r="C58" s="796">
        <v>0</v>
      </c>
      <c r="D58" s="796">
        <v>1.66E-2</v>
      </c>
      <c r="E58" s="796">
        <v>2.5700000000000001E-2</v>
      </c>
      <c r="F58" s="796">
        <v>2.47E-2</v>
      </c>
      <c r="G58" s="796">
        <v>2.4400000000000002E-2</v>
      </c>
      <c r="H58" s="796">
        <v>3.6700000000000003E-2</v>
      </c>
      <c r="I58" s="796">
        <v>3.0499999999999999E-2</v>
      </c>
      <c r="J58" s="796">
        <v>1.6500000000000001E-2</v>
      </c>
      <c r="K58" s="796">
        <v>3.8699999999999998E-2</v>
      </c>
      <c r="L58" s="796">
        <v>1.5599999999999999E-2</v>
      </c>
      <c r="M58" s="112"/>
    </row>
    <row r="59" spans="1:14" ht="13">
      <c r="A59" s="2"/>
      <c r="B59" s="1084"/>
      <c r="C59" s="1085"/>
      <c r="D59" s="1085"/>
      <c r="E59" s="1085"/>
      <c r="F59" s="1085"/>
      <c r="G59" s="1085"/>
      <c r="H59" s="1085"/>
      <c r="I59" s="1085"/>
      <c r="J59" s="1085"/>
      <c r="K59" s="1085"/>
      <c r="L59" s="1085"/>
      <c r="M59" s="112"/>
    </row>
    <row r="60" spans="1:14" ht="13">
      <c r="A60" s="2" t="s">
        <v>1491</v>
      </c>
      <c r="B60" s="3" t="s">
        <v>657</v>
      </c>
      <c r="C60" s="48">
        <v>351.1</v>
      </c>
      <c r="D60" s="48" t="s">
        <v>660</v>
      </c>
      <c r="E60" s="48" t="s">
        <v>661</v>
      </c>
      <c r="F60" s="48" t="s">
        <v>662</v>
      </c>
      <c r="G60" s="48" t="s">
        <v>663</v>
      </c>
      <c r="H60" s="48">
        <v>351.3</v>
      </c>
      <c r="I60" s="48"/>
      <c r="J60" s="48"/>
      <c r="K60" s="48"/>
      <c r="L60" s="48"/>
      <c r="M60" s="112"/>
    </row>
    <row r="61" spans="1:14" ht="13">
      <c r="A61" s="2" t="s">
        <v>1492</v>
      </c>
      <c r="B61" s="507" t="s">
        <v>3089</v>
      </c>
      <c r="C61" s="1093">
        <v>0</v>
      </c>
      <c r="D61" s="1093">
        <v>0</v>
      </c>
      <c r="E61" s="1111">
        <v>0</v>
      </c>
      <c r="F61" s="796">
        <v>0</v>
      </c>
      <c r="G61" s="796">
        <v>0</v>
      </c>
      <c r="H61" s="1093">
        <v>0</v>
      </c>
      <c r="I61" s="1085"/>
      <c r="J61" s="1085"/>
      <c r="K61" s="1085"/>
      <c r="M61" s="112"/>
      <c r="N61" s="258"/>
    </row>
    <row r="62" spans="1:14" ht="13">
      <c r="A62" s="2" t="s">
        <v>1493</v>
      </c>
      <c r="B62" s="507" t="s">
        <v>3090</v>
      </c>
      <c r="C62" s="1093">
        <v>0.2041</v>
      </c>
      <c r="D62" s="1093">
        <v>0.19739999999999999</v>
      </c>
      <c r="E62" s="1111">
        <v>0.1444</v>
      </c>
      <c r="F62" s="796">
        <v>0.13270000000000001</v>
      </c>
      <c r="G62" s="796">
        <v>6.6600000000000006E-2</v>
      </c>
      <c r="H62" s="1093">
        <v>8.9300000000000004E-2</v>
      </c>
      <c r="I62" s="1085"/>
      <c r="J62" s="1085"/>
      <c r="K62" s="1085"/>
      <c r="L62" s="1085"/>
      <c r="M62" s="112"/>
      <c r="N62" s="258"/>
    </row>
    <row r="63" spans="1:14" ht="13">
      <c r="A63" s="2" t="s">
        <v>1494</v>
      </c>
      <c r="B63" s="507" t="s">
        <v>3091</v>
      </c>
      <c r="C63" s="1093">
        <v>0.2041</v>
      </c>
      <c r="D63" s="1093">
        <v>0.19739999999999999</v>
      </c>
      <c r="E63" s="1111">
        <v>0.1444</v>
      </c>
      <c r="F63" s="796">
        <v>0.13270000000000001</v>
      </c>
      <c r="G63" s="796">
        <v>6.6600000000000006E-2</v>
      </c>
      <c r="H63" s="1093">
        <v>8.9300000000000004E-2</v>
      </c>
      <c r="I63" s="1085"/>
      <c r="J63" s="1092"/>
      <c r="K63" s="659"/>
      <c r="L63" s="1085"/>
      <c r="M63" s="112"/>
      <c r="N63" s="258"/>
    </row>
    <row r="64" spans="1:14" ht="13">
      <c r="A64" s="2" t="s">
        <v>1495</v>
      </c>
      <c r="B64" s="507" t="s">
        <v>3092</v>
      </c>
      <c r="C64" s="1093">
        <v>0.2041</v>
      </c>
      <c r="D64" s="1093">
        <v>0.19739999999999999</v>
      </c>
      <c r="E64" s="1111">
        <v>0.1444</v>
      </c>
      <c r="F64" s="796">
        <v>0.13270000000000001</v>
      </c>
      <c r="G64" s="796">
        <v>6.6600000000000006E-2</v>
      </c>
      <c r="H64" s="1093">
        <v>8.9300000000000004E-2</v>
      </c>
      <c r="I64" s="1085"/>
      <c r="J64" s="1092"/>
      <c r="K64" s="659"/>
      <c r="L64" s="1085"/>
      <c r="M64" s="112"/>
      <c r="N64" s="258"/>
    </row>
    <row r="65" spans="1:14" ht="13">
      <c r="A65" s="2" t="s">
        <v>1496</v>
      </c>
      <c r="B65" s="507" t="s">
        <v>3093</v>
      </c>
      <c r="C65" s="1093">
        <v>0.2041</v>
      </c>
      <c r="D65" s="1093">
        <v>0.19739999999999999</v>
      </c>
      <c r="E65" s="1111">
        <v>0.1444</v>
      </c>
      <c r="F65" s="796">
        <v>0.13270000000000001</v>
      </c>
      <c r="G65" s="796">
        <v>6.6600000000000006E-2</v>
      </c>
      <c r="H65" s="1093">
        <v>8.9300000000000004E-2</v>
      </c>
      <c r="I65" s="1085"/>
      <c r="J65" s="1092"/>
      <c r="K65" s="659"/>
      <c r="L65" s="1085"/>
      <c r="M65" s="112"/>
      <c r="N65" s="258"/>
    </row>
    <row r="66" spans="1:14" ht="13">
      <c r="A66" s="2" t="s">
        <v>1497</v>
      </c>
      <c r="B66" s="507" t="s">
        <v>3094</v>
      </c>
      <c r="C66" s="1093">
        <v>0.2041</v>
      </c>
      <c r="D66" s="1093">
        <v>0.19739999999999999</v>
      </c>
      <c r="E66" s="1111">
        <v>0.1444</v>
      </c>
      <c r="F66" s="796">
        <v>0.13270000000000001</v>
      </c>
      <c r="G66" s="796">
        <v>6.6600000000000006E-2</v>
      </c>
      <c r="H66" s="1093">
        <v>8.9300000000000004E-2</v>
      </c>
      <c r="I66" s="1085"/>
      <c r="J66" s="1092"/>
      <c r="K66" s="659"/>
      <c r="L66" s="1085"/>
      <c r="M66" s="112"/>
      <c r="N66" s="258"/>
    </row>
    <row r="67" spans="1:14" ht="13">
      <c r="A67" s="2" t="s">
        <v>1498</v>
      </c>
      <c r="B67" s="507" t="s">
        <v>3095</v>
      </c>
      <c r="C67" s="1093">
        <v>0.2041</v>
      </c>
      <c r="D67" s="1093">
        <v>0.19739999999999999</v>
      </c>
      <c r="E67" s="1111">
        <v>0.1444</v>
      </c>
      <c r="F67" s="796">
        <v>0.13270000000000001</v>
      </c>
      <c r="G67" s="796">
        <v>6.6600000000000006E-2</v>
      </c>
      <c r="H67" s="1093">
        <v>8.9300000000000004E-2</v>
      </c>
      <c r="I67" s="1085"/>
      <c r="J67" s="1085"/>
      <c r="K67" s="1085"/>
      <c r="L67" s="1085"/>
      <c r="M67" s="112"/>
      <c r="N67" s="258"/>
    </row>
    <row r="68" spans="1:14" ht="13">
      <c r="A68" s="2" t="s">
        <v>1499</v>
      </c>
      <c r="B68" s="507" t="s">
        <v>3096</v>
      </c>
      <c r="C68" s="1093">
        <v>0.2041</v>
      </c>
      <c r="D68" s="1093">
        <v>0.19739999999999999</v>
      </c>
      <c r="E68" s="1111">
        <v>0.1444</v>
      </c>
      <c r="F68" s="796">
        <v>0.13270000000000001</v>
      </c>
      <c r="G68" s="796">
        <v>6.6600000000000006E-2</v>
      </c>
      <c r="H68" s="1093">
        <v>8.9300000000000004E-2</v>
      </c>
      <c r="I68" s="1085"/>
      <c r="J68" s="1085"/>
      <c r="K68" s="1085"/>
      <c r="L68" s="1085"/>
      <c r="M68" s="112"/>
      <c r="N68" s="258"/>
    </row>
    <row r="69" spans="1:14" ht="13">
      <c r="A69" s="2" t="s">
        <v>1500</v>
      </c>
      <c r="B69" s="507" t="s">
        <v>3097</v>
      </c>
      <c r="C69" s="1093">
        <v>0.2041</v>
      </c>
      <c r="D69" s="1093">
        <v>0.19739999999999999</v>
      </c>
      <c r="E69" s="1111">
        <v>0.1444</v>
      </c>
      <c r="F69" s="796">
        <v>0.13270000000000001</v>
      </c>
      <c r="G69" s="796">
        <v>6.6600000000000006E-2</v>
      </c>
      <c r="H69" s="1093">
        <v>8.9300000000000004E-2</v>
      </c>
      <c r="I69" s="1085"/>
      <c r="J69" s="1085"/>
      <c r="K69" s="1085"/>
      <c r="L69" s="1085"/>
      <c r="M69" s="112"/>
      <c r="N69" s="258"/>
    </row>
    <row r="70" spans="1:14" ht="13">
      <c r="A70" s="2" t="s">
        <v>1501</v>
      </c>
      <c r="B70" s="507" t="s">
        <v>3098</v>
      </c>
      <c r="C70" s="1093">
        <v>0.2041</v>
      </c>
      <c r="D70" s="1093">
        <v>0.19739999999999999</v>
      </c>
      <c r="E70" s="1111">
        <v>0.1444</v>
      </c>
      <c r="F70" s="796">
        <v>0.13270000000000001</v>
      </c>
      <c r="G70" s="796">
        <v>6.6600000000000006E-2</v>
      </c>
      <c r="H70" s="1093">
        <v>8.9300000000000004E-2</v>
      </c>
      <c r="I70" s="1085"/>
      <c r="J70" s="1085"/>
      <c r="K70" s="1085"/>
      <c r="L70" s="1085"/>
      <c r="M70" s="112"/>
      <c r="N70" s="258"/>
    </row>
    <row r="71" spans="1:14" ht="13">
      <c r="A71" s="2" t="s">
        <v>1502</v>
      </c>
      <c r="B71" s="507" t="s">
        <v>3099</v>
      </c>
      <c r="C71" s="1093">
        <v>0.2041</v>
      </c>
      <c r="D71" s="1093">
        <v>0.19739999999999999</v>
      </c>
      <c r="E71" s="1111">
        <v>0.1444</v>
      </c>
      <c r="F71" s="796">
        <v>0.13270000000000001</v>
      </c>
      <c r="G71" s="796">
        <v>6.6600000000000006E-2</v>
      </c>
      <c r="H71" s="1093">
        <v>8.9300000000000004E-2</v>
      </c>
      <c r="I71" s="1085"/>
      <c r="J71" s="1085"/>
      <c r="K71" s="1085"/>
      <c r="L71" s="1085"/>
      <c r="M71" s="112"/>
    </row>
    <row r="72" spans="1:14" ht="13">
      <c r="A72" s="2" t="s">
        <v>1503</v>
      </c>
      <c r="B72" s="507" t="s">
        <v>3100</v>
      </c>
      <c r="C72" s="1093">
        <v>0.2041</v>
      </c>
      <c r="D72" s="1093">
        <v>0.19739999999999999</v>
      </c>
      <c r="E72" s="1111">
        <v>0.1444</v>
      </c>
      <c r="F72" s="796">
        <v>0.13270000000000001</v>
      </c>
      <c r="G72" s="796">
        <v>6.6600000000000006E-2</v>
      </c>
      <c r="H72" s="1093">
        <v>8.9300000000000004E-2</v>
      </c>
      <c r="I72" s="1085"/>
      <c r="J72" s="1085"/>
      <c r="K72" s="1085"/>
      <c r="L72" s="1085"/>
      <c r="M72" s="112"/>
    </row>
    <row r="73" spans="1:14" ht="13">
      <c r="A73" s="2" t="s">
        <v>1504</v>
      </c>
      <c r="B73" s="507" t="s">
        <v>3101</v>
      </c>
      <c r="C73" s="1093">
        <v>0.2041</v>
      </c>
      <c r="D73" s="1093">
        <v>0.19739999999999999</v>
      </c>
      <c r="E73" s="1111">
        <v>0.1444</v>
      </c>
      <c r="F73" s="796">
        <v>0.13270000000000001</v>
      </c>
      <c r="G73" s="796">
        <v>6.6600000000000006E-2</v>
      </c>
      <c r="H73" s="1093">
        <v>8.9300000000000004E-2</v>
      </c>
      <c r="I73" s="1085"/>
      <c r="J73" s="1085"/>
      <c r="K73" s="1085"/>
      <c r="L73" s="1085"/>
      <c r="M73" s="112"/>
    </row>
    <row r="74" spans="1:14" ht="13">
      <c r="A74" s="2">
        <v>18</v>
      </c>
      <c r="C74" s="119"/>
      <c r="D74" s="119"/>
      <c r="E74" s="119"/>
      <c r="F74" s="119"/>
      <c r="G74" s="119"/>
      <c r="H74" s="119"/>
      <c r="I74" s="119"/>
      <c r="J74" s="119"/>
      <c r="K74" s="119"/>
      <c r="L74" s="119"/>
      <c r="M74" s="112"/>
    </row>
    <row r="75" spans="1:14" ht="13">
      <c r="A75" s="2">
        <f t="shared" si="0"/>
        <v>19</v>
      </c>
      <c r="B75" s="233" t="s">
        <v>1505</v>
      </c>
      <c r="C75" s="119"/>
      <c r="D75" s="119"/>
      <c r="E75" s="119"/>
      <c r="F75" s="119"/>
      <c r="G75" s="258" t="s">
        <v>1506</v>
      </c>
      <c r="H75" s="119"/>
      <c r="I75" s="119"/>
      <c r="J75" s="119"/>
      <c r="K75" s="119"/>
      <c r="L75" s="119"/>
      <c r="M75" s="112"/>
    </row>
    <row r="76" spans="1:14" ht="13">
      <c r="A76" s="2">
        <f t="shared" si="0"/>
        <v>20</v>
      </c>
      <c r="B76" s="112"/>
      <c r="C76" s="112"/>
      <c r="D76" s="112"/>
      <c r="E76" s="112"/>
      <c r="F76" s="112"/>
      <c r="G76" s="112"/>
      <c r="H76" s="112"/>
      <c r="I76" s="112"/>
      <c r="J76" s="112"/>
      <c r="K76" s="112"/>
      <c r="L76" s="112"/>
      <c r="M76" s="112"/>
    </row>
    <row r="77" spans="1:14" ht="13">
      <c r="A77" s="2">
        <f t="shared" si="0"/>
        <v>21</v>
      </c>
      <c r="B77" s="2"/>
      <c r="C77" s="243" t="s">
        <v>247</v>
      </c>
      <c r="D77" s="112"/>
      <c r="E77" s="112"/>
      <c r="F77" s="112"/>
      <c r="G77" s="112"/>
      <c r="H77" s="112"/>
      <c r="I77" s="112"/>
      <c r="J77" s="112"/>
      <c r="K77" s="112"/>
      <c r="L77" s="112"/>
    </row>
    <row r="78" spans="1:14" ht="13">
      <c r="A78" s="2">
        <f t="shared" si="0"/>
        <v>22</v>
      </c>
      <c r="B78" s="2"/>
      <c r="C78" s="243" t="s">
        <v>789</v>
      </c>
      <c r="D78" s="112"/>
      <c r="E78" s="112"/>
      <c r="F78" s="112"/>
      <c r="G78" s="112"/>
      <c r="H78" s="112"/>
      <c r="I78" s="112"/>
      <c r="J78" s="112"/>
      <c r="K78" s="112"/>
      <c r="L78" s="112"/>
    </row>
    <row r="79" spans="1:14" ht="13">
      <c r="A79" s="2">
        <f t="shared" si="0"/>
        <v>23</v>
      </c>
      <c r="B79" s="3" t="s">
        <v>657</v>
      </c>
      <c r="C79" s="48">
        <v>350.1</v>
      </c>
      <c r="D79" s="48">
        <v>350.2</v>
      </c>
      <c r="E79" s="48">
        <v>352</v>
      </c>
      <c r="F79" s="48">
        <v>353</v>
      </c>
      <c r="G79" s="48">
        <v>354</v>
      </c>
      <c r="H79" s="48">
        <v>355</v>
      </c>
      <c r="I79" s="48">
        <v>356</v>
      </c>
      <c r="J79" s="48">
        <v>357</v>
      </c>
      <c r="K79" s="48">
        <v>358</v>
      </c>
      <c r="L79" s="48">
        <v>359</v>
      </c>
    </row>
    <row r="80" spans="1:14" ht="13">
      <c r="A80" s="2">
        <f t="shared" si="0"/>
        <v>24</v>
      </c>
      <c r="B80" s="507" t="s">
        <v>3090</v>
      </c>
      <c r="C80" s="114">
        <f>C12*$C$47/12</f>
        <v>0</v>
      </c>
      <c r="D80" s="114">
        <f>D12*$D47/12</f>
        <v>257958.98858058013</v>
      </c>
      <c r="E80" s="114">
        <f t="shared" ref="E80:E91" si="1">E12*$E47/12</f>
        <v>2095114.2556029782</v>
      </c>
      <c r="F80" s="114">
        <f t="shared" ref="F80:F91" si="2">F12*$F47/12</f>
        <v>9701191.6005962435</v>
      </c>
      <c r="G80" s="114">
        <f t="shared" ref="G80:G91" si="3">G12*$G47/12</f>
        <v>5140987.0018310323</v>
      </c>
      <c r="H80" s="114">
        <f t="shared" ref="H80:H91" si="4">H12*$H47/12</f>
        <v>2003794.7215744723</v>
      </c>
      <c r="I80" s="114">
        <f t="shared" ref="I80:I91" si="5">I12*$I47/12</f>
        <v>4186104.9781446145</v>
      </c>
      <c r="J80" s="114">
        <f t="shared" ref="J80:J91" si="6">J12*$J47/12</f>
        <v>296047.91082814388</v>
      </c>
      <c r="K80" s="114">
        <f t="shared" ref="K80:K91" si="7">K12*$K47/12</f>
        <v>189478.09937175</v>
      </c>
      <c r="L80" s="114">
        <f t="shared" ref="L80:L91" si="8">L12*$L47/12</f>
        <v>302009.91160513478</v>
      </c>
    </row>
    <row r="81" spans="1:13" ht="13">
      <c r="A81" s="2">
        <f t="shared" si="0"/>
        <v>25</v>
      </c>
      <c r="B81" s="507" t="s">
        <v>3091</v>
      </c>
      <c r="C81" s="114">
        <f>C13*$C$48/12</f>
        <v>0</v>
      </c>
      <c r="D81" s="114">
        <f t="shared" ref="D81:D91" si="9">D13*$D48/12</f>
        <v>258629.05503291098</v>
      </c>
      <c r="E81" s="114">
        <f t="shared" si="1"/>
        <v>2098342.380388706</v>
      </c>
      <c r="F81" s="114">
        <f t="shared" si="2"/>
        <v>9717060.9049676713</v>
      </c>
      <c r="G81" s="114">
        <f t="shared" si="3"/>
        <v>5141219.3124964749</v>
      </c>
      <c r="H81" s="114">
        <f t="shared" si="4"/>
        <v>1644734.1781706985</v>
      </c>
      <c r="I81" s="114">
        <f t="shared" si="5"/>
        <v>4182131.0781220924</v>
      </c>
      <c r="J81" s="114">
        <f t="shared" si="6"/>
        <v>296048.10020692303</v>
      </c>
      <c r="K81" s="114">
        <f t="shared" si="7"/>
        <v>189478.09937175</v>
      </c>
      <c r="L81" s="114">
        <f t="shared" si="8"/>
        <v>302023.47844353999</v>
      </c>
    </row>
    <row r="82" spans="1:13" ht="13">
      <c r="A82" s="2">
        <f t="shared" si="0"/>
        <v>26</v>
      </c>
      <c r="B82" s="507" t="s">
        <v>3092</v>
      </c>
      <c r="C82" s="114">
        <f>C14*$C$49/12</f>
        <v>0</v>
      </c>
      <c r="D82" s="114">
        <f t="shared" si="9"/>
        <v>258756.76699455912</v>
      </c>
      <c r="E82" s="114">
        <f t="shared" si="1"/>
        <v>2099943.9038135759</v>
      </c>
      <c r="F82" s="114">
        <f t="shared" si="2"/>
        <v>9723024.4767304305</v>
      </c>
      <c r="G82" s="114">
        <f t="shared" si="3"/>
        <v>5141145.3255316196</v>
      </c>
      <c r="H82" s="114">
        <f t="shared" si="4"/>
        <v>1229611.4379629169</v>
      </c>
      <c r="I82" s="114">
        <f t="shared" si="5"/>
        <v>4186894.713394403</v>
      </c>
      <c r="J82" s="114">
        <f t="shared" si="6"/>
        <v>296048.28953136998</v>
      </c>
      <c r="K82" s="114">
        <f t="shared" si="7"/>
        <v>189478.09937175</v>
      </c>
      <c r="L82" s="114">
        <f t="shared" si="8"/>
        <v>302027.99062665057</v>
      </c>
    </row>
    <row r="83" spans="1:13" ht="13">
      <c r="A83" s="2">
        <f t="shared" si="0"/>
        <v>27</v>
      </c>
      <c r="B83" s="507" t="s">
        <v>3093</v>
      </c>
      <c r="C83" s="114">
        <f>C15*$C$50/12</f>
        <v>0</v>
      </c>
      <c r="D83" s="114">
        <f t="shared" si="9"/>
        <v>258781.17589912194</v>
      </c>
      <c r="E83" s="114">
        <f t="shared" si="1"/>
        <v>2105544.5720266807</v>
      </c>
      <c r="F83" s="114">
        <f t="shared" si="2"/>
        <v>9772145.9532745928</v>
      </c>
      <c r="G83" s="114">
        <f t="shared" si="3"/>
        <v>5146310.862708902</v>
      </c>
      <c r="H83" s="114">
        <f t="shared" si="4"/>
        <v>1395832.8431142622</v>
      </c>
      <c r="I83" s="114">
        <f t="shared" si="5"/>
        <v>4189254.6526024938</v>
      </c>
      <c r="J83" s="114">
        <f t="shared" si="6"/>
        <v>296048.47886939137</v>
      </c>
      <c r="K83" s="114">
        <f t="shared" si="7"/>
        <v>189478.09937175</v>
      </c>
      <c r="L83" s="114">
        <f t="shared" si="8"/>
        <v>302036.10667182732</v>
      </c>
    </row>
    <row r="84" spans="1:13" ht="13">
      <c r="A84" s="2">
        <f t="shared" si="0"/>
        <v>28</v>
      </c>
      <c r="B84" s="507" t="s">
        <v>3094</v>
      </c>
      <c r="C84" s="114">
        <f>C16*$C$51/12</f>
        <v>0</v>
      </c>
      <c r="D84" s="114">
        <f t="shared" si="9"/>
        <v>258787.08068383115</v>
      </c>
      <c r="E84" s="114">
        <f t="shared" si="1"/>
        <v>2117418.5588494246</v>
      </c>
      <c r="F84" s="114">
        <f t="shared" si="2"/>
        <v>9821066.7382665835</v>
      </c>
      <c r="G84" s="114">
        <f t="shared" si="3"/>
        <v>5207753.2338882321</v>
      </c>
      <c r="H84" s="114">
        <f t="shared" si="4"/>
        <v>2095896.0273742871</v>
      </c>
      <c r="I84" s="114">
        <f t="shared" si="5"/>
        <v>4380550.9210174885</v>
      </c>
      <c r="J84" s="114">
        <f t="shared" si="6"/>
        <v>296048.66821259132</v>
      </c>
      <c r="K84" s="114">
        <f t="shared" si="7"/>
        <v>189478.09937175</v>
      </c>
      <c r="L84" s="114">
        <f t="shared" si="8"/>
        <v>302169.04224436742</v>
      </c>
    </row>
    <row r="85" spans="1:13" ht="13">
      <c r="A85" s="2">
        <f t="shared" si="0"/>
        <v>29</v>
      </c>
      <c r="B85" s="507" t="s">
        <v>3095</v>
      </c>
      <c r="C85" s="114">
        <f>C17*$C$52/12</f>
        <v>0</v>
      </c>
      <c r="D85" s="114">
        <f t="shared" si="9"/>
        <v>258972.03059368115</v>
      </c>
      <c r="E85" s="114">
        <f t="shared" si="1"/>
        <v>2121350.3759784591</v>
      </c>
      <c r="F85" s="114">
        <f t="shared" si="2"/>
        <v>9841732.387785947</v>
      </c>
      <c r="G85" s="114">
        <f t="shared" si="3"/>
        <v>5205203.0635418221</v>
      </c>
      <c r="H85" s="114">
        <f t="shared" si="4"/>
        <v>2887065.9521273188</v>
      </c>
      <c r="I85" s="114">
        <f t="shared" si="5"/>
        <v>4392612.935234041</v>
      </c>
      <c r="J85" s="114">
        <f t="shared" si="6"/>
        <v>296048.99603710684</v>
      </c>
      <c r="K85" s="114">
        <f t="shared" si="7"/>
        <v>189478.09937175</v>
      </c>
      <c r="L85" s="114">
        <f t="shared" si="8"/>
        <v>303051.18338661414</v>
      </c>
    </row>
    <row r="86" spans="1:13" ht="13">
      <c r="A86" s="2">
        <f t="shared" si="0"/>
        <v>30</v>
      </c>
      <c r="B86" s="507" t="s">
        <v>3096</v>
      </c>
      <c r="C86" s="114">
        <f>C18*$C$53/12</f>
        <v>0</v>
      </c>
      <c r="D86" s="114">
        <f t="shared" si="9"/>
        <v>258982.69291724529</v>
      </c>
      <c r="E86" s="114">
        <f t="shared" si="1"/>
        <v>2123159.9596042167</v>
      </c>
      <c r="F86" s="114">
        <f t="shared" si="2"/>
        <v>10054606.237787895</v>
      </c>
      <c r="G86" s="114">
        <f t="shared" si="3"/>
        <v>5205767.1788409119</v>
      </c>
      <c r="H86" s="114">
        <f t="shared" si="4"/>
        <v>2822119.0509889335</v>
      </c>
      <c r="I86" s="114">
        <f t="shared" si="5"/>
        <v>4241709.326958009</v>
      </c>
      <c r="J86" s="114">
        <f t="shared" si="6"/>
        <v>296049.18698094733</v>
      </c>
      <c r="K86" s="114">
        <f t="shared" si="7"/>
        <v>189478.09937175</v>
      </c>
      <c r="L86" s="114">
        <f t="shared" si="8"/>
        <v>323932.07126311469</v>
      </c>
    </row>
    <row r="87" spans="1:13" ht="13">
      <c r="A87" s="2">
        <f t="shared" si="0"/>
        <v>31</v>
      </c>
      <c r="B87" s="507" t="s">
        <v>3097</v>
      </c>
      <c r="C87" s="114">
        <f>C19*$C$54/12</f>
        <v>0</v>
      </c>
      <c r="D87" s="114">
        <f t="shared" si="9"/>
        <v>259049.69036858578</v>
      </c>
      <c r="E87" s="114">
        <f t="shared" si="1"/>
        <v>2125108.5502046491</v>
      </c>
      <c r="F87" s="114">
        <f t="shared" si="2"/>
        <v>10056824.640699081</v>
      </c>
      <c r="G87" s="114">
        <f t="shared" si="3"/>
        <v>5244197.2602047781</v>
      </c>
      <c r="H87" s="114">
        <f t="shared" si="4"/>
        <v>2485473.6441425281</v>
      </c>
      <c r="I87" s="114">
        <f t="shared" si="5"/>
        <v>4322666.3904397823</v>
      </c>
      <c r="J87" s="114">
        <f t="shared" si="6"/>
        <v>296049.37941646011</v>
      </c>
      <c r="K87" s="114">
        <f t="shared" si="7"/>
        <v>189478.09937175</v>
      </c>
      <c r="L87" s="114">
        <f t="shared" si="8"/>
        <v>325292.01432165963</v>
      </c>
    </row>
    <row r="88" spans="1:13" ht="13">
      <c r="A88" s="2">
        <f t="shared" si="0"/>
        <v>32</v>
      </c>
      <c r="B88" s="507" t="s">
        <v>3098</v>
      </c>
      <c r="C88" s="114">
        <f>C20*$C$55/12</f>
        <v>0</v>
      </c>
      <c r="D88" s="114">
        <f t="shared" si="9"/>
        <v>259060.38163314655</v>
      </c>
      <c r="E88" s="114">
        <f t="shared" si="1"/>
        <v>2129304.3860855782</v>
      </c>
      <c r="F88" s="114">
        <f t="shared" si="2"/>
        <v>10069024.67561717</v>
      </c>
      <c r="G88" s="114">
        <f t="shared" si="3"/>
        <v>5240258.2535644704</v>
      </c>
      <c r="H88" s="114">
        <f t="shared" si="4"/>
        <v>2981939.5639471705</v>
      </c>
      <c r="I88" s="114">
        <f t="shared" si="5"/>
        <v>4320090.5024749907</v>
      </c>
      <c r="J88" s="114">
        <f t="shared" si="6"/>
        <v>296049.57119082211</v>
      </c>
      <c r="K88" s="114">
        <f t="shared" si="7"/>
        <v>189478.09937175</v>
      </c>
      <c r="L88" s="114">
        <f t="shared" si="8"/>
        <v>325558.9387610057</v>
      </c>
    </row>
    <row r="89" spans="1:13" ht="13">
      <c r="A89" s="2">
        <f t="shared" si="0"/>
        <v>33</v>
      </c>
      <c r="B89" s="507" t="s">
        <v>3099</v>
      </c>
      <c r="C89" s="114">
        <f>C21*$C$56/12</f>
        <v>0</v>
      </c>
      <c r="D89" s="114">
        <f t="shared" si="9"/>
        <v>259072.71953910877</v>
      </c>
      <c r="E89" s="114">
        <f t="shared" si="1"/>
        <v>2131145.6704325899</v>
      </c>
      <c r="F89" s="114">
        <f t="shared" si="2"/>
        <v>10074417.336121341</v>
      </c>
      <c r="G89" s="114">
        <f t="shared" si="3"/>
        <v>5242497.8628235096</v>
      </c>
      <c r="H89" s="114">
        <f t="shared" si="4"/>
        <v>2549609.5645430302</v>
      </c>
      <c r="I89" s="114">
        <f t="shared" si="5"/>
        <v>4346514.1556236027</v>
      </c>
      <c r="J89" s="114">
        <f t="shared" si="6"/>
        <v>296049.76638565207</v>
      </c>
      <c r="K89" s="114">
        <f t="shared" si="7"/>
        <v>189478.09937175</v>
      </c>
      <c r="L89" s="114">
        <f t="shared" si="8"/>
        <v>326262.56952357641</v>
      </c>
    </row>
    <row r="90" spans="1:13" ht="13">
      <c r="A90" s="2">
        <f t="shared" si="0"/>
        <v>34</v>
      </c>
      <c r="B90" s="507" t="s">
        <v>3100</v>
      </c>
      <c r="C90" s="114">
        <f>C22*$C$57/12</f>
        <v>0</v>
      </c>
      <c r="D90" s="114">
        <f t="shared" si="9"/>
        <v>259082.51461161333</v>
      </c>
      <c r="E90" s="114">
        <f t="shared" si="1"/>
        <v>2133256.4480286338</v>
      </c>
      <c r="F90" s="114">
        <f t="shared" si="2"/>
        <v>10079933.684756888</v>
      </c>
      <c r="G90" s="114">
        <f t="shared" si="3"/>
        <v>5255623.091850372</v>
      </c>
      <c r="H90" s="114">
        <f t="shared" si="4"/>
        <v>2068670.3228602072</v>
      </c>
      <c r="I90" s="114">
        <f t="shared" si="5"/>
        <v>4347288.4493102403</v>
      </c>
      <c r="J90" s="114">
        <f t="shared" si="6"/>
        <v>296049.9534434994</v>
      </c>
      <c r="K90" s="114">
        <f t="shared" si="7"/>
        <v>189478.09937175</v>
      </c>
      <c r="L90" s="114">
        <f t="shared" si="8"/>
        <v>326651.21242628503</v>
      </c>
    </row>
    <row r="91" spans="1:13" ht="13">
      <c r="A91" s="2">
        <f t="shared" si="0"/>
        <v>35</v>
      </c>
      <c r="B91" s="1191" t="s">
        <v>3101</v>
      </c>
      <c r="C91" s="183">
        <f>C23*$C$58/12</f>
        <v>0</v>
      </c>
      <c r="D91" s="183">
        <f t="shared" si="9"/>
        <v>259093.05698993962</v>
      </c>
      <c r="E91" s="183">
        <f t="shared" si="1"/>
        <v>2132101.3489501397</v>
      </c>
      <c r="F91" s="183">
        <f t="shared" si="2"/>
        <v>10081834.835372765</v>
      </c>
      <c r="G91" s="183">
        <f t="shared" si="3"/>
        <v>5255641.7623243639</v>
      </c>
      <c r="H91" s="183">
        <f t="shared" si="4"/>
        <v>2052077.2921945679</v>
      </c>
      <c r="I91" s="183">
        <f t="shared" si="5"/>
        <v>4346119.042872116</v>
      </c>
      <c r="J91" s="183">
        <f t="shared" si="6"/>
        <v>296050.23105854628</v>
      </c>
      <c r="K91" s="183">
        <f t="shared" si="7"/>
        <v>189478.09937175</v>
      </c>
      <c r="L91" s="183">
        <f t="shared" si="8"/>
        <v>328343.71258931531</v>
      </c>
    </row>
    <row r="92" spans="1:13" ht="13">
      <c r="A92" s="2">
        <f t="shared" si="0"/>
        <v>36</v>
      </c>
      <c r="B92" s="1084" t="s">
        <v>440</v>
      </c>
      <c r="C92" s="114">
        <f>SUM(C80:C91)</f>
        <v>0</v>
      </c>
      <c r="D92" s="114">
        <f t="shared" ref="D92:K92" si="10">SUM(D80:D91)</f>
        <v>3106226.1538443235</v>
      </c>
      <c r="E92" s="114">
        <f t="shared" si="10"/>
        <v>25411790.409965631</v>
      </c>
      <c r="F92" s="114">
        <f t="shared" si="10"/>
        <v>118992863.47197661</v>
      </c>
      <c r="G92" s="114">
        <f t="shared" si="10"/>
        <v>62426604.209606484</v>
      </c>
      <c r="H92" s="114">
        <f>SUM(H80:H91)</f>
        <v>26216824.599000394</v>
      </c>
      <c r="I92" s="114">
        <f t="shared" si="10"/>
        <v>51441937.146193877</v>
      </c>
      <c r="J92" s="114">
        <f t="shared" si="10"/>
        <v>3552588.5321614537</v>
      </c>
      <c r="K92" s="114">
        <f t="shared" si="10"/>
        <v>2273737.1924609994</v>
      </c>
      <c r="L92" s="114">
        <f>SUM(L80:L91)</f>
        <v>3769358.2318630908</v>
      </c>
    </row>
    <row r="93" spans="1:13" ht="13">
      <c r="A93" s="2">
        <f t="shared" si="0"/>
        <v>37</v>
      </c>
      <c r="B93" s="112"/>
      <c r="C93" s="112"/>
      <c r="D93" s="112"/>
      <c r="E93" s="112"/>
      <c r="F93" s="112"/>
      <c r="G93" s="112"/>
      <c r="H93" s="112"/>
      <c r="I93" s="112"/>
      <c r="J93" s="112"/>
      <c r="K93" s="112"/>
      <c r="L93" s="231"/>
    </row>
    <row r="94" spans="1:13" ht="13">
      <c r="A94" s="2">
        <f t="shared" si="0"/>
        <v>38</v>
      </c>
      <c r="B94" s="112"/>
      <c r="C94" s="112"/>
      <c r="D94" s="112"/>
      <c r="E94" s="112"/>
      <c r="F94" s="112"/>
      <c r="G94" s="112"/>
      <c r="H94" s="112"/>
      <c r="I94" s="112"/>
      <c r="J94" s="112"/>
      <c r="K94" s="112"/>
      <c r="L94" s="388"/>
      <c r="M94" s="112"/>
    </row>
    <row r="95" spans="1:13" ht="13">
      <c r="A95" s="2" t="s">
        <v>717</v>
      </c>
      <c r="B95" s="2"/>
      <c r="C95" s="1157" t="s">
        <v>247</v>
      </c>
      <c r="D95" s="586"/>
      <c r="E95" s="586"/>
      <c r="F95" s="112"/>
      <c r="G95" s="112"/>
      <c r="H95" s="112"/>
      <c r="I95" s="112"/>
      <c r="J95" s="112"/>
      <c r="K95" s="112"/>
      <c r="L95" s="112"/>
      <c r="M95" s="112"/>
    </row>
    <row r="96" spans="1:13" ht="13">
      <c r="A96" s="2" t="s">
        <v>1507</v>
      </c>
      <c r="B96" s="2"/>
      <c r="C96" s="1157" t="s">
        <v>789</v>
      </c>
      <c r="D96" s="233"/>
      <c r="E96" s="233"/>
      <c r="F96" s="233"/>
      <c r="G96" s="233"/>
      <c r="H96" s="233"/>
      <c r="I96" s="3" t="s">
        <v>380</v>
      </c>
      <c r="J96" s="112"/>
      <c r="K96" s="112"/>
      <c r="L96" s="112"/>
    </row>
    <row r="97" spans="1:11" ht="13">
      <c r="A97" s="2" t="s">
        <v>1508</v>
      </c>
      <c r="B97" s="3" t="s">
        <v>657</v>
      </c>
      <c r="C97" s="48">
        <v>351.1</v>
      </c>
      <c r="D97" s="48" t="s">
        <v>660</v>
      </c>
      <c r="E97" s="48" t="s">
        <v>661</v>
      </c>
      <c r="F97" s="48" t="s">
        <v>662</v>
      </c>
      <c r="G97" s="48" t="s">
        <v>663</v>
      </c>
      <c r="H97" s="48">
        <v>351.3</v>
      </c>
      <c r="I97" s="3" t="s">
        <v>252</v>
      </c>
      <c r="J97" s="194" t="s">
        <v>3022</v>
      </c>
    </row>
    <row r="98" spans="1:11" ht="13">
      <c r="A98" s="2" t="s">
        <v>1509</v>
      </c>
      <c r="B98" s="507" t="s">
        <v>3090</v>
      </c>
      <c r="C98" s="235">
        <f>C29*$C$62/12</f>
        <v>241150.63680406474</v>
      </c>
      <c r="D98" s="235">
        <f>D29*$D$62/12</f>
        <v>0</v>
      </c>
      <c r="E98" s="235">
        <f>E29*$E$62/12</f>
        <v>0</v>
      </c>
      <c r="F98" s="235">
        <f>F29*$F$62/12</f>
        <v>0</v>
      </c>
      <c r="G98" s="235">
        <f>G29*$G$62/12</f>
        <v>0</v>
      </c>
      <c r="H98" s="235">
        <f>H29*$H$61/12</f>
        <v>0</v>
      </c>
      <c r="I98" s="235">
        <f t="shared" ref="I98:I109" si="11">SUM(C80:L80)+SUM(C98:H98)</f>
        <v>24413838.104939014</v>
      </c>
      <c r="J98" s="279" t="s">
        <v>3023</v>
      </c>
      <c r="K98" s="233"/>
    </row>
    <row r="99" spans="1:11" ht="13">
      <c r="A99" s="2" t="s">
        <v>1510</v>
      </c>
      <c r="B99" s="507" t="s">
        <v>3091</v>
      </c>
      <c r="C99" s="235">
        <f>C30*$C$63/12</f>
        <v>231938.60955127573</v>
      </c>
      <c r="D99" s="235">
        <f>D30*$D$63/12</f>
        <v>0</v>
      </c>
      <c r="E99" s="235">
        <f>E30*$E$63/12</f>
        <v>0</v>
      </c>
      <c r="F99" s="235">
        <f>F30*$F$63/12</f>
        <v>0</v>
      </c>
      <c r="G99" s="235">
        <f>G30*$G$63/12</f>
        <v>0</v>
      </c>
      <c r="H99" s="235">
        <f>H30*$H$62/12</f>
        <v>946864.52234565374</v>
      </c>
      <c r="I99" s="235">
        <f t="shared" si="11"/>
        <v>25008469.719097696</v>
      </c>
      <c r="J99" s="232" t="s">
        <v>3024</v>
      </c>
      <c r="K99" s="233"/>
    </row>
    <row r="100" spans="1:11" ht="13">
      <c r="A100" s="2" t="s">
        <v>1511</v>
      </c>
      <c r="B100" s="507" t="s">
        <v>3092</v>
      </c>
      <c r="C100" s="235">
        <f>C31*$C$64/12</f>
        <v>260034.24438128396</v>
      </c>
      <c r="D100" s="235">
        <f>D31*$D$64/12</f>
        <v>0</v>
      </c>
      <c r="E100" s="235">
        <f>E31*$E$64/12</f>
        <v>0</v>
      </c>
      <c r="F100" s="235">
        <f>F31*$F$64/12</f>
        <v>0</v>
      </c>
      <c r="G100" s="235">
        <f>G31*$G$64/12</f>
        <v>0</v>
      </c>
      <c r="H100" s="235">
        <f>H31*$H$63/12</f>
        <v>947788.99647316767</v>
      </c>
      <c r="I100" s="235">
        <f t="shared" si="11"/>
        <v>24634754.244811729</v>
      </c>
    </row>
    <row r="101" spans="1:11" ht="13">
      <c r="A101" s="2" t="s">
        <v>1512</v>
      </c>
      <c r="B101" s="507" t="s">
        <v>3093</v>
      </c>
      <c r="C101" s="235">
        <f>C32*$C$65/12</f>
        <v>236030.54189322889</v>
      </c>
      <c r="D101" s="235">
        <f>D32*$D$65/12</f>
        <v>0</v>
      </c>
      <c r="E101" s="235">
        <f>E32*$E$65/12</f>
        <v>0</v>
      </c>
      <c r="F101" s="235">
        <f>F32*$F$65/12</f>
        <v>0</v>
      </c>
      <c r="G101" s="235">
        <f>G32*$G$65/12</f>
        <v>0</v>
      </c>
      <c r="H101" s="235">
        <f>H32*$H$64/12</f>
        <v>963569.39770008519</v>
      </c>
      <c r="I101" s="235">
        <f t="shared" si="11"/>
        <v>24855032.684132338</v>
      </c>
    </row>
    <row r="102" spans="1:11" ht="13">
      <c r="A102" s="2" t="s">
        <v>1513</v>
      </c>
      <c r="B102" s="507" t="s">
        <v>3094</v>
      </c>
      <c r="C102" s="235">
        <f>C33*$C$66/12</f>
        <v>236212.89342436541</v>
      </c>
      <c r="D102" s="235">
        <f>D33*$D$66/12</f>
        <v>0</v>
      </c>
      <c r="E102" s="235">
        <f>E33*$E$66/12</f>
        <v>0</v>
      </c>
      <c r="F102" s="235">
        <f>F33*$F$66/12</f>
        <v>0</v>
      </c>
      <c r="G102" s="235">
        <f>G33*$G$66/12</f>
        <v>0</v>
      </c>
      <c r="H102" s="235">
        <f>H33*$H$65/12</f>
        <v>959660.6893991119</v>
      </c>
      <c r="I102" s="235">
        <f t="shared" si="11"/>
        <v>25865041.95273203</v>
      </c>
    </row>
    <row r="103" spans="1:11" ht="13">
      <c r="A103" s="2" t="s">
        <v>1514</v>
      </c>
      <c r="B103" s="507" t="s">
        <v>3095</v>
      </c>
      <c r="C103" s="235">
        <f>C34*$C$67/12</f>
        <v>236365.03467557358</v>
      </c>
      <c r="D103" s="235">
        <f>D34*$D$67/12</f>
        <v>0</v>
      </c>
      <c r="E103" s="235">
        <f>E34*$E$67/12</f>
        <v>0</v>
      </c>
      <c r="F103" s="235">
        <f>F34*$F$67/12</f>
        <v>0</v>
      </c>
      <c r="G103" s="235">
        <f>G34*$G$67/12</f>
        <v>0</v>
      </c>
      <c r="H103" s="235">
        <f>H34*$H$66/12</f>
        <v>959979.29276756849</v>
      </c>
      <c r="I103" s="235">
        <f t="shared" si="11"/>
        <v>26691859.351499882</v>
      </c>
    </row>
    <row r="104" spans="1:11" ht="13">
      <c r="A104" s="2" t="s">
        <v>1515</v>
      </c>
      <c r="B104" s="507" t="s">
        <v>3096</v>
      </c>
      <c r="C104" s="235">
        <f>C35*$C$68/12</f>
        <v>236365.03467557358</v>
      </c>
      <c r="D104" s="235">
        <f>D35*$D$68/12</f>
        <v>0</v>
      </c>
      <c r="E104" s="235">
        <f>E35*$E$68/12</f>
        <v>0</v>
      </c>
      <c r="F104" s="235">
        <f>F35*$F$68/12</f>
        <v>0</v>
      </c>
      <c r="G104" s="235">
        <f>G35*$G$68/12</f>
        <v>0</v>
      </c>
      <c r="H104" s="235">
        <f>H35*$H$67/12</f>
        <v>956431.16497682268</v>
      </c>
      <c r="I104" s="235">
        <f t="shared" si="11"/>
        <v>26708600.004365422</v>
      </c>
    </row>
    <row r="105" spans="1:11" ht="13">
      <c r="A105" s="2" t="s">
        <v>1516</v>
      </c>
      <c r="B105" s="507" t="s">
        <v>3097</v>
      </c>
      <c r="C105" s="235">
        <f>C36*$C$69/12</f>
        <v>238645.61118545666</v>
      </c>
      <c r="D105" s="235">
        <f>D36*$D$69/12</f>
        <v>0</v>
      </c>
      <c r="E105" s="235">
        <f>E36*$E$69/12</f>
        <v>0</v>
      </c>
      <c r="F105" s="235">
        <f>F36*$F$69/12</f>
        <v>0</v>
      </c>
      <c r="G105" s="235">
        <f>G36*$G$69/12</f>
        <v>0</v>
      </c>
      <c r="H105" s="235">
        <f>H36*$H$68/12</f>
        <v>958240.7510422389</v>
      </c>
      <c r="I105" s="235">
        <f t="shared" si="11"/>
        <v>26501026.031396966</v>
      </c>
    </row>
    <row r="106" spans="1:11" ht="13">
      <c r="A106" s="2" t="s">
        <v>1517</v>
      </c>
      <c r="B106" s="507" t="s">
        <v>3098</v>
      </c>
      <c r="C106" s="235">
        <f>C37*$C$70/12</f>
        <v>238651.62026838915</v>
      </c>
      <c r="D106" s="235">
        <f>D37*$D$70/12</f>
        <v>0</v>
      </c>
      <c r="E106" s="235">
        <f>E37*$E$70/12</f>
        <v>0</v>
      </c>
      <c r="F106" s="235">
        <f>F37*$F$70/12</f>
        <v>0</v>
      </c>
      <c r="G106" s="235">
        <f>G37*$G$70/12</f>
        <v>0</v>
      </c>
      <c r="H106" s="235">
        <f>H37*$H$69/12</f>
        <v>943259.44249539624</v>
      </c>
      <c r="I106" s="235">
        <f t="shared" si="11"/>
        <v>26992675.435409889</v>
      </c>
    </row>
    <row r="107" spans="1:11" ht="13">
      <c r="A107" s="2" t="s">
        <v>1518</v>
      </c>
      <c r="B107" s="507" t="s">
        <v>3099</v>
      </c>
      <c r="C107" s="235">
        <f>C38*$C$71/12</f>
        <v>238804.59342358401</v>
      </c>
      <c r="D107" s="235">
        <f>D38*$D$71/12</f>
        <v>0</v>
      </c>
      <c r="E107" s="235">
        <f>E38*$E$71/12</f>
        <v>0</v>
      </c>
      <c r="F107" s="235">
        <f>F38*$F$71/12</f>
        <v>0</v>
      </c>
      <c r="G107" s="235">
        <f>G38*$G$71/12</f>
        <v>0</v>
      </c>
      <c r="H107" s="235">
        <f>H38*$H$70/12</f>
        <v>935317.24869537901</v>
      </c>
      <c r="I107" s="235">
        <f t="shared" si="11"/>
        <v>26589169.586483125</v>
      </c>
    </row>
    <row r="108" spans="1:11" ht="13">
      <c r="A108" s="2" t="s">
        <v>1519</v>
      </c>
      <c r="B108" s="507" t="s">
        <v>3100</v>
      </c>
      <c r="C108" s="235">
        <f>C39*$C$72/12</f>
        <v>28256.661653273837</v>
      </c>
      <c r="D108" s="235">
        <f>D39*$D$72/12</f>
        <v>0</v>
      </c>
      <c r="E108" s="235">
        <f>E39*$E$72/12</f>
        <v>0</v>
      </c>
      <c r="F108" s="235">
        <f>F39*$F$72/12</f>
        <v>0</v>
      </c>
      <c r="G108" s="235">
        <f>G39*$G$72/12</f>
        <v>0</v>
      </c>
      <c r="H108" s="235">
        <f>H39*$H$71/12</f>
        <v>929399.14850699122</v>
      </c>
      <c r="I108" s="235">
        <f t="shared" si="11"/>
        <v>25913689.586819757</v>
      </c>
    </row>
    <row r="109" spans="1:11" ht="13">
      <c r="A109" s="2" t="s">
        <v>1520</v>
      </c>
      <c r="B109" s="1191" t="s">
        <v>3101</v>
      </c>
      <c r="C109" s="53">
        <f>C40*$C$73/12</f>
        <v>10647.240831455378</v>
      </c>
      <c r="D109" s="53">
        <f>D40*$D$73/12</f>
        <v>0</v>
      </c>
      <c r="E109" s="53">
        <f>E40*$E$73/12</f>
        <v>0</v>
      </c>
      <c r="F109" s="53">
        <f>F40*$F$73/12</f>
        <v>0</v>
      </c>
      <c r="G109" s="53">
        <f>G40*$G$73/12</f>
        <v>0</v>
      </c>
      <c r="H109" s="53">
        <f>H40*$H$72/12</f>
        <v>926185.96100151539</v>
      </c>
      <c r="I109" s="53">
        <f t="shared" si="11"/>
        <v>25877572.583556473</v>
      </c>
    </row>
    <row r="110" spans="1:11" ht="13">
      <c r="A110" s="2" t="s">
        <v>1521</v>
      </c>
      <c r="B110" s="1084" t="s">
        <v>440</v>
      </c>
      <c r="C110" s="235">
        <f>SUM(C98:C109)</f>
        <v>2433102.7227675244</v>
      </c>
      <c r="D110" s="235">
        <f>SUM(D98:D109)</f>
        <v>0</v>
      </c>
      <c r="E110" s="235">
        <f t="shared" ref="E110:G110" si="12">SUM(E98:E109)</f>
        <v>0</v>
      </c>
      <c r="F110" s="235">
        <f t="shared" si="12"/>
        <v>0</v>
      </c>
      <c r="G110" s="235">
        <f t="shared" si="12"/>
        <v>0</v>
      </c>
      <c r="H110" s="235">
        <f>SUM(H98:H109)</f>
        <v>10426696.615403932</v>
      </c>
      <c r="I110" s="235"/>
    </row>
    <row r="111" spans="1:11" ht="13">
      <c r="A111" s="2" t="s">
        <v>1522</v>
      </c>
      <c r="B111" s="112"/>
      <c r="C111" s="112"/>
      <c r="D111" s="233"/>
      <c r="E111" s="233"/>
      <c r="F111" s="233"/>
      <c r="G111" s="233"/>
      <c r="H111" s="231" t="s">
        <v>1523</v>
      </c>
      <c r="I111" s="235">
        <f>SUM(I98:I109)</f>
        <v>310051729.28524429</v>
      </c>
    </row>
    <row r="112" spans="1:11" ht="13">
      <c r="A112" s="2" t="s">
        <v>1524</v>
      </c>
      <c r="B112" s="112"/>
      <c r="C112" s="112"/>
      <c r="D112" s="233"/>
      <c r="E112" s="1193" t="s">
        <v>1525</v>
      </c>
      <c r="F112" s="233"/>
      <c r="G112" s="233"/>
      <c r="H112" s="233"/>
      <c r="I112" s="233"/>
    </row>
    <row r="113" spans="1:13" ht="13">
      <c r="A113" s="2" t="s">
        <v>1526</v>
      </c>
      <c r="B113" s="112"/>
      <c r="C113" s="112"/>
      <c r="D113" s="112"/>
      <c r="E113" s="388"/>
      <c r="F113" s="112"/>
    </row>
    <row r="114" spans="1:13" ht="13">
      <c r="A114" s="2">
        <f>A94+1</f>
        <v>39</v>
      </c>
      <c r="B114" s="1" t="s">
        <v>1527</v>
      </c>
      <c r="C114" s="112"/>
      <c r="D114" s="112"/>
      <c r="E114" s="112"/>
      <c r="F114" s="112"/>
      <c r="G114" s="112"/>
      <c r="H114" s="112"/>
      <c r="I114" s="112"/>
      <c r="J114" s="112"/>
      <c r="K114" s="112"/>
      <c r="L114" s="112"/>
      <c r="M114" s="112"/>
    </row>
    <row r="115" spans="1:13" ht="13">
      <c r="A115" s="2">
        <f t="shared" si="0"/>
        <v>40</v>
      </c>
      <c r="B115" s="112"/>
      <c r="C115" s="112"/>
      <c r="D115" s="112"/>
      <c r="E115" s="112"/>
      <c r="F115" s="112"/>
      <c r="G115" s="112"/>
      <c r="H115" s="112"/>
      <c r="I115" s="112"/>
      <c r="J115" s="112"/>
      <c r="K115" s="112"/>
      <c r="L115" s="112"/>
      <c r="M115" s="112"/>
    </row>
    <row r="116" spans="1:13" ht="13">
      <c r="A116" s="2">
        <f t="shared" si="0"/>
        <v>41</v>
      </c>
      <c r="B116" s="112"/>
      <c r="C116" s="112"/>
      <c r="D116" s="48">
        <v>360</v>
      </c>
      <c r="E116" s="48">
        <v>361</v>
      </c>
      <c r="F116" s="48">
        <v>362</v>
      </c>
      <c r="G116" s="112"/>
      <c r="H116" s="30" t="s">
        <v>684</v>
      </c>
      <c r="I116" s="3"/>
      <c r="J116" s="112"/>
      <c r="K116" s="112"/>
      <c r="L116" s="112"/>
      <c r="M116" s="112"/>
    </row>
    <row r="117" spans="1:13" ht="13">
      <c r="A117" s="2">
        <f t="shared" si="0"/>
        <v>42</v>
      </c>
      <c r="B117" s="233" t="s">
        <v>1528</v>
      </c>
      <c r="C117" s="112"/>
      <c r="D117" s="114">
        <f>'6-PlantInService'!C56</f>
        <v>0</v>
      </c>
      <c r="E117" s="114">
        <f>'6-PlantInService'!D56</f>
        <v>0</v>
      </c>
      <c r="F117" s="114">
        <f>'6-PlantInService'!E56</f>
        <v>0</v>
      </c>
      <c r="G117" s="112"/>
      <c r="H117" s="233" t="s">
        <v>1529</v>
      </c>
      <c r="I117" s="232"/>
      <c r="J117" s="112"/>
      <c r="K117" s="112"/>
      <c r="L117" s="112"/>
      <c r="M117" s="112"/>
    </row>
    <row r="118" spans="1:13" ht="13">
      <c r="A118" s="2">
        <f t="shared" si="0"/>
        <v>43</v>
      </c>
      <c r="B118" s="233" t="s">
        <v>1530</v>
      </c>
      <c r="C118" s="112"/>
      <c r="D118" s="183">
        <f>'6-PlantInService'!C57</f>
        <v>0</v>
      </c>
      <c r="E118" s="183">
        <f>'6-PlantInService'!D57</f>
        <v>0</v>
      </c>
      <c r="F118" s="183">
        <f>'6-PlantInService'!E57</f>
        <v>0</v>
      </c>
      <c r="G118" s="112"/>
      <c r="H118" s="233" t="s">
        <v>1531</v>
      </c>
      <c r="I118" s="112"/>
      <c r="J118" s="112"/>
      <c r="K118" s="112"/>
      <c r="M118" s="112"/>
    </row>
    <row r="119" spans="1:13" ht="13">
      <c r="A119" s="2">
        <f t="shared" si="0"/>
        <v>44</v>
      </c>
      <c r="B119" s="233" t="s">
        <v>1532</v>
      </c>
      <c r="C119" s="112"/>
      <c r="D119" s="114">
        <f>AVERAGE(D117:D118)</f>
        <v>0</v>
      </c>
      <c r="E119" s="114">
        <f>AVERAGE(E117:E118)</f>
        <v>0</v>
      </c>
      <c r="F119" s="114">
        <f>AVERAGE(F117:F118)</f>
        <v>0</v>
      </c>
      <c r="G119" s="112"/>
      <c r="H119" s="122"/>
      <c r="I119" s="232"/>
      <c r="J119" s="112"/>
      <c r="K119" s="112"/>
      <c r="M119" s="112"/>
    </row>
    <row r="120" spans="1:13" ht="13">
      <c r="A120" s="2">
        <f t="shared" si="0"/>
        <v>45</v>
      </c>
      <c r="J120" s="112"/>
      <c r="K120" s="112"/>
      <c r="M120" s="112"/>
    </row>
    <row r="121" spans="1:13" ht="13">
      <c r="A121" s="2">
        <f t="shared" si="0"/>
        <v>46</v>
      </c>
      <c r="B121" s="329" t="s">
        <v>1533</v>
      </c>
      <c r="C121" s="112"/>
      <c r="D121" s="112"/>
      <c r="E121" s="112"/>
      <c r="J121" s="112"/>
      <c r="K121" s="112"/>
      <c r="L121" s="114"/>
      <c r="M121" s="112"/>
    </row>
    <row r="122" spans="1:13" ht="13">
      <c r="A122" s="2">
        <f t="shared" si="0"/>
        <v>47</v>
      </c>
      <c r="B122" s="112"/>
      <c r="D122" s="48">
        <v>360</v>
      </c>
      <c r="E122" s="48">
        <v>361</v>
      </c>
      <c r="F122" s="48">
        <v>362</v>
      </c>
      <c r="J122" s="112"/>
      <c r="K122" s="112"/>
      <c r="L122" s="114"/>
      <c r="M122" s="112"/>
    </row>
    <row r="123" spans="1:13" ht="13">
      <c r="A123" s="2">
        <f t="shared" si="0"/>
        <v>48</v>
      </c>
      <c r="D123" s="119">
        <f>'18-DepRates'!$G26</f>
        <v>1.67E-2</v>
      </c>
      <c r="E123" s="119">
        <f>'18-DepRates'!$G27</f>
        <v>2.6200000000000001E-2</v>
      </c>
      <c r="F123" s="119">
        <f>'18-DepRates'!$G28</f>
        <v>2.23E-2</v>
      </c>
      <c r="J123" s="112"/>
      <c r="K123" s="112"/>
      <c r="L123" s="114"/>
      <c r="M123" s="112"/>
    </row>
    <row r="124" spans="1:13" ht="13">
      <c r="A124" s="2">
        <f t="shared" si="0"/>
        <v>49</v>
      </c>
      <c r="J124" s="112"/>
      <c r="K124" s="112"/>
      <c r="L124" s="53"/>
      <c r="M124" s="112"/>
    </row>
    <row r="125" spans="1:13" ht="13">
      <c r="A125" s="2">
        <f t="shared" si="0"/>
        <v>50</v>
      </c>
      <c r="B125" t="s">
        <v>1534</v>
      </c>
      <c r="F125" s="233" t="s">
        <v>1535</v>
      </c>
      <c r="J125" s="112"/>
      <c r="K125" s="112"/>
      <c r="L125" s="119"/>
      <c r="M125" s="112"/>
    </row>
    <row r="126" spans="1:13" ht="13">
      <c r="A126" s="2">
        <f t="shared" si="0"/>
        <v>51</v>
      </c>
      <c r="J126" s="112"/>
      <c r="K126" s="112"/>
      <c r="L126" s="119"/>
      <c r="M126" s="112"/>
    </row>
    <row r="127" spans="1:13" ht="13">
      <c r="A127" s="2">
        <f t="shared" si="0"/>
        <v>52</v>
      </c>
      <c r="D127" s="48">
        <v>360</v>
      </c>
      <c r="E127" s="48">
        <v>361</v>
      </c>
      <c r="F127" s="48">
        <v>362</v>
      </c>
      <c r="G127" s="184" t="s">
        <v>252</v>
      </c>
      <c r="J127" s="112"/>
      <c r="K127" s="112"/>
      <c r="L127" s="119"/>
      <c r="M127" s="112"/>
    </row>
    <row r="128" spans="1:13" ht="13">
      <c r="A128" s="2">
        <f t="shared" ref="A128:A141" si="13">A127+1</f>
        <v>53</v>
      </c>
      <c r="D128" s="6">
        <f xml:space="preserve"> D119*D123</f>
        <v>0</v>
      </c>
      <c r="E128" s="6">
        <f xml:space="preserve"> E119*E123</f>
        <v>0</v>
      </c>
      <c r="F128" s="6">
        <f xml:space="preserve"> F119*F123</f>
        <v>0</v>
      </c>
      <c r="G128" s="6">
        <f>SUM(D128:F128)</f>
        <v>0</v>
      </c>
      <c r="H128" s="12" t="s">
        <v>1536</v>
      </c>
      <c r="J128" s="112"/>
      <c r="K128" s="112"/>
      <c r="L128" s="114"/>
      <c r="M128" s="112"/>
    </row>
    <row r="129" spans="1:13" ht="13">
      <c r="A129" s="2">
        <f t="shared" si="13"/>
        <v>54</v>
      </c>
      <c r="H129" s="12" t="s">
        <v>1537</v>
      </c>
      <c r="J129" s="112"/>
      <c r="K129" s="112"/>
      <c r="L129" s="112"/>
      <c r="M129" s="112"/>
    </row>
    <row r="130" spans="1:13" ht="13">
      <c r="A130" s="2">
        <f t="shared" si="13"/>
        <v>55</v>
      </c>
      <c r="J130" s="112"/>
      <c r="K130" s="112"/>
      <c r="L130" s="112"/>
      <c r="M130" s="112"/>
    </row>
    <row r="131" spans="1:13" ht="13">
      <c r="A131" s="2">
        <f t="shared" si="13"/>
        <v>56</v>
      </c>
      <c r="B131" s="1" t="s">
        <v>1538</v>
      </c>
      <c r="J131" s="112"/>
      <c r="K131" s="112"/>
      <c r="L131" s="112"/>
      <c r="M131" s="112"/>
    </row>
    <row r="132" spans="1:13" ht="13">
      <c r="A132" s="2">
        <f t="shared" si="13"/>
        <v>57</v>
      </c>
      <c r="B132" s="112"/>
      <c r="C132" s="112"/>
      <c r="D132" s="112"/>
      <c r="E132" s="112"/>
      <c r="F132" s="112"/>
      <c r="G132" s="112"/>
      <c r="H132" s="112"/>
      <c r="I132" s="112"/>
      <c r="J132" s="112"/>
      <c r="K132" s="112"/>
      <c r="L132" s="112"/>
      <c r="M132" s="112"/>
    </row>
    <row r="133" spans="1:13" ht="13">
      <c r="A133" s="2">
        <f t="shared" si="13"/>
        <v>58</v>
      </c>
      <c r="B133" s="276" t="s">
        <v>1539</v>
      </c>
      <c r="C133" s="112"/>
      <c r="D133" s="112"/>
      <c r="E133" s="112"/>
      <c r="F133" s="112"/>
      <c r="G133" s="112"/>
      <c r="H133" s="185">
        <v>737482527</v>
      </c>
      <c r="I133" s="232" t="s">
        <v>1540</v>
      </c>
      <c r="J133" s="112"/>
      <c r="K133" s="112"/>
      <c r="L133" s="112"/>
      <c r="M133" s="112"/>
    </row>
    <row r="134" spans="1:13" ht="13">
      <c r="A134" s="2">
        <f t="shared" si="13"/>
        <v>59</v>
      </c>
      <c r="B134" s="233" t="s">
        <v>1541</v>
      </c>
      <c r="C134" s="112"/>
      <c r="D134" s="112"/>
      <c r="E134" s="112"/>
      <c r="F134" s="112"/>
      <c r="G134" s="112"/>
      <c r="H134" s="57">
        <v>7612023</v>
      </c>
      <c r="I134" s="232" t="s">
        <v>1542</v>
      </c>
      <c r="J134" s="112"/>
      <c r="K134" s="112"/>
      <c r="L134" s="112"/>
      <c r="M134" s="112"/>
    </row>
    <row r="135" spans="1:13" ht="13">
      <c r="A135" s="2">
        <f t="shared" si="13"/>
        <v>60</v>
      </c>
      <c r="B135" s="276" t="s">
        <v>1543</v>
      </c>
      <c r="C135" s="112"/>
      <c r="D135" s="112"/>
      <c r="E135" s="112"/>
      <c r="F135" s="112"/>
      <c r="G135" s="112"/>
      <c r="H135" s="114">
        <f>SUM(H133:H134)</f>
        <v>745094550</v>
      </c>
      <c r="I135" s="232" t="str">
        <f>"Line "&amp;A133&amp;" + Line "&amp;A134&amp;""</f>
        <v>Line 58 + Line 59</v>
      </c>
      <c r="J135" s="112"/>
      <c r="K135" s="112"/>
      <c r="L135" s="112"/>
      <c r="M135" s="112"/>
    </row>
    <row r="136" spans="1:13" ht="13">
      <c r="A136" s="2">
        <f t="shared" si="13"/>
        <v>61</v>
      </c>
      <c r="B136" s="276" t="s">
        <v>145</v>
      </c>
      <c r="C136" s="112"/>
      <c r="D136" s="112"/>
      <c r="E136" s="112"/>
      <c r="F136" s="112"/>
      <c r="G136" s="112"/>
      <c r="H136" s="1198">
        <f>'27-Allocators'!G15</f>
        <v>6.4531762547854879E-2</v>
      </c>
      <c r="I136" s="12" t="str">
        <f>"27-Allocators, Line "&amp;'27-Allocators'!A15&amp;""</f>
        <v>27-Allocators, Line 9</v>
      </c>
      <c r="J136" s="112"/>
      <c r="K136" s="112"/>
      <c r="L136" s="112"/>
      <c r="M136" s="112"/>
    </row>
    <row r="137" spans="1:13" ht="13">
      <c r="A137" s="2">
        <f t="shared" si="13"/>
        <v>62</v>
      </c>
      <c r="B137" s="276" t="s">
        <v>1544</v>
      </c>
      <c r="C137" s="112"/>
      <c r="D137" s="112"/>
      <c r="E137" s="112"/>
      <c r="F137" s="112"/>
      <c r="G137" s="112"/>
      <c r="H137" s="114">
        <f>H135*H136</f>
        <v>48082264.576300785</v>
      </c>
      <c r="I137" s="232" t="str">
        <f>"Line "&amp;A135&amp;" * Line "&amp;A136&amp;""</f>
        <v>Line 60 * Line 61</v>
      </c>
      <c r="J137" s="112"/>
      <c r="K137" s="112"/>
      <c r="L137" s="112"/>
      <c r="M137" s="112"/>
    </row>
    <row r="138" spans="1:13" ht="13">
      <c r="A138" s="2">
        <f t="shared" si="13"/>
        <v>63</v>
      </c>
      <c r="B138" s="276"/>
      <c r="C138" s="233"/>
      <c r="D138" s="112"/>
      <c r="E138" s="112"/>
      <c r="F138" s="112"/>
      <c r="G138" s="112"/>
      <c r="H138" s="112"/>
      <c r="I138" s="112"/>
      <c r="J138" s="112"/>
      <c r="K138" s="112"/>
      <c r="L138" s="112"/>
      <c r="M138" s="112"/>
    </row>
    <row r="139" spans="1:13" ht="13">
      <c r="A139" s="2">
        <f t="shared" si="13"/>
        <v>64</v>
      </c>
      <c r="B139" s="47" t="s">
        <v>1545</v>
      </c>
      <c r="C139" s="112"/>
      <c r="D139" s="112"/>
      <c r="E139" s="112"/>
      <c r="F139" s="112"/>
      <c r="G139" s="112"/>
      <c r="H139" s="112"/>
      <c r="I139" s="112"/>
      <c r="J139" s="112"/>
      <c r="K139" s="112"/>
      <c r="L139" s="112"/>
      <c r="M139" s="112"/>
    </row>
    <row r="140" spans="1:13" ht="13">
      <c r="A140" s="2">
        <f t="shared" si="13"/>
        <v>65</v>
      </c>
      <c r="B140" s="276"/>
      <c r="C140" s="233"/>
      <c r="D140" s="112"/>
      <c r="E140" s="112"/>
      <c r="F140" s="112"/>
      <c r="G140" s="112"/>
      <c r="H140" s="112"/>
      <c r="I140" s="112"/>
      <c r="J140" s="112"/>
      <c r="K140" s="112"/>
      <c r="L140" s="112"/>
      <c r="M140" s="112"/>
    </row>
    <row r="141" spans="1:13" ht="13">
      <c r="A141" s="2">
        <f t="shared" si="13"/>
        <v>66</v>
      </c>
      <c r="B141" s="276" t="s">
        <v>1546</v>
      </c>
      <c r="C141" s="112"/>
      <c r="D141" s="112"/>
      <c r="E141" s="112"/>
      <c r="F141" s="3" t="s">
        <v>81</v>
      </c>
      <c r="G141" s="3" t="s">
        <v>684</v>
      </c>
      <c r="H141" s="112"/>
      <c r="I141" s="112"/>
    </row>
    <row r="142" spans="1:13" ht="13">
      <c r="A142" s="2">
        <f>A141+1</f>
        <v>67</v>
      </c>
      <c r="B142" s="232" t="s">
        <v>1547</v>
      </c>
      <c r="C142" s="112"/>
      <c r="D142" s="112"/>
      <c r="E142" s="112"/>
      <c r="F142" s="114">
        <f>I111</f>
        <v>310051729.28524429</v>
      </c>
      <c r="G142" s="232" t="s">
        <v>3109</v>
      </c>
      <c r="H142" s="112"/>
      <c r="I142" s="112"/>
    </row>
    <row r="143" spans="1:13" ht="13">
      <c r="A143" s="2">
        <f>A142+1</f>
        <v>68</v>
      </c>
      <c r="B143" s="232" t="s">
        <v>1548</v>
      </c>
      <c r="C143" s="112"/>
      <c r="D143" s="112"/>
      <c r="E143" s="112"/>
      <c r="F143" s="114">
        <f>G128</f>
        <v>0</v>
      </c>
      <c r="G143" s="232" t="str">
        <f>"Line "&amp;A128&amp;""</f>
        <v>Line 53</v>
      </c>
      <c r="H143" s="112"/>
      <c r="I143" s="112"/>
    </row>
    <row r="144" spans="1:13" ht="13">
      <c r="A144" s="2">
        <f>A143+1</f>
        <v>69</v>
      </c>
      <c r="B144" s="232" t="s">
        <v>1549</v>
      </c>
      <c r="C144" s="112"/>
      <c r="D144" s="112"/>
      <c r="E144" s="112"/>
      <c r="F144" s="53">
        <f>H137</f>
        <v>48082264.576300785</v>
      </c>
      <c r="G144" s="232" t="str">
        <f>"Line "&amp;A137&amp;""</f>
        <v>Line 62</v>
      </c>
      <c r="H144" s="112"/>
      <c r="I144" s="112"/>
    </row>
    <row r="145" spans="1:9" ht="13">
      <c r="A145" s="2">
        <f>A144+1</f>
        <v>70</v>
      </c>
      <c r="B145" s="112"/>
      <c r="C145" s="112"/>
      <c r="D145" s="112"/>
      <c r="E145" s="113" t="s">
        <v>1550</v>
      </c>
      <c r="F145" s="114">
        <f>SUM(F142:F144)</f>
        <v>358133993.86154509</v>
      </c>
      <c r="G145" s="232" t="str">
        <f>"Line "&amp;A142&amp;" + Line "&amp;A143&amp;" + Line "&amp;A144&amp;""</f>
        <v>Line 67 + Line 68 + Line 69</v>
      </c>
      <c r="H145" s="112"/>
      <c r="I145" s="112"/>
    </row>
    <row r="146" spans="1:9" ht="13">
      <c r="A146" s="112"/>
      <c r="B146" s="1" t="s">
        <v>233</v>
      </c>
      <c r="C146" s="112"/>
      <c r="D146" s="112"/>
      <c r="E146" s="112"/>
      <c r="F146" s="112"/>
      <c r="G146" s="112"/>
      <c r="H146" s="112"/>
      <c r="I146" s="112"/>
    </row>
    <row r="147" spans="1:9">
      <c r="A147" s="112"/>
      <c r="B147" s="233" t="s">
        <v>1551</v>
      </c>
      <c r="C147" s="112"/>
      <c r="D147" s="112"/>
      <c r="E147" s="112"/>
      <c r="F147" s="112"/>
      <c r="G147" s="112"/>
      <c r="H147" s="112"/>
      <c r="I147" s="112"/>
    </row>
    <row r="148" spans="1:9">
      <c r="A148" s="112"/>
      <c r="B148" s="233" t="str">
        <f>"same account, times the Monthly Depreciation Rate for that account.  Monthly rate = annual rates on Line "&amp;A46&amp;" etc. divided by 12."</f>
        <v>same account, times the Monthly Depreciation Rate for that account.  Monthly rate = annual rates on Line 17a etc. divided by 12.</v>
      </c>
      <c r="C148" s="112"/>
      <c r="D148" s="112"/>
      <c r="E148" s="112"/>
      <c r="F148" s="112"/>
      <c r="G148" s="112"/>
      <c r="H148" s="112"/>
      <c r="I148" s="112"/>
    </row>
    <row r="149" spans="1:9">
      <c r="A149" s="112"/>
      <c r="B149" s="233" t="str">
        <f>"2) Depreciation Expense for each account is equal to the Average BOY/EOY value on Line "&amp;A119&amp;" times the"</f>
        <v>2) Depreciation Expense for each account is equal to the Average BOY/EOY value on Line 44 times the</v>
      </c>
      <c r="C149" s="112"/>
      <c r="D149" s="112"/>
      <c r="E149" s="112"/>
      <c r="F149" s="112"/>
      <c r="G149" s="112"/>
      <c r="H149" s="112"/>
      <c r="I149" s="112"/>
    </row>
    <row r="150" spans="1:9">
      <c r="B150" s="233" t="str">
        <f>"Depreciation Rate on Line "&amp;A123&amp;"."</f>
        <v>Depreciation Rate on Line 48.</v>
      </c>
    </row>
    <row r="151" spans="1:9" ht="13">
      <c r="B151" s="1" t="s">
        <v>442</v>
      </c>
    </row>
    <row r="152" spans="1:9">
      <c r="B152" s="233" t="s">
        <v>3107</v>
      </c>
    </row>
    <row r="153" spans="1:9">
      <c r="B153" s="233" t="s">
        <v>1552</v>
      </c>
    </row>
    <row r="154" spans="1:9">
      <c r="B154" s="233" t="s">
        <v>1553</v>
      </c>
    </row>
    <row r="155" spans="1:9">
      <c r="B155" s="233" t="str">
        <f>"for Distribution Plant - ISO on Line "&amp;A128&amp;" utilizing the weighted-average (by time) of the annual depreciation rates in effect in the Prior Year."</f>
        <v>for Distribution Plant - ISO on Line 53 utilizing the weighted-average (by time) of the annual depreciation rates in effect in the Prior Year.</v>
      </c>
    </row>
  </sheetData>
  <phoneticPr fontId="26" type="noConversion"/>
  <pageMargins left="0.7" right="0.7" top="0.75" bottom="0.75" header="0.3" footer="0.3"/>
  <pageSetup scale="46" fitToHeight="0" orientation="landscape" cellComments="asDisplayed" r:id="rId1"/>
  <headerFooter>
    <oddHeader>&amp;CSchedule 17
Depreciation Expense
&amp;RTO2027 Draft Annual Update 
Attachment 1</oddHeader>
    <oddFooter>&amp;R&amp;A</oddFooter>
  </headerFooter>
  <rowBreaks count="1" manualBreakCount="1">
    <brk id="73"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85"/>
  <sheetViews>
    <sheetView zoomScaleNormal="100" workbookViewId="0"/>
  </sheetViews>
  <sheetFormatPr defaultColWidth="8.54296875" defaultRowHeight="12.5"/>
  <cols>
    <col min="1" max="1" width="4.54296875" customWidth="1"/>
    <col min="2" max="2" width="2.1796875" customWidth="1"/>
    <col min="4" max="4" width="38.54296875" customWidth="1"/>
    <col min="5" max="5" width="11.81640625" style="233" customWidth="1"/>
    <col min="6" max="6" width="10.1796875" style="233" bestFit="1" customWidth="1"/>
    <col min="10" max="10" width="11.81640625" customWidth="1"/>
    <col min="12" max="12" width="22.54296875" bestFit="1" customWidth="1"/>
    <col min="13" max="13" width="10.1796875" customWidth="1"/>
  </cols>
  <sheetData>
    <row r="1" spans="1:10" ht="13">
      <c r="A1" s="197" t="s">
        <v>1554</v>
      </c>
      <c r="B1" s="233"/>
      <c r="C1" s="233"/>
      <c r="D1" s="233"/>
      <c r="J1" t="s">
        <v>1555</v>
      </c>
    </row>
    <row r="2" spans="1:10">
      <c r="A2" s="233"/>
      <c r="B2" s="233"/>
      <c r="C2" s="233"/>
      <c r="D2" s="233"/>
    </row>
    <row r="3" spans="1:10" ht="13">
      <c r="A3" s="233"/>
      <c r="B3" s="197" t="s">
        <v>654</v>
      </c>
      <c r="C3" s="233"/>
      <c r="D3" s="233"/>
      <c r="E3" s="2" t="s">
        <v>692</v>
      </c>
      <c r="F3" s="2"/>
      <c r="G3" s="2"/>
    </row>
    <row r="4" spans="1:10" ht="13">
      <c r="A4" s="233"/>
      <c r="B4" s="233"/>
      <c r="C4" s="115" t="s">
        <v>247</v>
      </c>
      <c r="D4" s="233"/>
      <c r="E4" s="2" t="s">
        <v>1556</v>
      </c>
      <c r="F4" s="4" t="s">
        <v>1434</v>
      </c>
      <c r="G4" s="4"/>
    </row>
    <row r="5" spans="1:10" ht="13">
      <c r="A5" s="30" t="s">
        <v>282</v>
      </c>
      <c r="B5" s="233"/>
      <c r="C5" s="184" t="s">
        <v>743</v>
      </c>
      <c r="D5" s="184" t="s">
        <v>878</v>
      </c>
      <c r="E5" s="3" t="s">
        <v>1557</v>
      </c>
      <c r="F5" s="3" t="s">
        <v>1558</v>
      </c>
      <c r="G5" s="3" t="s">
        <v>252</v>
      </c>
    </row>
    <row r="6" spans="1:10" ht="15" customHeight="1">
      <c r="A6" s="2">
        <v>1</v>
      </c>
      <c r="B6" s="233"/>
      <c r="C6" s="388">
        <v>350.1</v>
      </c>
      <c r="D6" s="232" t="s">
        <v>1559</v>
      </c>
      <c r="E6" s="258">
        <v>0</v>
      </c>
      <c r="F6" s="258">
        <v>0</v>
      </c>
      <c r="G6" s="258">
        <v>0</v>
      </c>
    </row>
    <row r="7" spans="1:10" ht="15" customHeight="1">
      <c r="A7" s="2">
        <f>A6+1</f>
        <v>2</v>
      </c>
      <c r="B7" s="233"/>
      <c r="C7" s="388">
        <v>350.2</v>
      </c>
      <c r="D7" s="232" t="s">
        <v>1560</v>
      </c>
      <c r="E7" s="258">
        <v>1.66E-2</v>
      </c>
      <c r="F7" s="258">
        <v>0</v>
      </c>
      <c r="G7" s="258">
        <v>1.66E-2</v>
      </c>
    </row>
    <row r="8" spans="1:10" ht="15" customHeight="1">
      <c r="A8" s="2" t="s">
        <v>563</v>
      </c>
      <c r="B8" s="233"/>
      <c r="C8" s="388">
        <v>351.1</v>
      </c>
      <c r="D8" s="232" t="s">
        <v>1561</v>
      </c>
      <c r="E8" s="1167">
        <v>0.2041</v>
      </c>
      <c r="F8" s="258">
        <v>0</v>
      </c>
      <c r="G8" s="1168">
        <v>0.2041</v>
      </c>
    </row>
    <row r="9" spans="1:10" ht="15" customHeight="1">
      <c r="A9" s="2" t="s">
        <v>1142</v>
      </c>
      <c r="B9" s="233"/>
      <c r="C9" s="388">
        <v>351.2</v>
      </c>
      <c r="D9" s="232" t="s">
        <v>1562</v>
      </c>
      <c r="E9" s="1169">
        <v>0.19739999999999999</v>
      </c>
      <c r="F9" s="1169">
        <v>0</v>
      </c>
      <c r="G9" s="1169">
        <v>0.19739999999999999</v>
      </c>
    </row>
    <row r="10" spans="1:10" ht="15" customHeight="1">
      <c r="A10" s="2" t="s">
        <v>1143</v>
      </c>
      <c r="B10" s="233"/>
      <c r="C10" s="231">
        <v>351.2</v>
      </c>
      <c r="D10" s="232" t="s">
        <v>1563</v>
      </c>
      <c r="E10" s="1169">
        <v>0.1444</v>
      </c>
      <c r="F10" s="1169">
        <v>0</v>
      </c>
      <c r="G10" s="1169">
        <v>0.1444</v>
      </c>
    </row>
    <row r="11" spans="1:10" ht="15" customHeight="1">
      <c r="A11" s="2" t="s">
        <v>1144</v>
      </c>
      <c r="B11" s="233"/>
      <c r="C11" s="231">
        <v>351.2</v>
      </c>
      <c r="D11" s="232" t="s">
        <v>1564</v>
      </c>
      <c r="E11" s="1169">
        <v>0.13270000000000001</v>
      </c>
      <c r="F11" s="1169">
        <v>0</v>
      </c>
      <c r="G11" s="1169">
        <v>0.13270000000000001</v>
      </c>
    </row>
    <row r="12" spans="1:10" ht="15" customHeight="1">
      <c r="A12" s="2" t="s">
        <v>1145</v>
      </c>
      <c r="B12" s="233"/>
      <c r="C12" s="231">
        <v>351.2</v>
      </c>
      <c r="D12" s="232" t="s">
        <v>1565</v>
      </c>
      <c r="E12" s="1169">
        <v>6.6600000000000006E-2</v>
      </c>
      <c r="F12" s="1169">
        <v>0</v>
      </c>
      <c r="G12" s="1169">
        <v>6.6600000000000006E-2</v>
      </c>
    </row>
    <row r="13" spans="1:10" ht="13">
      <c r="A13" s="2" t="s">
        <v>1146</v>
      </c>
      <c r="B13" s="233"/>
      <c r="C13" s="231">
        <v>351.3</v>
      </c>
      <c r="D13" s="232" t="s">
        <v>1566</v>
      </c>
      <c r="E13" s="1169">
        <v>8.9300000000000004E-2</v>
      </c>
      <c r="F13" s="1169">
        <v>0</v>
      </c>
      <c r="G13" s="1169">
        <v>8.9300000000000004E-2</v>
      </c>
    </row>
    <row r="14" spans="1:10" ht="13">
      <c r="A14" s="2">
        <f>A7+1</f>
        <v>3</v>
      </c>
      <c r="B14" s="233"/>
      <c r="C14" s="388">
        <v>352</v>
      </c>
      <c r="D14" s="232" t="s">
        <v>1567</v>
      </c>
      <c r="E14" s="258">
        <v>1.7999999999999999E-2</v>
      </c>
      <c r="F14" s="258">
        <v>7.7000000000000002E-3</v>
      </c>
      <c r="G14" s="258">
        <v>2.5700000000000001E-2</v>
      </c>
    </row>
    <row r="15" spans="1:10" ht="13">
      <c r="A15" s="2">
        <f t="shared" ref="A15:A22" si="0">A14+1</f>
        <v>4</v>
      </c>
      <c r="B15" s="233"/>
      <c r="C15" s="388">
        <v>353</v>
      </c>
      <c r="D15" s="232" t="s">
        <v>1568</v>
      </c>
      <c r="E15" s="258">
        <v>2.1999999999999999E-2</v>
      </c>
      <c r="F15" s="258">
        <v>2.7000000000000001E-3</v>
      </c>
      <c r="G15" s="258">
        <v>2.47E-2</v>
      </c>
    </row>
    <row r="16" spans="1:10" ht="13">
      <c r="A16" s="2">
        <f t="shared" si="0"/>
        <v>5</v>
      </c>
      <c r="B16" s="233"/>
      <c r="C16" s="388">
        <v>354</v>
      </c>
      <c r="D16" s="232" t="s">
        <v>1569</v>
      </c>
      <c r="E16" s="258">
        <v>1.35E-2</v>
      </c>
      <c r="F16" s="258">
        <v>1.09E-2</v>
      </c>
      <c r="G16" s="258">
        <v>2.4400000000000002E-2</v>
      </c>
    </row>
    <row r="17" spans="1:7" ht="13">
      <c r="A17" s="2">
        <f t="shared" si="0"/>
        <v>6</v>
      </c>
      <c r="B17" s="233"/>
      <c r="C17" s="388">
        <v>355</v>
      </c>
      <c r="D17" s="232" t="s">
        <v>1570</v>
      </c>
      <c r="E17" s="258">
        <v>0.02</v>
      </c>
      <c r="F17" s="258">
        <v>1.67E-2</v>
      </c>
      <c r="G17" s="258">
        <v>3.6700000000000003E-2</v>
      </c>
    </row>
    <row r="18" spans="1:7" ht="13">
      <c r="A18" s="2">
        <f t="shared" si="0"/>
        <v>7</v>
      </c>
      <c r="B18" s="233"/>
      <c r="C18" s="388">
        <v>356</v>
      </c>
      <c r="D18" s="232" t="s">
        <v>1571</v>
      </c>
      <c r="E18" s="258">
        <v>0.02</v>
      </c>
      <c r="F18" s="258">
        <v>1.0500000000000001E-2</v>
      </c>
      <c r="G18" s="258">
        <v>3.0499999999999999E-2</v>
      </c>
    </row>
    <row r="19" spans="1:7" ht="13">
      <c r="A19" s="2">
        <f t="shared" si="0"/>
        <v>8</v>
      </c>
      <c r="B19" s="233"/>
      <c r="C19" s="388">
        <v>357</v>
      </c>
      <c r="D19" s="232" t="s">
        <v>1572</v>
      </c>
      <c r="E19" s="258">
        <v>1.6500000000000001E-2</v>
      </c>
      <c r="F19" s="258">
        <v>0</v>
      </c>
      <c r="G19" s="258">
        <v>1.6500000000000001E-2</v>
      </c>
    </row>
    <row r="20" spans="1:7" ht="13">
      <c r="A20" s="2">
        <f t="shared" si="0"/>
        <v>9</v>
      </c>
      <c r="B20" s="233"/>
      <c r="C20" s="388">
        <v>358</v>
      </c>
      <c r="D20" s="232" t="s">
        <v>1573</v>
      </c>
      <c r="E20" s="258">
        <v>3.2599999999999997E-2</v>
      </c>
      <c r="F20" s="258">
        <v>6.1000000000000004E-3</v>
      </c>
      <c r="G20" s="258">
        <v>3.8699999999999998E-2</v>
      </c>
    </row>
    <row r="21" spans="1:7" ht="13">
      <c r="A21" s="2">
        <f t="shared" si="0"/>
        <v>10</v>
      </c>
      <c r="B21" s="233"/>
      <c r="C21" s="388">
        <v>359</v>
      </c>
      <c r="D21" s="232" t="s">
        <v>1574</v>
      </c>
      <c r="E21" s="258">
        <v>1.5599999999999999E-2</v>
      </c>
      <c r="F21" s="258">
        <v>0</v>
      </c>
      <c r="G21" s="258">
        <v>1.5599999999999999E-2</v>
      </c>
    </row>
    <row r="22" spans="1:7" ht="13">
      <c r="A22" s="2">
        <f t="shared" si="0"/>
        <v>11</v>
      </c>
      <c r="B22" s="233"/>
      <c r="C22" s="233"/>
      <c r="D22" s="233"/>
      <c r="G22" s="233"/>
    </row>
    <row r="23" spans="1:7" ht="13">
      <c r="A23" s="233"/>
      <c r="B23" s="197" t="s">
        <v>678</v>
      </c>
      <c r="C23" s="233"/>
      <c r="D23" s="233"/>
      <c r="E23" s="2" t="s">
        <v>692</v>
      </c>
      <c r="F23" s="2"/>
      <c r="G23" s="2"/>
    </row>
    <row r="24" spans="1:7" ht="13">
      <c r="A24" s="233"/>
      <c r="B24" s="233"/>
      <c r="C24" s="115" t="s">
        <v>247</v>
      </c>
      <c r="D24" s="233"/>
      <c r="E24" s="2" t="s">
        <v>1556</v>
      </c>
      <c r="F24" s="4" t="s">
        <v>1434</v>
      </c>
      <c r="G24" s="4"/>
    </row>
    <row r="25" spans="1:7" ht="13">
      <c r="A25" s="233"/>
      <c r="B25" s="233"/>
      <c r="C25" s="184" t="s">
        <v>743</v>
      </c>
      <c r="D25" s="184" t="s">
        <v>878</v>
      </c>
      <c r="E25" s="3" t="s">
        <v>1557</v>
      </c>
      <c r="F25" s="3" t="s">
        <v>1558</v>
      </c>
      <c r="G25" s="3" t="s">
        <v>252</v>
      </c>
    </row>
    <row r="26" spans="1:7" ht="13">
      <c r="A26" s="2">
        <f>A22+1</f>
        <v>12</v>
      </c>
      <c r="B26" s="233"/>
      <c r="C26" s="233">
        <v>360</v>
      </c>
      <c r="D26" s="232" t="s">
        <v>1575</v>
      </c>
      <c r="E26" s="258">
        <v>1.67E-2</v>
      </c>
      <c r="F26" s="258">
        <v>0</v>
      </c>
      <c r="G26" s="258">
        <v>1.67E-2</v>
      </c>
    </row>
    <row r="27" spans="1:7" ht="13">
      <c r="A27" s="2">
        <f>A26+1</f>
        <v>13</v>
      </c>
      <c r="B27" s="233"/>
      <c r="C27" s="233">
        <v>361</v>
      </c>
      <c r="D27" s="232" t="s">
        <v>1567</v>
      </c>
      <c r="E27" s="1165">
        <v>1.8100000000000002E-2</v>
      </c>
      <c r="F27" s="1165">
        <v>8.0999999999999996E-3</v>
      </c>
      <c r="G27" s="1165">
        <v>2.6200000000000001E-2</v>
      </c>
    </row>
    <row r="28" spans="1:7" ht="13">
      <c r="A28" s="2">
        <f>A27+1</f>
        <v>14</v>
      </c>
      <c r="B28" s="233"/>
      <c r="C28" s="233">
        <v>362</v>
      </c>
      <c r="D28" s="232" t="s">
        <v>1568</v>
      </c>
      <c r="E28" s="1166">
        <v>1.5599999999999999E-2</v>
      </c>
      <c r="F28" s="1166">
        <v>6.7000000000000002E-3</v>
      </c>
      <c r="G28" s="1166">
        <v>2.23E-2</v>
      </c>
    </row>
    <row r="29" spans="1:7">
      <c r="A29" s="233"/>
      <c r="B29" s="233"/>
      <c r="C29" s="233"/>
      <c r="D29" s="233"/>
      <c r="G29" s="233"/>
    </row>
    <row r="30" spans="1:7" ht="13">
      <c r="A30" s="233"/>
      <c r="B30" s="197" t="s">
        <v>1576</v>
      </c>
      <c r="C30" s="233"/>
      <c r="D30" s="233"/>
      <c r="E30" s="2" t="s">
        <v>692</v>
      </c>
      <c r="G30" s="233"/>
    </row>
    <row r="31" spans="1:7" ht="13">
      <c r="A31" s="233"/>
      <c r="B31" s="233"/>
      <c r="C31" s="115" t="s">
        <v>247</v>
      </c>
      <c r="D31" s="233"/>
      <c r="E31" s="2" t="s">
        <v>1556</v>
      </c>
      <c r="F31" s="4" t="s">
        <v>1434</v>
      </c>
      <c r="G31" s="4"/>
    </row>
    <row r="32" spans="1:7" ht="13">
      <c r="A32" s="233"/>
      <c r="B32" s="233"/>
      <c r="C32" s="184" t="s">
        <v>743</v>
      </c>
      <c r="D32" s="184" t="s">
        <v>878</v>
      </c>
      <c r="E32" s="3" t="s">
        <v>1557</v>
      </c>
      <c r="F32" s="3" t="s">
        <v>1558</v>
      </c>
      <c r="G32" s="3" t="s">
        <v>252</v>
      </c>
    </row>
    <row r="33" spans="1:7" ht="13">
      <c r="A33" s="2">
        <f>A28+1</f>
        <v>15</v>
      </c>
      <c r="B33" s="233"/>
      <c r="C33" s="233">
        <v>389</v>
      </c>
      <c r="D33" s="232" t="s">
        <v>1575</v>
      </c>
      <c r="E33" s="258">
        <v>1.67E-2</v>
      </c>
      <c r="F33" s="258">
        <v>0</v>
      </c>
      <c r="G33" s="258">
        <v>1.67E-2</v>
      </c>
    </row>
    <row r="34" spans="1:7" ht="14.5">
      <c r="A34" s="2">
        <f t="shared" ref="A34:A48" si="1">A33+1</f>
        <v>16</v>
      </c>
      <c r="B34" s="233"/>
      <c r="C34" s="233">
        <v>390</v>
      </c>
      <c r="D34" s="232" t="s">
        <v>1567</v>
      </c>
      <c r="E34" s="1163">
        <v>0.02</v>
      </c>
      <c r="F34" s="1163">
        <v>2.7000000000000001E-3</v>
      </c>
      <c r="G34" s="1163">
        <v>2.2700000000000001E-2</v>
      </c>
    </row>
    <row r="35" spans="1:7" ht="13">
      <c r="A35" s="2">
        <f t="shared" si="1"/>
        <v>17</v>
      </c>
      <c r="B35" s="233"/>
      <c r="C35" s="233">
        <v>391.1</v>
      </c>
      <c r="D35" s="805" t="s">
        <v>1577</v>
      </c>
      <c r="E35" s="258">
        <v>0.05</v>
      </c>
      <c r="F35" s="258">
        <v>0</v>
      </c>
      <c r="G35" s="258">
        <v>0.05</v>
      </c>
    </row>
    <row r="36" spans="1:7" ht="13">
      <c r="A36" s="2">
        <f t="shared" si="1"/>
        <v>18</v>
      </c>
      <c r="B36" s="233"/>
      <c r="C36" s="233">
        <v>391.5</v>
      </c>
      <c r="D36" s="805" t="s">
        <v>1578</v>
      </c>
      <c r="E36" s="258">
        <v>0.2</v>
      </c>
      <c r="F36" s="258">
        <v>0</v>
      </c>
      <c r="G36" s="258">
        <v>0.2</v>
      </c>
    </row>
    <row r="37" spans="1:7" ht="13">
      <c r="A37" s="2">
        <f t="shared" si="1"/>
        <v>19</v>
      </c>
      <c r="B37" s="233"/>
      <c r="C37" s="233">
        <v>391.6</v>
      </c>
      <c r="D37" s="805" t="s">
        <v>1579</v>
      </c>
      <c r="E37" s="258">
        <v>0.2</v>
      </c>
      <c r="F37" s="258">
        <v>0</v>
      </c>
      <c r="G37" s="258">
        <v>0.2</v>
      </c>
    </row>
    <row r="38" spans="1:7" ht="13">
      <c r="A38" s="2">
        <f t="shared" si="1"/>
        <v>20</v>
      </c>
      <c r="B38" s="233"/>
      <c r="C38" s="233">
        <v>391.2</v>
      </c>
      <c r="D38" s="805" t="s">
        <v>1580</v>
      </c>
      <c r="E38" s="483">
        <v>0.2041</v>
      </c>
      <c r="F38" s="1162">
        <v>0</v>
      </c>
      <c r="G38" s="483">
        <v>0.2041</v>
      </c>
    </row>
    <row r="39" spans="1:7" ht="13">
      <c r="A39" s="2">
        <f t="shared" si="1"/>
        <v>21</v>
      </c>
      <c r="B39" s="233"/>
      <c r="C39" s="233">
        <v>391.3</v>
      </c>
      <c r="D39" s="805" t="s">
        <v>1581</v>
      </c>
      <c r="E39" s="483">
        <v>0.2041</v>
      </c>
      <c r="F39" s="1162">
        <v>0</v>
      </c>
      <c r="G39" s="483">
        <v>0.2041</v>
      </c>
    </row>
    <row r="40" spans="1:7" ht="13">
      <c r="A40" s="2">
        <f t="shared" si="1"/>
        <v>22</v>
      </c>
      <c r="B40" s="233"/>
      <c r="C40" s="231">
        <v>391.7</v>
      </c>
      <c r="D40" s="805" t="s">
        <v>1582</v>
      </c>
      <c r="E40" s="483">
        <v>0.2041</v>
      </c>
      <c r="F40" s="1162">
        <v>0</v>
      </c>
      <c r="G40" s="483">
        <v>0.2041</v>
      </c>
    </row>
    <row r="41" spans="1:7" ht="13">
      <c r="A41" s="2">
        <f t="shared" si="1"/>
        <v>23</v>
      </c>
      <c r="B41" s="233"/>
      <c r="C41" s="231">
        <v>391.4</v>
      </c>
      <c r="D41" s="805" t="s">
        <v>1583</v>
      </c>
      <c r="E41" s="483">
        <v>0.15049999999999999</v>
      </c>
      <c r="F41" s="1162">
        <v>0</v>
      </c>
      <c r="G41" s="483">
        <v>0.15049999999999999</v>
      </c>
    </row>
    <row r="42" spans="1:7" ht="13">
      <c r="A42" s="2">
        <f t="shared" si="1"/>
        <v>24</v>
      </c>
      <c r="B42" s="233"/>
      <c r="C42" s="233">
        <v>391.4</v>
      </c>
      <c r="D42" s="805" t="s">
        <v>1584</v>
      </c>
      <c r="E42" s="483">
        <v>0.15049999999999999</v>
      </c>
      <c r="F42" s="1162">
        <v>0</v>
      </c>
      <c r="G42" s="483">
        <v>0.15049999999999999</v>
      </c>
    </row>
    <row r="43" spans="1:7" ht="13">
      <c r="A43" s="2">
        <f t="shared" si="1"/>
        <v>25</v>
      </c>
      <c r="B43" s="233"/>
      <c r="C43" s="231">
        <v>391.4</v>
      </c>
      <c r="D43" s="805" t="s">
        <v>1585</v>
      </c>
      <c r="E43" s="483">
        <v>0.15049999999999999</v>
      </c>
      <c r="F43" s="1162">
        <v>0</v>
      </c>
      <c r="G43" s="483">
        <v>0.15049999999999999</v>
      </c>
    </row>
    <row r="44" spans="1:7" ht="13">
      <c r="A44" s="2">
        <f t="shared" si="1"/>
        <v>26</v>
      </c>
      <c r="B44" s="233"/>
      <c r="C44" s="231">
        <v>391.4</v>
      </c>
      <c r="D44" s="805" t="s">
        <v>1586</v>
      </c>
      <c r="E44" s="483">
        <v>0.15049999999999999</v>
      </c>
      <c r="F44" s="1162">
        <v>0</v>
      </c>
      <c r="G44" s="483">
        <v>0.15049999999999999</v>
      </c>
    </row>
    <row r="45" spans="1:7" ht="13">
      <c r="A45" s="2">
        <f t="shared" si="1"/>
        <v>27</v>
      </c>
      <c r="B45" s="233"/>
      <c r="C45" s="231">
        <v>391.4</v>
      </c>
      <c r="D45" s="805" t="s">
        <v>1587</v>
      </c>
      <c r="E45" s="483">
        <v>0.15049999999999999</v>
      </c>
      <c r="F45" s="1162">
        <v>0</v>
      </c>
      <c r="G45" s="483">
        <v>0.15049999999999999</v>
      </c>
    </row>
    <row r="46" spans="1:7" ht="13">
      <c r="A46" s="2">
        <f t="shared" si="1"/>
        <v>28</v>
      </c>
      <c r="B46" s="233"/>
      <c r="C46" s="231">
        <v>393</v>
      </c>
      <c r="D46" s="232" t="s">
        <v>1588</v>
      </c>
      <c r="E46" s="258">
        <v>0.05</v>
      </c>
      <c r="F46" s="258">
        <v>0</v>
      </c>
      <c r="G46" s="258">
        <v>0.05</v>
      </c>
    </row>
    <row r="47" spans="1:7" ht="13">
      <c r="A47" s="2">
        <f t="shared" si="1"/>
        <v>29</v>
      </c>
      <c r="B47" s="233"/>
      <c r="C47" s="231">
        <v>395</v>
      </c>
      <c r="D47" s="232" t="s">
        <v>1589</v>
      </c>
      <c r="E47" s="258">
        <v>6.6699999999999995E-2</v>
      </c>
      <c r="F47" s="258">
        <v>0</v>
      </c>
      <c r="G47" s="258">
        <v>6.6699999999999995E-2</v>
      </c>
    </row>
    <row r="48" spans="1:7" ht="13">
      <c r="A48" s="2">
        <f t="shared" si="1"/>
        <v>30</v>
      </c>
      <c r="B48" s="233"/>
      <c r="C48" s="231">
        <v>398</v>
      </c>
      <c r="D48" s="232" t="s">
        <v>1590</v>
      </c>
      <c r="E48" s="258">
        <v>0.05</v>
      </c>
      <c r="F48" s="258">
        <v>0</v>
      </c>
      <c r="G48" s="258">
        <v>0.05</v>
      </c>
    </row>
    <row r="49" spans="1:15" ht="13">
      <c r="A49" s="2">
        <f>A48+1</f>
        <v>31</v>
      </c>
      <c r="B49" s="233"/>
      <c r="C49" s="231">
        <v>397</v>
      </c>
      <c r="D49" s="232" t="s">
        <v>1591</v>
      </c>
      <c r="E49" s="258">
        <v>0.2</v>
      </c>
      <c r="F49" s="258">
        <v>0</v>
      </c>
      <c r="G49" s="258">
        <v>0.2</v>
      </c>
    </row>
    <row r="50" spans="1:15" ht="13">
      <c r="A50" s="2">
        <f t="shared" ref="A50:A65" si="2">A49+1</f>
        <v>32</v>
      </c>
      <c r="B50" s="233"/>
      <c r="C50" s="231">
        <v>397</v>
      </c>
      <c r="D50" s="232" t="s">
        <v>1592</v>
      </c>
      <c r="E50" s="258">
        <v>0.1429</v>
      </c>
      <c r="F50" s="258">
        <v>0</v>
      </c>
      <c r="G50" s="258">
        <v>0.1429</v>
      </c>
    </row>
    <row r="51" spans="1:15" ht="13">
      <c r="A51" s="2">
        <f t="shared" si="2"/>
        <v>33</v>
      </c>
      <c r="B51" s="233"/>
      <c r="C51" s="231">
        <v>397</v>
      </c>
      <c r="D51" s="232" t="s">
        <v>1593</v>
      </c>
      <c r="E51" s="258">
        <v>0.1</v>
      </c>
      <c r="F51" s="258">
        <v>0</v>
      </c>
      <c r="G51" s="258">
        <v>0.1</v>
      </c>
    </row>
    <row r="52" spans="1:15" ht="13">
      <c r="A52" s="2">
        <f t="shared" si="2"/>
        <v>34</v>
      </c>
      <c r="B52" s="233"/>
      <c r="C52" s="231">
        <v>397</v>
      </c>
      <c r="D52" s="232" t="s">
        <v>1594</v>
      </c>
      <c r="E52" s="258">
        <v>6.6699999999999995E-2</v>
      </c>
      <c r="F52" s="258">
        <v>0</v>
      </c>
      <c r="G52" s="258">
        <v>6.6699999999999995E-2</v>
      </c>
    </row>
    <row r="53" spans="1:15" ht="13">
      <c r="A53" s="2">
        <f t="shared" si="2"/>
        <v>35</v>
      </c>
      <c r="B53" s="233"/>
      <c r="C53" s="231">
        <v>397</v>
      </c>
      <c r="D53" s="232" t="s">
        <v>1595</v>
      </c>
      <c r="E53" s="1164">
        <v>0.05</v>
      </c>
      <c r="F53" s="258">
        <v>0</v>
      </c>
      <c r="G53" s="1164">
        <v>0.05</v>
      </c>
    </row>
    <row r="54" spans="1:15" ht="13">
      <c r="A54" s="2">
        <f t="shared" si="2"/>
        <v>36</v>
      </c>
      <c r="B54" s="233"/>
      <c r="C54" s="231">
        <v>397</v>
      </c>
      <c r="D54" s="232" t="s">
        <v>1596</v>
      </c>
      <c r="E54" s="258">
        <v>0.04</v>
      </c>
      <c r="F54" s="258">
        <v>0</v>
      </c>
      <c r="G54" s="258">
        <v>0.04</v>
      </c>
    </row>
    <row r="55" spans="1:15" ht="13">
      <c r="A55" s="2">
        <f t="shared" si="2"/>
        <v>37</v>
      </c>
      <c r="B55" s="233"/>
      <c r="C55" s="231">
        <v>397</v>
      </c>
      <c r="D55" s="232" t="s">
        <v>1597</v>
      </c>
      <c r="E55" s="258">
        <v>2.5000000000000001E-2</v>
      </c>
      <c r="F55" s="258">
        <v>0</v>
      </c>
      <c r="G55" s="258">
        <v>2.5000000000000001E-2</v>
      </c>
    </row>
    <row r="56" spans="1:15" ht="13">
      <c r="A56" s="2" t="s">
        <v>716</v>
      </c>
      <c r="B56" s="233"/>
      <c r="C56" s="231">
        <v>397.1</v>
      </c>
      <c r="D56" s="232" t="s">
        <v>1561</v>
      </c>
      <c r="E56" s="258">
        <v>0.2041</v>
      </c>
      <c r="F56" s="258">
        <v>0</v>
      </c>
      <c r="G56" s="258">
        <v>0.2041</v>
      </c>
    </row>
    <row r="57" spans="1:15" ht="13">
      <c r="A57" s="2" t="s">
        <v>1598</v>
      </c>
      <c r="B57" s="233"/>
      <c r="C57" s="231">
        <v>397.2</v>
      </c>
      <c r="D57" s="232" t="s">
        <v>1562</v>
      </c>
      <c r="E57" s="258">
        <v>0.19739999999999999</v>
      </c>
      <c r="F57" s="258">
        <v>0</v>
      </c>
      <c r="G57" s="258">
        <v>0.19739999999999999</v>
      </c>
    </row>
    <row r="58" spans="1:15" ht="13">
      <c r="A58" s="2" t="s">
        <v>1599</v>
      </c>
      <c r="B58" s="233"/>
      <c r="C58" s="231">
        <v>397.2</v>
      </c>
      <c r="D58" s="232" t="s">
        <v>1563</v>
      </c>
      <c r="E58" s="258">
        <v>0.1444</v>
      </c>
      <c r="F58" s="258">
        <v>0</v>
      </c>
      <c r="G58" s="258">
        <v>0.1444</v>
      </c>
      <c r="L58" s="12"/>
      <c r="M58" s="1102"/>
      <c r="N58" s="26"/>
      <c r="O58" s="1102"/>
    </row>
    <row r="59" spans="1:15" ht="13">
      <c r="A59" s="2" t="s">
        <v>1600</v>
      </c>
      <c r="B59" s="233"/>
      <c r="C59" s="231">
        <v>397.2</v>
      </c>
      <c r="D59" s="232" t="s">
        <v>1564</v>
      </c>
      <c r="E59" s="258">
        <v>0.13270000000000001</v>
      </c>
      <c r="F59" s="258">
        <v>0</v>
      </c>
      <c r="G59" s="258">
        <v>0.13270000000000001</v>
      </c>
      <c r="L59" s="12"/>
      <c r="M59" s="1102"/>
      <c r="N59" s="26"/>
      <c r="O59" s="26"/>
    </row>
    <row r="60" spans="1:15" ht="13">
      <c r="A60" s="2" t="s">
        <v>1601</v>
      </c>
      <c r="B60" s="233"/>
      <c r="C60" s="231">
        <v>397.2</v>
      </c>
      <c r="D60" s="232" t="s">
        <v>1565</v>
      </c>
      <c r="E60" s="258">
        <v>6.6600000000000006E-2</v>
      </c>
      <c r="F60" s="258">
        <v>0</v>
      </c>
      <c r="G60" s="258">
        <v>6.6600000000000006E-2</v>
      </c>
      <c r="L60" s="12"/>
      <c r="M60" s="1102"/>
      <c r="N60" s="26"/>
      <c r="O60" s="1102"/>
    </row>
    <row r="61" spans="1:15" ht="13">
      <c r="A61" s="2" t="s">
        <v>1602</v>
      </c>
      <c r="B61" s="233"/>
      <c r="C61" s="231">
        <v>397.3</v>
      </c>
      <c r="D61" s="232" t="s">
        <v>1566</v>
      </c>
      <c r="E61" s="258">
        <v>8.9300000000000004E-2</v>
      </c>
      <c r="F61" s="258">
        <v>0</v>
      </c>
      <c r="G61" s="258">
        <v>8.9300000000000004E-2</v>
      </c>
    </row>
    <row r="62" spans="1:15" ht="13">
      <c r="A62" s="2">
        <f>A55+1</f>
        <v>38</v>
      </c>
      <c r="B62" s="233"/>
      <c r="C62" s="25">
        <v>392</v>
      </c>
      <c r="D62" s="12" t="s">
        <v>1603</v>
      </c>
      <c r="E62" s="26">
        <v>0.1429</v>
      </c>
      <c r="F62" s="26">
        <v>0</v>
      </c>
      <c r="G62" s="26">
        <v>0.1429</v>
      </c>
    </row>
    <row r="63" spans="1:15" ht="13">
      <c r="A63" s="2">
        <f t="shared" si="2"/>
        <v>39</v>
      </c>
      <c r="B63" s="233"/>
      <c r="C63" s="231">
        <v>394.4</v>
      </c>
      <c r="D63" s="232" t="s">
        <v>1604</v>
      </c>
      <c r="E63" s="258">
        <v>0.1</v>
      </c>
      <c r="F63" s="258">
        <v>0</v>
      </c>
      <c r="G63" s="258">
        <v>0.1</v>
      </c>
    </row>
    <row r="64" spans="1:15" ht="13">
      <c r="A64" s="2">
        <f t="shared" si="2"/>
        <v>40</v>
      </c>
      <c r="B64" s="233"/>
      <c r="C64" s="231">
        <v>394.5</v>
      </c>
      <c r="D64" s="232" t="s">
        <v>1605</v>
      </c>
      <c r="E64" s="258">
        <v>0.1</v>
      </c>
      <c r="F64" s="258">
        <v>0</v>
      </c>
      <c r="G64" s="258">
        <v>0.1</v>
      </c>
    </row>
    <row r="65" spans="1:7" ht="13">
      <c r="A65" s="2">
        <f t="shared" si="2"/>
        <v>41</v>
      </c>
      <c r="B65" s="233"/>
      <c r="C65" s="231">
        <v>396</v>
      </c>
      <c r="D65" s="232" t="s">
        <v>1606</v>
      </c>
      <c r="E65" s="258">
        <v>6.6699999999999995E-2</v>
      </c>
      <c r="F65" s="258">
        <v>0</v>
      </c>
      <c r="G65" s="258">
        <v>6.6699999999999995E-2</v>
      </c>
    </row>
    <row r="66" spans="1:7">
      <c r="A66" s="233"/>
      <c r="B66" s="233"/>
      <c r="C66" s="233"/>
      <c r="D66" s="233"/>
      <c r="G66" s="233"/>
    </row>
    <row r="67" spans="1:7" ht="13">
      <c r="A67" s="233"/>
      <c r="B67" s="197" t="s">
        <v>1607</v>
      </c>
      <c r="C67" s="233"/>
      <c r="D67" s="233"/>
      <c r="E67" s="2" t="s">
        <v>692</v>
      </c>
      <c r="G67" s="233"/>
    </row>
    <row r="68" spans="1:7" ht="13">
      <c r="A68" s="233"/>
      <c r="B68" s="233"/>
      <c r="C68" s="115" t="s">
        <v>247</v>
      </c>
      <c r="D68" s="233"/>
      <c r="E68" s="2" t="s">
        <v>1556</v>
      </c>
      <c r="F68" s="4" t="s">
        <v>1434</v>
      </c>
      <c r="G68" s="4"/>
    </row>
    <row r="69" spans="1:7" ht="13">
      <c r="A69" s="233"/>
      <c r="B69" s="233"/>
      <c r="C69" s="184" t="s">
        <v>743</v>
      </c>
      <c r="D69" s="184" t="s">
        <v>878</v>
      </c>
      <c r="E69" s="3" t="s">
        <v>1557</v>
      </c>
      <c r="F69" s="3" t="s">
        <v>1558</v>
      </c>
      <c r="G69" s="3" t="s">
        <v>252</v>
      </c>
    </row>
    <row r="70" spans="1:7" ht="13">
      <c r="A70" s="2">
        <f>A65+1</f>
        <v>42</v>
      </c>
      <c r="B70" s="233"/>
      <c r="C70" s="231">
        <v>302</v>
      </c>
      <c r="D70" s="232" t="s">
        <v>1608</v>
      </c>
      <c r="E70" s="483">
        <v>1.77E-2</v>
      </c>
      <c r="F70" s="258">
        <v>0</v>
      </c>
      <c r="G70" s="483">
        <v>1.77E-2</v>
      </c>
    </row>
    <row r="71" spans="1:7" ht="13">
      <c r="A71" s="2">
        <f t="shared" ref="A71:A76" si="3">A70+1</f>
        <v>43</v>
      </c>
      <c r="B71" s="233"/>
      <c r="C71" s="231">
        <v>303</v>
      </c>
      <c r="D71" s="232" t="s">
        <v>1609</v>
      </c>
      <c r="E71" s="258">
        <v>2.5000000000000001E-2</v>
      </c>
      <c r="F71" s="258">
        <v>0</v>
      </c>
      <c r="G71" s="258">
        <v>2.5000000000000001E-2</v>
      </c>
    </row>
    <row r="72" spans="1:7" ht="13">
      <c r="A72" s="2">
        <f t="shared" si="3"/>
        <v>44</v>
      </c>
      <c r="B72" s="233"/>
      <c r="C72" s="231">
        <v>301</v>
      </c>
      <c r="D72" s="232" t="s">
        <v>1610</v>
      </c>
      <c r="E72" s="258">
        <v>0.05</v>
      </c>
      <c r="F72" s="258">
        <v>0</v>
      </c>
      <c r="G72" s="258">
        <v>0.05</v>
      </c>
    </row>
    <row r="73" spans="1:7" ht="13">
      <c r="A73" s="2">
        <f t="shared" si="3"/>
        <v>45</v>
      </c>
      <c r="B73" s="233"/>
      <c r="C73" s="231">
        <v>303</v>
      </c>
      <c r="D73" s="232" t="s">
        <v>1611</v>
      </c>
      <c r="E73" s="483">
        <v>0.19739999999999999</v>
      </c>
      <c r="F73" s="258">
        <v>0</v>
      </c>
      <c r="G73" s="483">
        <v>0.19739999999999999</v>
      </c>
    </row>
    <row r="74" spans="1:7" ht="13">
      <c r="A74" s="2">
        <f t="shared" si="3"/>
        <v>46</v>
      </c>
      <c r="B74" s="233"/>
      <c r="C74" s="231">
        <v>303</v>
      </c>
      <c r="D74" s="232" t="s">
        <v>1612</v>
      </c>
      <c r="E74" s="1162">
        <v>0.1444</v>
      </c>
      <c r="F74" s="258">
        <v>0</v>
      </c>
      <c r="G74" s="258">
        <v>0.1444</v>
      </c>
    </row>
    <row r="75" spans="1:7" ht="13">
      <c r="A75" s="2">
        <f t="shared" si="3"/>
        <v>47</v>
      </c>
      <c r="B75" s="233"/>
      <c r="C75" s="231">
        <v>303</v>
      </c>
      <c r="D75" s="232" t="s">
        <v>1613</v>
      </c>
      <c r="E75" s="483">
        <v>0.13270000000000001</v>
      </c>
      <c r="F75" s="258">
        <v>0</v>
      </c>
      <c r="G75" s="483">
        <v>0.13270000000000001</v>
      </c>
    </row>
    <row r="76" spans="1:7" ht="13">
      <c r="A76" s="2">
        <f t="shared" si="3"/>
        <v>48</v>
      </c>
      <c r="B76" s="233"/>
      <c r="C76" s="231">
        <v>303</v>
      </c>
      <c r="D76" s="232" t="s">
        <v>1614</v>
      </c>
      <c r="E76" s="483">
        <v>6.6600000000000006E-2</v>
      </c>
      <c r="F76" s="258">
        <v>0</v>
      </c>
      <c r="G76" s="483">
        <v>6.6600000000000006E-2</v>
      </c>
    </row>
    <row r="77" spans="1:7" ht="13">
      <c r="A77" s="2"/>
      <c r="B77" s="233"/>
      <c r="C77" s="231"/>
      <c r="D77" s="232"/>
      <c r="E77" s="258"/>
      <c r="F77" s="483"/>
    </row>
    <row r="79" spans="1:7" ht="13">
      <c r="B79" s="233" t="s">
        <v>1615</v>
      </c>
      <c r="C79" s="233"/>
    </row>
    <row r="80" spans="1:7">
      <c r="B80" s="233" t="s">
        <v>1616</v>
      </c>
      <c r="C80" s="233"/>
    </row>
    <row r="81" spans="2:9">
      <c r="B81" s="233" t="s">
        <v>3032</v>
      </c>
      <c r="G81" s="54" t="s">
        <v>3154</v>
      </c>
      <c r="H81" s="54"/>
      <c r="I81" s="54"/>
    </row>
    <row r="82" spans="2:9">
      <c r="B82" s="233" t="s">
        <v>3031</v>
      </c>
      <c r="G82" s="54" t="s">
        <v>3155</v>
      </c>
      <c r="H82" s="54"/>
    </row>
    <row r="84" spans="2:9">
      <c r="E84"/>
      <c r="F84"/>
    </row>
    <row r="85" spans="2:9">
      <c r="E85"/>
      <c r="F85"/>
    </row>
  </sheetData>
  <phoneticPr fontId="186" type="noConversion"/>
  <pageMargins left="0.7" right="0.7" top="0.75" bottom="0.75" header="0.3" footer="0.3"/>
  <pageSetup scale="61" orientation="portrait" cellComments="asDisplayed" r:id="rId1"/>
  <headerFooter>
    <oddHeader>&amp;CSchedule 18
Depreciation Rates
&amp;RTO2027 Draft Annual Update 
Attachment 1</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55"/>
  <sheetViews>
    <sheetView zoomScaleNormal="100" workbookViewId="0"/>
  </sheetViews>
  <sheetFormatPr defaultColWidth="9.453125" defaultRowHeight="12.5"/>
  <cols>
    <col min="1" max="1" width="5.54296875" style="241" customWidth="1"/>
    <col min="2" max="2" width="50.54296875" style="241" customWidth="1"/>
    <col min="3" max="3" width="18.1796875" style="241" customWidth="1"/>
    <col min="4" max="4" width="13.81640625" style="241" customWidth="1"/>
    <col min="5" max="5" width="15.1796875" style="241" customWidth="1"/>
    <col min="6" max="6" width="8.81640625" style="241" customWidth="1"/>
    <col min="7" max="7" width="13.81640625" style="444" customWidth="1"/>
    <col min="8" max="9" width="13.81640625" style="445" customWidth="1"/>
    <col min="10" max="10" width="15" style="241" customWidth="1"/>
    <col min="11" max="12" width="14.54296875" style="241" customWidth="1"/>
    <col min="13" max="13" width="14.81640625" style="233" customWidth="1"/>
    <col min="14" max="14" width="10.54296875" style="233" bestFit="1" customWidth="1"/>
    <col min="15" max="16384" width="9.453125" style="233"/>
  </cols>
  <sheetData>
    <row r="1" spans="1:13" ht="12.75" customHeight="1">
      <c r="A1" s="129" t="s">
        <v>1617</v>
      </c>
      <c r="C1" s="207"/>
      <c r="D1" s="208"/>
      <c r="E1" s="208"/>
      <c r="F1" s="208"/>
      <c r="G1" s="208"/>
      <c r="H1" s="208"/>
      <c r="I1" s="208"/>
      <c r="J1" s="208"/>
      <c r="K1" s="233"/>
      <c r="L1" s="233"/>
    </row>
    <row r="2" spans="1:13" ht="12.75" customHeight="1">
      <c r="A2" s="15"/>
      <c r="B2" s="666" t="s">
        <v>200</v>
      </c>
      <c r="C2" s="265" t="s">
        <v>1618</v>
      </c>
      <c r="D2" s="209"/>
      <c r="E2" s="208"/>
      <c r="F2" s="209"/>
      <c r="G2" s="367" t="s">
        <v>99</v>
      </c>
      <c r="H2" s="240"/>
      <c r="I2" s="208"/>
      <c r="J2" s="208"/>
      <c r="K2" s="208"/>
      <c r="L2" s="208"/>
    </row>
    <row r="3" spans="1:13" ht="12.75" customHeight="1">
      <c r="A3" s="210"/>
      <c r="B3" s="211" t="s">
        <v>1619</v>
      </c>
      <c r="C3" s="212"/>
      <c r="D3" s="212"/>
      <c r="E3" s="212"/>
      <c r="F3" s="212"/>
      <c r="G3" s="212"/>
      <c r="H3" s="212"/>
      <c r="I3" s="212"/>
      <c r="J3" s="212"/>
      <c r="K3" s="212"/>
      <c r="L3" s="213"/>
    </row>
    <row r="4" spans="1:13" ht="12.75" customHeight="1">
      <c r="A4" s="127"/>
      <c r="B4" s="15"/>
      <c r="C4" s="19"/>
      <c r="D4" s="19"/>
      <c r="E4" s="19"/>
      <c r="F4" s="19"/>
      <c r="G4" s="19"/>
      <c r="H4" s="19"/>
      <c r="I4" s="19"/>
      <c r="J4" s="19"/>
      <c r="K4" s="19"/>
      <c r="L4" s="208"/>
    </row>
    <row r="5" spans="1:13" ht="12.75" customHeight="1">
      <c r="A5" s="212"/>
      <c r="B5" s="214" t="s">
        <v>345</v>
      </c>
      <c r="C5" s="214" t="s">
        <v>346</v>
      </c>
      <c r="D5" s="214" t="s">
        <v>347</v>
      </c>
      <c r="E5" s="214" t="s">
        <v>348</v>
      </c>
      <c r="F5" s="214" t="s">
        <v>349</v>
      </c>
      <c r="G5" s="214" t="s">
        <v>350</v>
      </c>
      <c r="H5" s="214" t="s">
        <v>351</v>
      </c>
      <c r="I5" s="214" t="s">
        <v>352</v>
      </c>
      <c r="J5" s="214" t="s">
        <v>1620</v>
      </c>
      <c r="K5" s="214" t="s">
        <v>353</v>
      </c>
      <c r="L5" s="214" t="s">
        <v>603</v>
      </c>
      <c r="M5" s="214" t="s">
        <v>604</v>
      </c>
    </row>
    <row r="6" spans="1:13" ht="12.75" customHeight="1">
      <c r="A6" s="127"/>
      <c r="B6" s="15"/>
      <c r="C6" s="623" t="s">
        <v>1621</v>
      </c>
      <c r="D6" s="19"/>
      <c r="E6" s="19"/>
      <c r="F6" s="442" t="s">
        <v>168</v>
      </c>
      <c r="G6" s="623" t="s">
        <v>1622</v>
      </c>
      <c r="H6" s="131"/>
      <c r="I6" s="131"/>
      <c r="J6" s="624" t="s">
        <v>1623</v>
      </c>
      <c r="K6" s="623" t="s">
        <v>1624</v>
      </c>
      <c r="L6" s="623" t="s">
        <v>1625</v>
      </c>
      <c r="M6" s="624" t="s">
        <v>1626</v>
      </c>
    </row>
    <row r="7" spans="1:13" ht="12.75" customHeight="1">
      <c r="C7" s="833"/>
      <c r="D7" s="443"/>
      <c r="E7" s="443"/>
      <c r="F7" s="233"/>
      <c r="J7" s="458" t="s">
        <v>1627</v>
      </c>
    </row>
    <row r="8" spans="1:13" ht="13">
      <c r="A8" s="127"/>
      <c r="B8" s="1209" t="s">
        <v>1628</v>
      </c>
      <c r="C8" s="1211" t="s">
        <v>1629</v>
      </c>
      <c r="D8" s="1211"/>
      <c r="E8" s="1211"/>
      <c r="F8" s="215"/>
      <c r="G8" s="1212" t="s">
        <v>1630</v>
      </c>
      <c r="H8" s="1212"/>
      <c r="I8" s="1212"/>
      <c r="J8" s="825"/>
      <c r="K8" s="822"/>
      <c r="L8" s="823" t="s">
        <v>1631</v>
      </c>
      <c r="M8" s="824"/>
    </row>
    <row r="9" spans="1:13" ht="28.5" customHeight="1">
      <c r="A9" s="30"/>
      <c r="B9" s="1210"/>
      <c r="C9" s="216" t="s">
        <v>252</v>
      </c>
      <c r="D9" s="216" t="s">
        <v>869</v>
      </c>
      <c r="E9" s="216" t="s">
        <v>1632</v>
      </c>
      <c r="F9" s="216" t="s">
        <v>1633</v>
      </c>
      <c r="G9" s="216" t="s">
        <v>252</v>
      </c>
      <c r="H9" s="216" t="s">
        <v>869</v>
      </c>
      <c r="I9" s="216" t="s">
        <v>1632</v>
      </c>
      <c r="J9" s="942" t="s">
        <v>1634</v>
      </c>
      <c r="K9" s="216" t="s">
        <v>252</v>
      </c>
      <c r="L9" s="216" t="s">
        <v>869</v>
      </c>
      <c r="M9" s="216" t="s">
        <v>1632</v>
      </c>
    </row>
    <row r="10" spans="1:13" ht="13">
      <c r="A10" s="30" t="s">
        <v>282</v>
      </c>
      <c r="B10" s="147" t="s">
        <v>1635</v>
      </c>
      <c r="C10" s="19"/>
      <c r="D10" s="19"/>
      <c r="E10" s="19"/>
      <c r="F10" s="19"/>
      <c r="G10" s="19"/>
      <c r="H10" s="19"/>
      <c r="I10" s="19"/>
      <c r="K10" s="19"/>
      <c r="L10" s="19"/>
      <c r="M10" s="19"/>
    </row>
    <row r="11" spans="1:13" ht="13">
      <c r="A11" s="2">
        <v>1</v>
      </c>
      <c r="B11" s="243" t="s">
        <v>1636</v>
      </c>
      <c r="C11" s="446">
        <f>SUM(D11:E11)</f>
        <v>4459535.7700000033</v>
      </c>
      <c r="D11" s="975">
        <v>1501572.5400000014</v>
      </c>
      <c r="E11" s="975">
        <v>2957963.2300000023</v>
      </c>
      <c r="F11" s="976"/>
      <c r="G11" s="447">
        <f t="shared" ref="G11:G42" si="0">SUM(H11:I11)</f>
        <v>0</v>
      </c>
      <c r="H11" s="975"/>
      <c r="I11" s="975"/>
      <c r="J11" s="446">
        <f>'35-Other Formula Revenue'!G17</f>
        <v>22315.910363876486</v>
      </c>
      <c r="K11" s="446">
        <f>SUM(L11:M11)</f>
        <v>4481851.6803638805</v>
      </c>
      <c r="L11" s="446">
        <f>D11+H11</f>
        <v>1501572.5400000014</v>
      </c>
      <c r="M11" s="446">
        <f t="shared" ref="M11:M40" si="1">E11+I11+J11</f>
        <v>2980279.1403638786</v>
      </c>
    </row>
    <row r="12" spans="1:13" ht="13">
      <c r="A12" s="2">
        <f>A11+1</f>
        <v>2</v>
      </c>
      <c r="B12" s="243" t="s">
        <v>1637</v>
      </c>
      <c r="C12" s="446">
        <f>SUM(D12:E12)</f>
        <v>355740.47</v>
      </c>
      <c r="D12" s="975">
        <v>0</v>
      </c>
      <c r="E12" s="975">
        <v>355740.47</v>
      </c>
      <c r="F12" s="976"/>
      <c r="G12" s="447">
        <f t="shared" si="0"/>
        <v>0</v>
      </c>
      <c r="H12" s="975"/>
      <c r="I12" s="975"/>
      <c r="J12" s="446">
        <f>'35-Other Formula Revenue'!G18</f>
        <v>0</v>
      </c>
      <c r="K12" s="446">
        <f t="shared" ref="K12:K42" si="2">SUM(L12:M12)</f>
        <v>355740.47</v>
      </c>
      <c r="L12" s="446">
        <f t="shared" ref="L12:L40" si="3">D12+H12</f>
        <v>0</v>
      </c>
      <c r="M12" s="446">
        <f t="shared" si="1"/>
        <v>355740.47</v>
      </c>
    </row>
    <row r="13" spans="1:13" ht="13">
      <c r="A13" s="2">
        <f t="shared" ref="A13:A44" si="4">A12+1</f>
        <v>3</v>
      </c>
      <c r="B13" s="243" t="s">
        <v>1638</v>
      </c>
      <c r="C13" s="446">
        <f t="shared" ref="C13:C40" si="5">SUM(D13:E13)</f>
        <v>13400817.860000001</v>
      </c>
      <c r="D13" s="975">
        <v>11294031.610000001</v>
      </c>
      <c r="E13" s="975">
        <v>2106786.25</v>
      </c>
      <c r="F13" s="976"/>
      <c r="G13" s="447">
        <f t="shared" si="0"/>
        <v>0</v>
      </c>
      <c r="H13" s="975"/>
      <c r="I13" s="975"/>
      <c r="J13" s="446">
        <f>'35-Other Formula Revenue'!G19</f>
        <v>42674.362430767833</v>
      </c>
      <c r="K13" s="446">
        <f t="shared" si="2"/>
        <v>13443492.222430769</v>
      </c>
      <c r="L13" s="446">
        <f t="shared" si="3"/>
        <v>11294031.610000001</v>
      </c>
      <c r="M13" s="446">
        <f t="shared" si="1"/>
        <v>2149460.6124307676</v>
      </c>
    </row>
    <row r="14" spans="1:13" ht="13">
      <c r="A14" s="2">
        <f t="shared" si="4"/>
        <v>4</v>
      </c>
      <c r="B14" s="243" t="s">
        <v>1639</v>
      </c>
      <c r="C14" s="446">
        <f t="shared" si="5"/>
        <v>29503136.039999999</v>
      </c>
      <c r="D14" s="975">
        <v>0</v>
      </c>
      <c r="E14" s="975">
        <v>29503136.039999999</v>
      </c>
      <c r="F14" s="976" t="s">
        <v>1640</v>
      </c>
      <c r="G14" s="447">
        <f t="shared" si="0"/>
        <v>-29503136.039999995</v>
      </c>
      <c r="H14" s="975">
        <v>0</v>
      </c>
      <c r="I14" s="975">
        <v>-29503136.039999995</v>
      </c>
      <c r="J14" s="446">
        <f>'35-Other Formula Revenue'!G20</f>
        <v>0</v>
      </c>
      <c r="K14" s="446">
        <f t="shared" si="2"/>
        <v>3.7252902984619141E-9</v>
      </c>
      <c r="L14" s="446">
        <f t="shared" si="3"/>
        <v>0</v>
      </c>
      <c r="M14" s="446">
        <f t="shared" si="1"/>
        <v>3.7252902984619141E-9</v>
      </c>
    </row>
    <row r="15" spans="1:13" ht="13">
      <c r="A15" s="2">
        <f t="shared" si="4"/>
        <v>5</v>
      </c>
      <c r="B15" s="243" t="s">
        <v>1641</v>
      </c>
      <c r="C15" s="446">
        <f t="shared" si="5"/>
        <v>10529650.369999997</v>
      </c>
      <c r="D15" s="975">
        <v>4241567.1999999993</v>
      </c>
      <c r="E15" s="975">
        <v>6288083.1699999981</v>
      </c>
      <c r="F15" s="976"/>
      <c r="G15" s="447">
        <f t="shared" si="0"/>
        <v>0</v>
      </c>
      <c r="H15" s="975"/>
      <c r="I15" s="975"/>
      <c r="J15" s="446">
        <f>'35-Other Formula Revenue'!G21</f>
        <v>52441.221126858749</v>
      </c>
      <c r="K15" s="446">
        <f t="shared" si="2"/>
        <v>10582091.591126855</v>
      </c>
      <c r="L15" s="446">
        <f t="shared" si="3"/>
        <v>4241567.1999999993</v>
      </c>
      <c r="M15" s="446">
        <f t="shared" si="1"/>
        <v>6340524.3911268571</v>
      </c>
    </row>
    <row r="16" spans="1:13" ht="13">
      <c r="A16" s="2">
        <f t="shared" si="4"/>
        <v>6</v>
      </c>
      <c r="B16" s="243" t="s">
        <v>1642</v>
      </c>
      <c r="C16" s="446">
        <f t="shared" si="5"/>
        <v>22439950.239999942</v>
      </c>
      <c r="D16" s="975">
        <v>17565445.889999945</v>
      </c>
      <c r="E16" s="975">
        <v>4874504.3499999987</v>
      </c>
      <c r="F16" s="976"/>
      <c r="G16" s="447">
        <f t="shared" si="0"/>
        <v>0</v>
      </c>
      <c r="H16" s="975"/>
      <c r="I16" s="975"/>
      <c r="J16" s="446">
        <f>'35-Other Formula Revenue'!G22</f>
        <v>0</v>
      </c>
      <c r="K16" s="446">
        <f t="shared" si="2"/>
        <v>22439950.239999942</v>
      </c>
      <c r="L16" s="446">
        <f t="shared" si="3"/>
        <v>17565445.889999945</v>
      </c>
      <c r="M16" s="446">
        <f t="shared" si="1"/>
        <v>4874504.3499999987</v>
      </c>
    </row>
    <row r="17" spans="1:13" ht="13">
      <c r="A17" s="2">
        <f t="shared" si="4"/>
        <v>7</v>
      </c>
      <c r="B17" s="243" t="s">
        <v>1643</v>
      </c>
      <c r="C17" s="446">
        <f t="shared" si="5"/>
        <v>0</v>
      </c>
      <c r="D17" s="975">
        <v>0</v>
      </c>
      <c r="E17" s="975">
        <v>0</v>
      </c>
      <c r="F17" s="976" t="s">
        <v>1644</v>
      </c>
      <c r="G17" s="447">
        <f t="shared" si="0"/>
        <v>0</v>
      </c>
      <c r="H17" s="975">
        <v>0</v>
      </c>
      <c r="I17" s="975">
        <v>0</v>
      </c>
      <c r="J17" s="446">
        <f>'35-Other Formula Revenue'!G23</f>
        <v>0</v>
      </c>
      <c r="K17" s="446">
        <f t="shared" si="2"/>
        <v>0</v>
      </c>
      <c r="L17" s="446">
        <f t="shared" si="3"/>
        <v>0</v>
      </c>
      <c r="M17" s="446">
        <f t="shared" si="1"/>
        <v>0</v>
      </c>
    </row>
    <row r="18" spans="1:13" ht="13">
      <c r="A18" s="2">
        <f t="shared" si="4"/>
        <v>8</v>
      </c>
      <c r="B18" s="243" t="s">
        <v>1645</v>
      </c>
      <c r="C18" s="446">
        <f t="shared" si="5"/>
        <v>1088367.95</v>
      </c>
      <c r="D18" s="975">
        <v>0</v>
      </c>
      <c r="E18" s="975">
        <v>1088367.95</v>
      </c>
      <c r="F18" s="976"/>
      <c r="G18" s="447">
        <f t="shared" si="0"/>
        <v>0</v>
      </c>
      <c r="H18" s="975"/>
      <c r="I18" s="975"/>
      <c r="J18" s="446">
        <f>'35-Other Formula Revenue'!G24</f>
        <v>0</v>
      </c>
      <c r="K18" s="446">
        <f t="shared" si="2"/>
        <v>1088367.95</v>
      </c>
      <c r="L18" s="446">
        <f t="shared" si="3"/>
        <v>0</v>
      </c>
      <c r="M18" s="446">
        <f t="shared" si="1"/>
        <v>1088367.95</v>
      </c>
    </row>
    <row r="19" spans="1:13" ht="13">
      <c r="A19" s="2">
        <f t="shared" si="4"/>
        <v>9</v>
      </c>
      <c r="B19" s="243" t="s">
        <v>1646</v>
      </c>
      <c r="C19" s="446">
        <f t="shared" si="5"/>
        <v>32917955.440000035</v>
      </c>
      <c r="D19" s="975">
        <v>13050189.6</v>
      </c>
      <c r="E19" s="975">
        <v>19867765.840000037</v>
      </c>
      <c r="F19" s="976"/>
      <c r="G19" s="447">
        <f t="shared" si="0"/>
        <v>0</v>
      </c>
      <c r="H19" s="975"/>
      <c r="I19" s="975"/>
      <c r="J19" s="446">
        <f>'35-Other Formula Revenue'!G25</f>
        <v>360211.8156160537</v>
      </c>
      <c r="K19" s="446">
        <f t="shared" si="2"/>
        <v>33278167.255616091</v>
      </c>
      <c r="L19" s="446">
        <f t="shared" si="3"/>
        <v>13050189.6</v>
      </c>
      <c r="M19" s="446">
        <f t="shared" si="1"/>
        <v>20227977.65561609</v>
      </c>
    </row>
    <row r="20" spans="1:13" ht="13">
      <c r="A20" s="2">
        <f t="shared" si="4"/>
        <v>10</v>
      </c>
      <c r="B20" s="243" t="s">
        <v>1647</v>
      </c>
      <c r="C20" s="446">
        <f t="shared" si="5"/>
        <v>3345413.2</v>
      </c>
      <c r="D20" s="975">
        <v>2798719.66</v>
      </c>
      <c r="E20" s="975">
        <v>546693.53999999992</v>
      </c>
      <c r="F20" s="976"/>
      <c r="G20" s="447">
        <f>SUM(H20:I20)</f>
        <v>0</v>
      </c>
      <c r="H20" s="975"/>
      <c r="I20" s="975"/>
      <c r="J20" s="446">
        <f>'35-Other Formula Revenue'!G26</f>
        <v>0</v>
      </c>
      <c r="K20" s="446">
        <f t="shared" si="2"/>
        <v>3345413.2</v>
      </c>
      <c r="L20" s="446">
        <f t="shared" si="3"/>
        <v>2798719.66</v>
      </c>
      <c r="M20" s="446">
        <f t="shared" si="1"/>
        <v>546693.53999999992</v>
      </c>
    </row>
    <row r="21" spans="1:13" ht="13">
      <c r="A21" s="2">
        <f t="shared" si="4"/>
        <v>11</v>
      </c>
      <c r="B21" s="243" t="s">
        <v>1648</v>
      </c>
      <c r="C21" s="446">
        <f t="shared" si="5"/>
        <v>0</v>
      </c>
      <c r="D21" s="975">
        <v>0</v>
      </c>
      <c r="E21" s="975">
        <v>0</v>
      </c>
      <c r="F21" s="976"/>
      <c r="G21" s="447">
        <f t="shared" si="0"/>
        <v>0</v>
      </c>
      <c r="H21" s="975"/>
      <c r="I21" s="975"/>
      <c r="J21" s="446">
        <f>'35-Other Formula Revenue'!G27</f>
        <v>0</v>
      </c>
      <c r="K21" s="446">
        <f t="shared" si="2"/>
        <v>0</v>
      </c>
      <c r="L21" s="446">
        <f t="shared" si="3"/>
        <v>0</v>
      </c>
      <c r="M21" s="446">
        <f t="shared" si="1"/>
        <v>0</v>
      </c>
    </row>
    <row r="22" spans="1:13" ht="13">
      <c r="A22" s="2">
        <f t="shared" si="4"/>
        <v>12</v>
      </c>
      <c r="B22" s="243" t="s">
        <v>1649</v>
      </c>
      <c r="C22" s="446">
        <f t="shared" si="5"/>
        <v>23512319.859999999</v>
      </c>
      <c r="D22" s="975">
        <v>0</v>
      </c>
      <c r="E22" s="975">
        <v>23512319.859999999</v>
      </c>
      <c r="F22" s="976" t="s">
        <v>1650</v>
      </c>
      <c r="G22" s="447">
        <f t="shared" si="0"/>
        <v>-23512319.859999999</v>
      </c>
      <c r="H22" s="975">
        <v>0</v>
      </c>
      <c r="I22" s="975">
        <v>-23512319.859999999</v>
      </c>
      <c r="J22" s="446">
        <f>'35-Other Formula Revenue'!G28</f>
        <v>0</v>
      </c>
      <c r="K22" s="446">
        <f t="shared" si="2"/>
        <v>0</v>
      </c>
      <c r="L22" s="446">
        <f t="shared" si="3"/>
        <v>0</v>
      </c>
      <c r="M22" s="446">
        <f t="shared" si="1"/>
        <v>0</v>
      </c>
    </row>
    <row r="23" spans="1:13" ht="13">
      <c r="A23" s="2">
        <f t="shared" si="4"/>
        <v>13</v>
      </c>
      <c r="B23" s="243" t="s">
        <v>1651</v>
      </c>
      <c r="C23" s="446">
        <f t="shared" si="5"/>
        <v>340490.93</v>
      </c>
      <c r="D23" s="975">
        <v>0</v>
      </c>
      <c r="E23" s="975">
        <v>340490.93</v>
      </c>
      <c r="F23" s="976"/>
      <c r="G23" s="447">
        <f t="shared" si="0"/>
        <v>0</v>
      </c>
      <c r="H23" s="975"/>
      <c r="I23" s="975"/>
      <c r="J23" s="446">
        <f>'35-Other Formula Revenue'!G29</f>
        <v>0</v>
      </c>
      <c r="K23" s="446">
        <f t="shared" si="2"/>
        <v>340490.93</v>
      </c>
      <c r="L23" s="446">
        <f t="shared" si="3"/>
        <v>0</v>
      </c>
      <c r="M23" s="446">
        <f t="shared" si="1"/>
        <v>340490.93</v>
      </c>
    </row>
    <row r="24" spans="1:13" ht="13">
      <c r="A24" s="2">
        <f t="shared" si="4"/>
        <v>14</v>
      </c>
      <c r="B24" s="243" t="s">
        <v>1652</v>
      </c>
      <c r="C24" s="446">
        <f t="shared" si="5"/>
        <v>40427655.750000045</v>
      </c>
      <c r="D24" s="975">
        <v>25699790.330000047</v>
      </c>
      <c r="E24" s="975">
        <v>14727865.419999994</v>
      </c>
      <c r="F24" s="976" t="s">
        <v>1653</v>
      </c>
      <c r="G24" s="447">
        <f>SUM(H24:I24)</f>
        <v>-76794.159999999436</v>
      </c>
      <c r="H24" s="975">
        <v>-129588.64000000001</v>
      </c>
      <c r="I24" s="975">
        <v>52794.480000000578</v>
      </c>
      <c r="J24" s="446">
        <f>'35-Other Formula Revenue'!G30</f>
        <v>161175.2011322469</v>
      </c>
      <c r="K24" s="446">
        <f>SUM(L24:M24)</f>
        <v>40512036.791132286</v>
      </c>
      <c r="L24" s="446">
        <f t="shared" si="3"/>
        <v>25570201.690000046</v>
      </c>
      <c r="M24" s="446">
        <f t="shared" si="1"/>
        <v>14941835.101132242</v>
      </c>
    </row>
    <row r="25" spans="1:13" ht="13">
      <c r="A25" s="2">
        <f t="shared" si="4"/>
        <v>15</v>
      </c>
      <c r="B25" s="243" t="s">
        <v>1654</v>
      </c>
      <c r="C25" s="446">
        <f t="shared" si="5"/>
        <v>158394845.09000009</v>
      </c>
      <c r="D25" s="975">
        <v>490457.54999999981</v>
      </c>
      <c r="E25" s="975">
        <v>157904387.54000008</v>
      </c>
      <c r="F25" s="976" t="s">
        <v>1655</v>
      </c>
      <c r="G25" s="447">
        <f>SUM(H25:I25)</f>
        <v>-158394845.09000003</v>
      </c>
      <c r="H25" s="975">
        <v>-490457.5499999997</v>
      </c>
      <c r="I25" s="975">
        <v>-157904387.54000002</v>
      </c>
      <c r="J25" s="446">
        <f>'35-Other Formula Revenue'!G31</f>
        <v>0</v>
      </c>
      <c r="K25" s="446">
        <f t="shared" si="2"/>
        <v>5.9604644775390625E-8</v>
      </c>
      <c r="L25" s="446">
        <f t="shared" si="3"/>
        <v>0</v>
      </c>
      <c r="M25" s="446">
        <f t="shared" si="1"/>
        <v>5.9604644775390625E-8</v>
      </c>
    </row>
    <row r="26" spans="1:13" ht="13">
      <c r="A26" s="2">
        <f t="shared" si="4"/>
        <v>16</v>
      </c>
      <c r="B26" s="243" t="s">
        <v>1656</v>
      </c>
      <c r="C26" s="446">
        <f t="shared" si="5"/>
        <v>4216411.3199999994</v>
      </c>
      <c r="D26" s="975">
        <v>113191.91000000003</v>
      </c>
      <c r="E26" s="975">
        <v>4103219.4099999997</v>
      </c>
      <c r="F26" s="976"/>
      <c r="G26" s="447">
        <f t="shared" si="0"/>
        <v>0</v>
      </c>
      <c r="H26" s="975"/>
      <c r="I26" s="975"/>
      <c r="J26" s="446">
        <f>'35-Other Formula Revenue'!G32</f>
        <v>0</v>
      </c>
      <c r="K26" s="446">
        <f t="shared" si="2"/>
        <v>4216411.3199999994</v>
      </c>
      <c r="L26" s="446">
        <f t="shared" si="3"/>
        <v>113191.91000000003</v>
      </c>
      <c r="M26" s="446">
        <f t="shared" si="1"/>
        <v>4103219.4099999997</v>
      </c>
    </row>
    <row r="27" spans="1:13" ht="13">
      <c r="A27" s="2">
        <f t="shared" si="4"/>
        <v>17</v>
      </c>
      <c r="B27" s="243" t="s">
        <v>1657</v>
      </c>
      <c r="C27" s="446">
        <f t="shared" si="5"/>
        <v>20134561.020000003</v>
      </c>
      <c r="D27" s="975">
        <v>45208.090000000011</v>
      </c>
      <c r="E27" s="975">
        <v>20089352.930000003</v>
      </c>
      <c r="F27" s="976"/>
      <c r="G27" s="447">
        <f t="shared" si="0"/>
        <v>0</v>
      </c>
      <c r="H27" s="975"/>
      <c r="I27" s="975"/>
      <c r="J27" s="446">
        <f>'35-Other Formula Revenue'!G33</f>
        <v>1469066.8805167449</v>
      </c>
      <c r="K27" s="446">
        <f t="shared" si="2"/>
        <v>21603627.900516748</v>
      </c>
      <c r="L27" s="446">
        <f t="shared" si="3"/>
        <v>45208.090000000011</v>
      </c>
      <c r="M27" s="446">
        <f t="shared" si="1"/>
        <v>21558419.810516749</v>
      </c>
    </row>
    <row r="28" spans="1:13" ht="13">
      <c r="A28" s="2">
        <f t="shared" si="4"/>
        <v>18</v>
      </c>
      <c r="B28" s="243" t="s">
        <v>1658</v>
      </c>
      <c r="C28" s="446">
        <f t="shared" si="5"/>
        <v>42821.100000000006</v>
      </c>
      <c r="D28" s="975">
        <v>0</v>
      </c>
      <c r="E28" s="975">
        <v>42821.100000000006</v>
      </c>
      <c r="F28" s="976"/>
      <c r="G28" s="447">
        <f t="shared" si="0"/>
        <v>0</v>
      </c>
      <c r="H28" s="975"/>
      <c r="I28" s="975"/>
      <c r="J28" s="446">
        <f>'35-Other Formula Revenue'!G34</f>
        <v>0</v>
      </c>
      <c r="K28" s="446">
        <f t="shared" si="2"/>
        <v>42821.100000000006</v>
      </c>
      <c r="L28" s="446">
        <f t="shared" si="3"/>
        <v>0</v>
      </c>
      <c r="M28" s="446">
        <f t="shared" si="1"/>
        <v>42821.100000000006</v>
      </c>
    </row>
    <row r="29" spans="1:13" ht="13">
      <c r="A29" s="2">
        <f t="shared" si="4"/>
        <v>19</v>
      </c>
      <c r="B29" s="243" t="s">
        <v>1659</v>
      </c>
      <c r="C29" s="446">
        <f t="shared" si="5"/>
        <v>438002.54999999993</v>
      </c>
      <c r="D29" s="975">
        <v>0</v>
      </c>
      <c r="E29" s="975">
        <v>438002.54999999993</v>
      </c>
      <c r="F29" s="976"/>
      <c r="G29" s="447">
        <f t="shared" si="0"/>
        <v>0</v>
      </c>
      <c r="H29" s="975"/>
      <c r="I29" s="975"/>
      <c r="J29" s="446">
        <f>'35-Other Formula Revenue'!G35</f>
        <v>0</v>
      </c>
      <c r="K29" s="446">
        <f t="shared" ref="K29" si="6">SUM(L29:M29)</f>
        <v>438002.54999999993</v>
      </c>
      <c r="L29" s="446">
        <f t="shared" si="3"/>
        <v>0</v>
      </c>
      <c r="M29" s="446">
        <f t="shared" si="1"/>
        <v>438002.54999999993</v>
      </c>
    </row>
    <row r="30" spans="1:13" ht="13">
      <c r="A30" s="2">
        <f t="shared" si="4"/>
        <v>20</v>
      </c>
      <c r="B30" s="243" t="s">
        <v>1660</v>
      </c>
      <c r="C30" s="446">
        <f t="shared" si="5"/>
        <v>1028665.2899999993</v>
      </c>
      <c r="D30" s="975">
        <v>878759.1099999994</v>
      </c>
      <c r="E30" s="975">
        <v>149906.18</v>
      </c>
      <c r="F30" s="976"/>
      <c r="G30" s="447">
        <f t="shared" si="0"/>
        <v>0</v>
      </c>
      <c r="H30" s="975"/>
      <c r="I30" s="975"/>
      <c r="J30" s="446">
        <f>'35-Other Formula Revenue'!G36</f>
        <v>4272.7064667446803</v>
      </c>
      <c r="K30" s="446">
        <f t="shared" si="2"/>
        <v>1032937.9964667441</v>
      </c>
      <c r="L30" s="446">
        <f t="shared" si="3"/>
        <v>878759.1099999994</v>
      </c>
      <c r="M30" s="446">
        <f t="shared" si="1"/>
        <v>154178.88646674468</v>
      </c>
    </row>
    <row r="31" spans="1:13" ht="13">
      <c r="A31" s="2">
        <f t="shared" si="4"/>
        <v>21</v>
      </c>
      <c r="B31" s="243" t="s">
        <v>1661</v>
      </c>
      <c r="C31" s="446">
        <f t="shared" si="5"/>
        <v>242782.78</v>
      </c>
      <c r="D31" s="975">
        <v>0</v>
      </c>
      <c r="E31" s="975">
        <v>242782.78</v>
      </c>
      <c r="F31" s="976"/>
      <c r="G31" s="447">
        <f t="shared" si="0"/>
        <v>0</v>
      </c>
      <c r="H31" s="975"/>
      <c r="I31" s="975"/>
      <c r="J31" s="446">
        <f>'35-Other Formula Revenue'!G37</f>
        <v>0</v>
      </c>
      <c r="K31" s="446">
        <f t="shared" si="2"/>
        <v>242782.78</v>
      </c>
      <c r="L31" s="446">
        <f t="shared" si="3"/>
        <v>0</v>
      </c>
      <c r="M31" s="446">
        <f t="shared" si="1"/>
        <v>242782.78</v>
      </c>
    </row>
    <row r="32" spans="1:13" ht="13">
      <c r="A32" s="2">
        <f t="shared" si="4"/>
        <v>22</v>
      </c>
      <c r="B32" s="243" t="s">
        <v>1662</v>
      </c>
      <c r="C32" s="446">
        <f t="shared" si="5"/>
        <v>7536243.3800000008</v>
      </c>
      <c r="D32" s="975">
        <v>1938545.96</v>
      </c>
      <c r="E32" s="975">
        <v>5597697.4200000009</v>
      </c>
      <c r="F32" s="976" t="s">
        <v>1663</v>
      </c>
      <c r="G32" s="447">
        <f t="shared" si="0"/>
        <v>-138375</v>
      </c>
      <c r="H32" s="975">
        <v>0</v>
      </c>
      <c r="I32" s="975">
        <v>-138375</v>
      </c>
      <c r="J32" s="446">
        <f>'35-Other Formula Revenue'!G38</f>
        <v>0</v>
      </c>
      <c r="K32" s="446">
        <f t="shared" si="2"/>
        <v>7397868.3800000008</v>
      </c>
      <c r="L32" s="446">
        <f t="shared" si="3"/>
        <v>1938545.96</v>
      </c>
      <c r="M32" s="446">
        <f t="shared" si="1"/>
        <v>5459322.4200000009</v>
      </c>
    </row>
    <row r="33" spans="1:13" ht="13">
      <c r="A33" s="2">
        <f>A32+1</f>
        <v>23</v>
      </c>
      <c r="B33" s="243" t="s">
        <v>1664</v>
      </c>
      <c r="C33" s="446">
        <f t="shared" si="5"/>
        <v>545793.31999999995</v>
      </c>
      <c r="D33" s="975">
        <v>0</v>
      </c>
      <c r="E33" s="975">
        <v>545793.31999999995</v>
      </c>
      <c r="F33" s="976"/>
      <c r="G33" s="447">
        <f t="shared" si="0"/>
        <v>0</v>
      </c>
      <c r="H33" s="975"/>
      <c r="I33" s="975"/>
      <c r="J33" s="446">
        <f>'35-Other Formula Revenue'!G39</f>
        <v>0</v>
      </c>
      <c r="K33" s="446">
        <f t="shared" si="2"/>
        <v>545793.31999999995</v>
      </c>
      <c r="L33" s="446">
        <f t="shared" si="3"/>
        <v>0</v>
      </c>
      <c r="M33" s="446">
        <f t="shared" si="1"/>
        <v>545793.31999999995</v>
      </c>
    </row>
    <row r="34" spans="1:13" ht="13">
      <c r="A34" s="2">
        <f t="shared" si="4"/>
        <v>24</v>
      </c>
      <c r="B34" s="243" t="s">
        <v>1665</v>
      </c>
      <c r="C34" s="446">
        <f t="shared" si="5"/>
        <v>9746720.5700000077</v>
      </c>
      <c r="D34" s="975">
        <v>5993535.9500000086</v>
      </c>
      <c r="E34" s="975">
        <v>3753184.6199999987</v>
      </c>
      <c r="F34" s="976"/>
      <c r="G34" s="447">
        <f t="shared" si="0"/>
        <v>0</v>
      </c>
      <c r="H34" s="975"/>
      <c r="I34" s="975"/>
      <c r="J34" s="446">
        <f>'35-Other Formula Revenue'!G40</f>
        <v>0</v>
      </c>
      <c r="K34" s="446">
        <f t="shared" si="2"/>
        <v>9746720.5700000077</v>
      </c>
      <c r="L34" s="446">
        <f t="shared" si="3"/>
        <v>5993535.9500000086</v>
      </c>
      <c r="M34" s="446">
        <f t="shared" si="1"/>
        <v>3753184.6199999987</v>
      </c>
    </row>
    <row r="35" spans="1:13" ht="13">
      <c r="A35" s="2">
        <f t="shared" si="4"/>
        <v>25</v>
      </c>
      <c r="B35" s="243" t="s">
        <v>1666</v>
      </c>
      <c r="C35" s="446">
        <f t="shared" si="5"/>
        <v>1718004.6600000001</v>
      </c>
      <c r="D35" s="975">
        <v>0</v>
      </c>
      <c r="E35" s="975">
        <v>1718004.6600000001</v>
      </c>
      <c r="F35" s="976"/>
      <c r="G35" s="447">
        <f t="shared" si="0"/>
        <v>0</v>
      </c>
      <c r="H35" s="975"/>
      <c r="I35" s="975"/>
      <c r="J35" s="446">
        <f>'35-Other Formula Revenue'!G41</f>
        <v>0</v>
      </c>
      <c r="K35" s="446">
        <f t="shared" si="2"/>
        <v>1718004.6600000001</v>
      </c>
      <c r="L35" s="446">
        <f t="shared" si="3"/>
        <v>0</v>
      </c>
      <c r="M35" s="446">
        <f t="shared" si="1"/>
        <v>1718004.6600000001</v>
      </c>
    </row>
    <row r="36" spans="1:13" ht="13">
      <c r="A36" s="2">
        <f t="shared" si="4"/>
        <v>26</v>
      </c>
      <c r="B36" s="243" t="s">
        <v>1667</v>
      </c>
      <c r="C36" s="446">
        <f t="shared" si="5"/>
        <v>75146499.069999918</v>
      </c>
      <c r="D36" s="975">
        <v>14962127.499999961</v>
      </c>
      <c r="E36" s="975">
        <v>60184371.569999956</v>
      </c>
      <c r="F36" s="976" t="s">
        <v>1653</v>
      </c>
      <c r="G36" s="447">
        <f t="shared" si="0"/>
        <v>0</v>
      </c>
      <c r="H36" s="975">
        <v>0</v>
      </c>
      <c r="I36" s="975">
        <v>0</v>
      </c>
      <c r="J36" s="446">
        <f>'35-Other Formula Revenue'!G42</f>
        <v>501959.32981062616</v>
      </c>
      <c r="K36" s="446">
        <f t="shared" si="2"/>
        <v>75648458.399810538</v>
      </c>
      <c r="L36" s="446">
        <f t="shared" si="3"/>
        <v>14962127.499999961</v>
      </c>
      <c r="M36" s="446">
        <f t="shared" si="1"/>
        <v>60686330.899810582</v>
      </c>
    </row>
    <row r="37" spans="1:13" ht="13">
      <c r="A37" s="2">
        <f t="shared" si="4"/>
        <v>27</v>
      </c>
      <c r="B37" s="243" t="s">
        <v>1668</v>
      </c>
      <c r="C37" s="446">
        <f t="shared" si="5"/>
        <v>410878.93</v>
      </c>
      <c r="D37" s="975">
        <v>0</v>
      </c>
      <c r="E37" s="975">
        <v>410878.93</v>
      </c>
      <c r="F37" s="976"/>
      <c r="G37" s="447">
        <f t="shared" si="0"/>
        <v>0</v>
      </c>
      <c r="H37" s="975"/>
      <c r="I37" s="975"/>
      <c r="J37" s="446">
        <f>'35-Other Formula Revenue'!G43</f>
        <v>0</v>
      </c>
      <c r="K37" s="446">
        <f t="shared" si="2"/>
        <v>410878.93</v>
      </c>
      <c r="L37" s="446">
        <f t="shared" si="3"/>
        <v>0</v>
      </c>
      <c r="M37" s="446">
        <f t="shared" si="1"/>
        <v>410878.93</v>
      </c>
    </row>
    <row r="38" spans="1:13" ht="13">
      <c r="A38" s="2">
        <f t="shared" si="4"/>
        <v>28</v>
      </c>
      <c r="B38" s="243" t="s">
        <v>1669</v>
      </c>
      <c r="C38" s="446">
        <f t="shared" si="5"/>
        <v>877134.51999999955</v>
      </c>
      <c r="D38" s="975">
        <v>375224.64</v>
      </c>
      <c r="E38" s="975">
        <v>501909.8799999996</v>
      </c>
      <c r="F38" s="976"/>
      <c r="G38" s="447">
        <f t="shared" si="0"/>
        <v>0</v>
      </c>
      <c r="H38" s="975"/>
      <c r="I38" s="975"/>
      <c r="J38" s="446">
        <f>'35-Other Formula Revenue'!G44</f>
        <v>0</v>
      </c>
      <c r="K38" s="446">
        <f t="shared" si="2"/>
        <v>877134.51999999955</v>
      </c>
      <c r="L38" s="446">
        <f t="shared" si="3"/>
        <v>375224.64</v>
      </c>
      <c r="M38" s="446">
        <f t="shared" si="1"/>
        <v>501909.8799999996</v>
      </c>
    </row>
    <row r="39" spans="1:13" ht="13">
      <c r="A39" s="2">
        <f t="shared" si="4"/>
        <v>29</v>
      </c>
      <c r="B39" s="243" t="s">
        <v>1670</v>
      </c>
      <c r="C39" s="446">
        <f t="shared" si="5"/>
        <v>6934.13</v>
      </c>
      <c r="D39" s="975">
        <v>0</v>
      </c>
      <c r="E39" s="975">
        <v>6934.13</v>
      </c>
      <c r="F39" s="976"/>
      <c r="G39" s="447">
        <f t="shared" si="0"/>
        <v>0</v>
      </c>
      <c r="H39" s="975"/>
      <c r="I39" s="975"/>
      <c r="J39" s="446">
        <f>'35-Other Formula Revenue'!G45</f>
        <v>0</v>
      </c>
      <c r="K39" s="446">
        <f t="shared" si="2"/>
        <v>6934.13</v>
      </c>
      <c r="L39" s="446">
        <f t="shared" si="3"/>
        <v>0</v>
      </c>
      <c r="M39" s="446">
        <f t="shared" si="1"/>
        <v>6934.13</v>
      </c>
    </row>
    <row r="40" spans="1:13" ht="13">
      <c r="A40" s="2">
        <f t="shared" si="4"/>
        <v>30</v>
      </c>
      <c r="B40" s="243" t="s">
        <v>1671</v>
      </c>
      <c r="C40" s="446">
        <f t="shared" si="5"/>
        <v>70858727.499999881</v>
      </c>
      <c r="D40" s="975">
        <v>5349539.2099999953</v>
      </c>
      <c r="E40" s="975">
        <v>65509188.28999988</v>
      </c>
      <c r="F40" s="976"/>
      <c r="G40" s="447">
        <f t="shared" si="0"/>
        <v>0</v>
      </c>
      <c r="H40" s="975"/>
      <c r="I40" s="975"/>
      <c r="J40" s="446">
        <f>'35-Other Formula Revenue'!G46</f>
        <v>14621.525463293581</v>
      </c>
      <c r="K40" s="446">
        <f t="shared" si="2"/>
        <v>70873349.025463164</v>
      </c>
      <c r="L40" s="446">
        <f t="shared" si="3"/>
        <v>5349539.2099999953</v>
      </c>
      <c r="M40" s="446">
        <f t="shared" si="1"/>
        <v>65523809.81546317</v>
      </c>
    </row>
    <row r="41" spans="1:13" ht="13">
      <c r="A41" s="2">
        <f t="shared" si="4"/>
        <v>31</v>
      </c>
      <c r="B41" s="266" t="s">
        <v>639</v>
      </c>
      <c r="C41" s="449" t="s">
        <v>389</v>
      </c>
      <c r="D41" s="449" t="s">
        <v>389</v>
      </c>
      <c r="E41" s="449" t="s">
        <v>389</v>
      </c>
      <c r="F41" s="449" t="s">
        <v>389</v>
      </c>
      <c r="G41" s="447">
        <f t="shared" si="0"/>
        <v>0</v>
      </c>
      <c r="H41" s="449" t="s">
        <v>389</v>
      </c>
      <c r="I41" s="449" t="s">
        <v>389</v>
      </c>
      <c r="J41" s="943">
        <v>0</v>
      </c>
      <c r="K41" s="943">
        <v>0</v>
      </c>
      <c r="L41" s="943">
        <v>0</v>
      </c>
      <c r="M41" s="943">
        <v>0</v>
      </c>
    </row>
    <row r="42" spans="1:13" ht="13">
      <c r="A42" s="2">
        <f t="shared" si="4"/>
        <v>32</v>
      </c>
      <c r="B42" s="243" t="s">
        <v>1672</v>
      </c>
      <c r="C42" s="450">
        <v>0</v>
      </c>
      <c r="D42" s="450">
        <v>0</v>
      </c>
      <c r="E42" s="450">
        <v>0</v>
      </c>
      <c r="F42" s="461"/>
      <c r="G42" s="451">
        <f t="shared" si="0"/>
        <v>-1035711.2347429577</v>
      </c>
      <c r="H42" s="452">
        <f>+C64*C144</f>
        <v>-1035711.2347429577</v>
      </c>
      <c r="I42" s="452">
        <v>0</v>
      </c>
      <c r="J42" s="827">
        <f>'35-Other Formula Revenue'!G47</f>
        <v>0</v>
      </c>
      <c r="K42" s="827">
        <f t="shared" si="2"/>
        <v>-1035711.2347429577</v>
      </c>
      <c r="L42" s="827">
        <f>D42+H42</f>
        <v>-1035711.2347429577</v>
      </c>
      <c r="M42" s="827">
        <f>E42+I42+J42</f>
        <v>0</v>
      </c>
    </row>
    <row r="43" spans="1:13" ht="13">
      <c r="A43" s="2">
        <f t="shared" si="4"/>
        <v>33</v>
      </c>
      <c r="B43" s="127" t="s">
        <v>1673</v>
      </c>
      <c r="C43" s="446">
        <f>SUM(C11:C42)</f>
        <v>533666059.10999995</v>
      </c>
      <c r="D43" s="453">
        <f>SUM(D11:D42)</f>
        <v>106297906.74999994</v>
      </c>
      <c r="E43" s="453">
        <f>SUM(E11:E42)</f>
        <v>427368152.36000001</v>
      </c>
      <c r="F43" s="454"/>
      <c r="G43" s="454">
        <f t="shared" ref="G43:M43" si="7">SUM(G11:G42)</f>
        <v>-212661181.38474301</v>
      </c>
      <c r="H43" s="455">
        <f t="shared" si="7"/>
        <v>-1655757.4247429576</v>
      </c>
      <c r="I43" s="455">
        <f t="shared" si="7"/>
        <v>-211005423.96000001</v>
      </c>
      <c r="J43" s="455">
        <f t="shared" si="7"/>
        <v>2628738.9529272132</v>
      </c>
      <c r="K43" s="455">
        <f t="shared" si="7"/>
        <v>323633616.67818421</v>
      </c>
      <c r="L43" s="455">
        <f t="shared" si="7"/>
        <v>104642149.32525699</v>
      </c>
      <c r="M43" s="455">
        <f t="shared" si="7"/>
        <v>218991467.35292715</v>
      </c>
    </row>
    <row r="44" spans="1:13" ht="13">
      <c r="A44" s="2">
        <f t="shared" si="4"/>
        <v>34</v>
      </c>
      <c r="D44" s="456"/>
      <c r="E44" s="456"/>
      <c r="F44" s="457"/>
      <c r="G44" s="458"/>
      <c r="H44" s="459"/>
      <c r="I44" s="459"/>
      <c r="J44" s="300"/>
      <c r="K44" s="300"/>
      <c r="L44" s="300"/>
    </row>
    <row r="45" spans="1:13" ht="13">
      <c r="A45" s="2"/>
      <c r="B45" s="127"/>
      <c r="C45" s="456"/>
      <c r="D45" s="456"/>
      <c r="E45" s="456"/>
      <c r="F45" s="457"/>
      <c r="G45" s="460"/>
      <c r="H45" s="456"/>
      <c r="I45" s="456"/>
      <c r="J45" s="456"/>
      <c r="K45" s="456"/>
      <c r="L45" s="456"/>
    </row>
    <row r="46" spans="1:13" ht="13">
      <c r="A46" s="2"/>
      <c r="B46" s="214" t="s">
        <v>345</v>
      </c>
      <c r="C46" s="214" t="s">
        <v>346</v>
      </c>
      <c r="D46" s="214" t="s">
        <v>347</v>
      </c>
      <c r="E46" s="214" t="s">
        <v>348</v>
      </c>
      <c r="F46" s="214" t="s">
        <v>349</v>
      </c>
      <c r="G46" s="214" t="s">
        <v>350</v>
      </c>
      <c r="H46" s="214" t="s">
        <v>351</v>
      </c>
      <c r="I46" s="214" t="s">
        <v>352</v>
      </c>
      <c r="J46" s="214" t="s">
        <v>353</v>
      </c>
      <c r="K46" s="214" t="s">
        <v>603</v>
      </c>
      <c r="L46" s="214" t="s">
        <v>604</v>
      </c>
    </row>
    <row r="47" spans="1:13" ht="13">
      <c r="A47" s="2"/>
      <c r="B47" s="127"/>
      <c r="C47" s="623" t="s">
        <v>1621</v>
      </c>
      <c r="D47" s="19"/>
      <c r="E47" s="19"/>
      <c r="F47" s="442" t="s">
        <v>168</v>
      </c>
      <c r="G47" s="623" t="s">
        <v>1622</v>
      </c>
      <c r="H47" s="131"/>
      <c r="I47" s="131"/>
      <c r="J47" s="623" t="s">
        <v>1624</v>
      </c>
      <c r="K47" s="623" t="s">
        <v>1625</v>
      </c>
      <c r="L47" s="624" t="s">
        <v>1674</v>
      </c>
    </row>
    <row r="48" spans="1:13" ht="13">
      <c r="A48" s="2"/>
      <c r="D48" s="456"/>
      <c r="E48" s="456"/>
      <c r="F48" s="457"/>
      <c r="G48" s="458"/>
      <c r="H48" s="456"/>
      <c r="I48" s="456"/>
      <c r="J48" s="300"/>
      <c r="K48" s="300"/>
      <c r="L48" s="300"/>
    </row>
    <row r="49" spans="1:12" ht="13">
      <c r="A49" s="2"/>
      <c r="B49" s="1209" t="s">
        <v>1628</v>
      </c>
      <c r="C49" s="1211" t="s">
        <v>1629</v>
      </c>
      <c r="D49" s="1211"/>
      <c r="E49" s="1211"/>
      <c r="F49" s="215"/>
      <c r="G49" s="1212" t="s">
        <v>1630</v>
      </c>
      <c r="H49" s="1212"/>
      <c r="I49" s="1215"/>
      <c r="J49" s="1214" t="s">
        <v>1631</v>
      </c>
      <c r="K49" s="1212"/>
      <c r="L49" s="1215"/>
    </row>
    <row r="50" spans="1:12" ht="13">
      <c r="A50" s="2"/>
      <c r="B50" s="1210"/>
      <c r="C50" s="216" t="s">
        <v>252</v>
      </c>
      <c r="D50" s="216" t="s">
        <v>869</v>
      </c>
      <c r="E50" s="216" t="s">
        <v>1632</v>
      </c>
      <c r="F50" s="216" t="s">
        <v>1633</v>
      </c>
      <c r="G50" s="216" t="s">
        <v>252</v>
      </c>
      <c r="H50" s="216" t="s">
        <v>869</v>
      </c>
      <c r="I50" s="216" t="s">
        <v>1632</v>
      </c>
      <c r="J50" s="216" t="s">
        <v>252</v>
      </c>
      <c r="K50" s="216" t="s">
        <v>869</v>
      </c>
      <c r="L50" s="216" t="s">
        <v>1632</v>
      </c>
    </row>
    <row r="51" spans="1:12" ht="13">
      <c r="A51" s="2"/>
      <c r="B51" s="147" t="s">
        <v>1675</v>
      </c>
      <c r="C51" s="19"/>
      <c r="D51" s="19"/>
      <c r="E51" s="19"/>
      <c r="F51" s="19"/>
      <c r="G51" s="19"/>
      <c r="H51" s="19"/>
      <c r="I51" s="19"/>
      <c r="J51" s="19"/>
      <c r="K51" s="19"/>
      <c r="L51" s="19"/>
    </row>
    <row r="52" spans="1:12" ht="13">
      <c r="A52" s="2">
        <f>A44+1</f>
        <v>35</v>
      </c>
      <c r="B52" s="243" t="s">
        <v>1676</v>
      </c>
      <c r="C52" s="300">
        <f t="shared" ref="C52:C56" si="8">SUM(D52:E52)</f>
        <v>31251731.130000055</v>
      </c>
      <c r="D52" s="975">
        <v>23045109.320000052</v>
      </c>
      <c r="E52" s="975">
        <v>8206621.8100000015</v>
      </c>
      <c r="F52" s="976"/>
      <c r="G52" s="458">
        <f t="shared" ref="G52:G56" si="9">SUM(H52:I52)</f>
        <v>0</v>
      </c>
      <c r="H52" s="975"/>
      <c r="I52" s="975"/>
      <c r="J52" s="300">
        <f t="shared" ref="J52:J56" si="10">SUM(K52:L52)</f>
        <v>31251731.130000055</v>
      </c>
      <c r="K52" s="300">
        <f t="shared" ref="K52:L57" si="11">D52+H52</f>
        <v>23045109.320000052</v>
      </c>
      <c r="L52" s="300">
        <f t="shared" si="11"/>
        <v>8206621.8100000015</v>
      </c>
    </row>
    <row r="53" spans="1:12" ht="13">
      <c r="A53" s="2">
        <f t="shared" ref="A53:A62" si="12">A52+1</f>
        <v>36</v>
      </c>
      <c r="B53" s="243" t="s">
        <v>1677</v>
      </c>
      <c r="C53" s="300">
        <f t="shared" si="8"/>
        <v>1091542.1500000001</v>
      </c>
      <c r="D53" s="975">
        <v>891048.84000000008</v>
      </c>
      <c r="E53" s="975">
        <v>200493.31000000003</v>
      </c>
      <c r="F53" s="976"/>
      <c r="G53" s="458">
        <f t="shared" si="9"/>
        <v>0</v>
      </c>
      <c r="H53" s="975"/>
      <c r="I53" s="975"/>
      <c r="J53" s="300">
        <f t="shared" si="10"/>
        <v>1091542.1500000001</v>
      </c>
      <c r="K53" s="300">
        <f t="shared" si="11"/>
        <v>891048.84000000008</v>
      </c>
      <c r="L53" s="300">
        <f t="shared" si="11"/>
        <v>200493.31000000003</v>
      </c>
    </row>
    <row r="54" spans="1:12" ht="13">
      <c r="A54" s="2">
        <f t="shared" si="12"/>
        <v>37</v>
      </c>
      <c r="B54" s="243" t="s">
        <v>1678</v>
      </c>
      <c r="C54" s="300">
        <f t="shared" si="8"/>
        <v>70656.400000000009</v>
      </c>
      <c r="D54" s="975">
        <v>36578.03</v>
      </c>
      <c r="E54" s="975">
        <v>34078.37000000001</v>
      </c>
      <c r="F54" s="976"/>
      <c r="G54" s="458">
        <f t="shared" si="9"/>
        <v>0</v>
      </c>
      <c r="H54" s="975"/>
      <c r="I54" s="975"/>
      <c r="J54" s="300">
        <f t="shared" si="10"/>
        <v>70656.400000000009</v>
      </c>
      <c r="K54" s="300">
        <f t="shared" si="11"/>
        <v>36578.03</v>
      </c>
      <c r="L54" s="300">
        <f t="shared" si="11"/>
        <v>34078.37000000001</v>
      </c>
    </row>
    <row r="55" spans="1:12" ht="13">
      <c r="A55" s="2">
        <f t="shared" si="12"/>
        <v>38</v>
      </c>
      <c r="B55" s="243" t="s">
        <v>1679</v>
      </c>
      <c r="C55" s="300">
        <f t="shared" si="8"/>
        <v>7703976.8099999959</v>
      </c>
      <c r="D55" s="975">
        <v>4376063.22</v>
      </c>
      <c r="E55" s="975">
        <v>3327913.5899999961</v>
      </c>
      <c r="F55" s="976"/>
      <c r="G55" s="458">
        <f t="shared" si="9"/>
        <v>0</v>
      </c>
      <c r="H55" s="975"/>
      <c r="I55" s="975"/>
      <c r="J55" s="300">
        <f t="shared" si="10"/>
        <v>7703976.8099999959</v>
      </c>
      <c r="K55" s="300">
        <f t="shared" si="11"/>
        <v>4376063.22</v>
      </c>
      <c r="L55" s="300">
        <f t="shared" si="11"/>
        <v>3327913.5899999961</v>
      </c>
    </row>
    <row r="56" spans="1:12" ht="13">
      <c r="A56" s="2">
        <f>A55+1</f>
        <v>39</v>
      </c>
      <c r="B56" s="243" t="s">
        <v>1680</v>
      </c>
      <c r="C56" s="300">
        <f t="shared" si="8"/>
        <v>1077318387.6400018</v>
      </c>
      <c r="D56" s="975">
        <v>288179383.00999975</v>
      </c>
      <c r="E56" s="975">
        <v>789139004.6300019</v>
      </c>
      <c r="F56" s="976" t="s">
        <v>1653</v>
      </c>
      <c r="G56" s="458">
        <f t="shared" si="9"/>
        <v>-130025576</v>
      </c>
      <c r="H56" s="975">
        <v>-224031</v>
      </c>
      <c r="I56" s="975">
        <v>-129801545</v>
      </c>
      <c r="J56" s="300">
        <f t="shared" si="10"/>
        <v>947292811.64000165</v>
      </c>
      <c r="K56" s="300">
        <f t="shared" si="11"/>
        <v>287955352.00999975</v>
      </c>
      <c r="L56" s="300">
        <f t="shared" si="11"/>
        <v>659337459.6300019</v>
      </c>
    </row>
    <row r="57" spans="1:12" ht="13">
      <c r="A57" s="2">
        <f>A56+1</f>
        <v>40</v>
      </c>
      <c r="B57" s="243" t="s">
        <v>1681</v>
      </c>
      <c r="C57" s="450">
        <v>0</v>
      </c>
      <c r="D57" s="450">
        <v>0</v>
      </c>
      <c r="E57" s="450">
        <v>0</v>
      </c>
      <c r="F57" s="461"/>
      <c r="G57" s="450">
        <f>SUM(H57:I57)</f>
        <v>-3084085.1402293704</v>
      </c>
      <c r="H57" s="461">
        <f>+C64*C145</f>
        <v>-3084085.1402293704</v>
      </c>
      <c r="I57" s="461">
        <v>0</v>
      </c>
      <c r="J57" s="462">
        <f>SUM(K57:L57)</f>
        <v>-3084085.1402293704</v>
      </c>
      <c r="K57" s="462">
        <f t="shared" si="11"/>
        <v>-3084085.1402293704</v>
      </c>
      <c r="L57" s="462">
        <f t="shared" si="11"/>
        <v>0</v>
      </c>
    </row>
    <row r="58" spans="1:12" ht="13">
      <c r="A58" s="2">
        <f t="shared" si="12"/>
        <v>41</v>
      </c>
      <c r="B58" s="127" t="s">
        <v>1682</v>
      </c>
      <c r="C58" s="456">
        <f>SUM(C52:C57)</f>
        <v>1117436294.1300018</v>
      </c>
      <c r="D58" s="456">
        <f>SUM(D52:D57)</f>
        <v>316528182.41999978</v>
      </c>
      <c r="E58" s="456">
        <f>SUM(E52:E57)</f>
        <v>800908111.71000195</v>
      </c>
      <c r="F58" s="457"/>
      <c r="G58" s="460">
        <f t="shared" ref="G58:L58" si="13">SUM(G52:G57)</f>
        <v>-133109661.14022937</v>
      </c>
      <c r="H58" s="456">
        <f t="shared" si="13"/>
        <v>-3308116.1402293704</v>
      </c>
      <c r="I58" s="456">
        <f t="shared" si="13"/>
        <v>-129801545</v>
      </c>
      <c r="J58" s="456">
        <f t="shared" si="13"/>
        <v>984326632.98977232</v>
      </c>
      <c r="K58" s="456">
        <f t="shared" si="13"/>
        <v>313220066.27977043</v>
      </c>
      <c r="L58" s="456">
        <f t="shared" si="13"/>
        <v>671106566.71000195</v>
      </c>
    </row>
    <row r="59" spans="1:12" ht="13">
      <c r="A59" s="2">
        <f t="shared" si="12"/>
        <v>42</v>
      </c>
      <c r="C59" s="300"/>
      <c r="D59" s="456"/>
      <c r="E59" s="456"/>
      <c r="F59" s="463"/>
      <c r="G59" s="458"/>
      <c r="H59" s="459"/>
      <c r="I59" s="459"/>
      <c r="J59" s="300"/>
      <c r="K59" s="300"/>
      <c r="L59" s="300"/>
    </row>
    <row r="60" spans="1:12" ht="13">
      <c r="A60" s="2">
        <f t="shared" si="12"/>
        <v>43</v>
      </c>
      <c r="B60" s="127" t="s">
        <v>1683</v>
      </c>
      <c r="C60" s="300">
        <f>+C43+C58</f>
        <v>1651102353.2400017</v>
      </c>
      <c r="D60" s="300">
        <f>D58+D43</f>
        <v>422826089.16999972</v>
      </c>
      <c r="E60" s="300">
        <f>E58+E43</f>
        <v>1228276264.0700021</v>
      </c>
      <c r="G60" s="458">
        <f>+G43+G58</f>
        <v>-345770842.52497238</v>
      </c>
      <c r="H60" s="300">
        <f>H58+H43</f>
        <v>-4963873.564972328</v>
      </c>
      <c r="I60" s="300">
        <f>I58+I43</f>
        <v>-340806968.96000004</v>
      </c>
      <c r="J60" s="300">
        <f>J58+K43</f>
        <v>1307960249.6679566</v>
      </c>
      <c r="K60" s="300">
        <f>K58+L43</f>
        <v>417862215.60502744</v>
      </c>
      <c r="L60" s="300">
        <f>L58+M43</f>
        <v>890098034.06292915</v>
      </c>
    </row>
    <row r="61" spans="1:12" ht="13">
      <c r="A61" s="2">
        <f t="shared" si="12"/>
        <v>44</v>
      </c>
      <c r="H61" s="459"/>
      <c r="I61" s="459"/>
    </row>
    <row r="62" spans="1:12" ht="13">
      <c r="A62" s="2">
        <f t="shared" si="12"/>
        <v>45</v>
      </c>
      <c r="B62" s="243" t="s">
        <v>1684</v>
      </c>
      <c r="C62" s="556">
        <v>533666058</v>
      </c>
      <c r="D62" s="300" t="s">
        <v>1685</v>
      </c>
      <c r="E62" s="300" t="str">
        <f>"Must equal Line "&amp;A43&amp;", Column 2."</f>
        <v>Must equal Line 33, Column 2.</v>
      </c>
      <c r="G62" s="217"/>
      <c r="H62" s="218"/>
      <c r="I62" s="218"/>
      <c r="J62" s="218"/>
      <c r="K62" s="218"/>
      <c r="L62" s="218"/>
    </row>
    <row r="63" spans="1:12" ht="13">
      <c r="A63" s="2">
        <f>A62+1</f>
        <v>46</v>
      </c>
      <c r="B63" s="243" t="s">
        <v>1686</v>
      </c>
      <c r="C63" s="556">
        <v>1117436294</v>
      </c>
      <c r="D63" s="300" t="s">
        <v>1687</v>
      </c>
      <c r="E63" s="300" t="str">
        <f>"Must equal Line "&amp;A58&amp;", Column 2."</f>
        <v>Must equal Line 41, Column 2.</v>
      </c>
      <c r="G63" s="458"/>
      <c r="H63" s="300"/>
      <c r="I63" s="300"/>
      <c r="J63" s="300"/>
      <c r="K63" s="300"/>
      <c r="L63" s="300"/>
    </row>
    <row r="64" spans="1:12" ht="13">
      <c r="A64" s="2">
        <f>A63+1</f>
        <v>47</v>
      </c>
      <c r="B64" s="243" t="s">
        <v>1688</v>
      </c>
      <c r="C64" s="464">
        <f>'20-AandG'!E70</f>
        <v>-4119796.3749723285</v>
      </c>
      <c r="D64" s="300" t="str">
        <f>"20-AandG, Note 2, "&amp;'20-AandG'!B70&amp;""</f>
        <v>20-AandG, Note 2, f</v>
      </c>
      <c r="E64" s="300"/>
      <c r="F64" s="2"/>
      <c r="G64" s="458"/>
      <c r="H64" s="300"/>
      <c r="I64" s="300"/>
      <c r="J64" s="300"/>
      <c r="K64" s="300"/>
      <c r="L64" s="300"/>
    </row>
    <row r="65" spans="1:12" ht="13">
      <c r="A65" s="219"/>
      <c r="C65" s="219"/>
      <c r="D65" s="300"/>
      <c r="E65" s="300"/>
      <c r="G65" s="458"/>
      <c r="H65" s="300"/>
      <c r="I65" s="300"/>
      <c r="J65" s="300"/>
      <c r="K65" s="300"/>
      <c r="L65" s="300"/>
    </row>
    <row r="66" spans="1:12" ht="13">
      <c r="B66" s="15" t="s">
        <v>1689</v>
      </c>
      <c r="H66" s="241"/>
      <c r="I66" s="241"/>
    </row>
    <row r="67" spans="1:12">
      <c r="H67" s="241"/>
      <c r="I67" s="241"/>
    </row>
    <row r="68" spans="1:12" ht="13">
      <c r="B68" s="48" t="s">
        <v>345</v>
      </c>
      <c r="C68" s="214" t="s">
        <v>346</v>
      </c>
      <c r="D68" s="214" t="s">
        <v>347</v>
      </c>
      <c r="E68" s="214" t="s">
        <v>348</v>
      </c>
      <c r="F68" s="214" t="s">
        <v>349</v>
      </c>
      <c r="G68" s="214" t="s">
        <v>350</v>
      </c>
      <c r="H68" s="214" t="s">
        <v>351</v>
      </c>
      <c r="I68" s="214" t="s">
        <v>352</v>
      </c>
      <c r="J68" s="214" t="s">
        <v>353</v>
      </c>
      <c r="K68" s="48"/>
      <c r="L68" s="48"/>
    </row>
    <row r="69" spans="1:12">
      <c r="C69" s="241" t="s">
        <v>1690</v>
      </c>
      <c r="D69" s="241" t="s">
        <v>1691</v>
      </c>
      <c r="E69" s="241" t="s">
        <v>1692</v>
      </c>
      <c r="F69" s="444" t="s">
        <v>129</v>
      </c>
      <c r="G69" s="624" t="s">
        <v>1622</v>
      </c>
      <c r="H69" s="624" t="s">
        <v>1693</v>
      </c>
      <c r="I69" s="624" t="s">
        <v>1694</v>
      </c>
    </row>
    <row r="70" spans="1:12">
      <c r="H70" s="241"/>
      <c r="I70" s="241"/>
    </row>
    <row r="71" spans="1:12" ht="13">
      <c r="A71" s="127"/>
      <c r="B71" s="1213" t="s">
        <v>1628</v>
      </c>
      <c r="C71" s="1214" t="s">
        <v>1631</v>
      </c>
      <c r="D71" s="1212"/>
      <c r="E71" s="1215"/>
      <c r="F71" s="220" t="s">
        <v>1695</v>
      </c>
      <c r="G71" s="1214" t="s">
        <v>1696</v>
      </c>
      <c r="H71" s="1212"/>
      <c r="I71" s="1215"/>
      <c r="J71" s="490" t="s">
        <v>1697</v>
      </c>
    </row>
    <row r="72" spans="1:12" ht="13">
      <c r="B72" s="1213"/>
      <c r="C72" s="216" t="s">
        <v>252</v>
      </c>
      <c r="D72" s="216" t="s">
        <v>869</v>
      </c>
      <c r="E72" s="216" t="s">
        <v>1632</v>
      </c>
      <c r="F72" s="220" t="s">
        <v>1698</v>
      </c>
      <c r="G72" s="216" t="s">
        <v>252</v>
      </c>
      <c r="H72" s="216" t="s">
        <v>869</v>
      </c>
      <c r="I72" s="216" t="s">
        <v>1632</v>
      </c>
      <c r="J72" s="216" t="s">
        <v>254</v>
      </c>
    </row>
    <row r="73" spans="1:12" ht="13">
      <c r="A73" s="30" t="s">
        <v>282</v>
      </c>
      <c r="B73" s="147" t="s">
        <v>1635</v>
      </c>
      <c r="C73" s="19"/>
      <c r="D73" s="19"/>
      <c r="E73" s="19"/>
      <c r="F73" s="221"/>
      <c r="G73" s="19"/>
      <c r="H73" s="19"/>
      <c r="I73" s="19"/>
    </row>
    <row r="74" spans="1:12" ht="13">
      <c r="A74" s="2">
        <f>A64+1</f>
        <v>48</v>
      </c>
      <c r="B74" s="243" t="s">
        <v>1636</v>
      </c>
      <c r="C74" s="300">
        <f t="shared" ref="C74:C95" si="14">K11</f>
        <v>4481851.6803638805</v>
      </c>
      <c r="D74" s="300">
        <f t="shared" ref="D74:D95" si="15">L11</f>
        <v>1501572.5400000014</v>
      </c>
      <c r="E74" s="300">
        <f t="shared" ref="E74:E95" si="16">M11</f>
        <v>2980279.1403638786</v>
      </c>
      <c r="F74" s="470">
        <f>'27-Allocators'!$D$48</f>
        <v>0.39784319440396387</v>
      </c>
      <c r="G74" s="465">
        <f>SUM(H74:I74)</f>
        <v>1783074.1893607392</v>
      </c>
      <c r="H74" s="465">
        <f>D74*F74</f>
        <v>597390.41594287439</v>
      </c>
      <c r="I74" s="465">
        <f>E74*F74</f>
        <v>1185683.7734178649</v>
      </c>
      <c r="J74" s="303" t="s">
        <v>1699</v>
      </c>
    </row>
    <row r="75" spans="1:12" ht="13">
      <c r="A75" s="2">
        <f t="shared" ref="A75:A107" si="17">A74+1</f>
        <v>49</v>
      </c>
      <c r="B75" s="243" t="s">
        <v>1637</v>
      </c>
      <c r="C75" s="300">
        <f t="shared" si="14"/>
        <v>355740.47</v>
      </c>
      <c r="D75" s="300">
        <f t="shared" si="15"/>
        <v>0</v>
      </c>
      <c r="E75" s="300">
        <f t="shared" si="16"/>
        <v>355740.47</v>
      </c>
      <c r="F75" s="470">
        <v>1</v>
      </c>
      <c r="G75" s="465">
        <f t="shared" ref="G75:G103" si="18">SUM(H75:I75)</f>
        <v>355740.47</v>
      </c>
      <c r="H75" s="465">
        <f t="shared" ref="H75:H103" si="19">D75*F75</f>
        <v>0</v>
      </c>
      <c r="I75" s="465">
        <f t="shared" ref="I75:I103" si="20">E75*F75</f>
        <v>355740.47</v>
      </c>
      <c r="J75" s="615" t="s">
        <v>1700</v>
      </c>
    </row>
    <row r="76" spans="1:12" ht="13">
      <c r="A76" s="2">
        <f t="shared" si="17"/>
        <v>50</v>
      </c>
      <c r="B76" s="243" t="s">
        <v>1638</v>
      </c>
      <c r="C76" s="300">
        <f t="shared" si="14"/>
        <v>13443492.222430769</v>
      </c>
      <c r="D76" s="300">
        <f t="shared" si="15"/>
        <v>11294031.610000001</v>
      </c>
      <c r="E76" s="300">
        <f t="shared" si="16"/>
        <v>2149460.6124307676</v>
      </c>
      <c r="F76" s="470">
        <f>'27-Allocators'!$D$48</f>
        <v>0.39784319440396387</v>
      </c>
      <c r="G76" s="465">
        <f t="shared" si="18"/>
        <v>5348401.8897167007</v>
      </c>
      <c r="H76" s="465">
        <f t="shared" si="19"/>
        <v>4493253.6134217437</v>
      </c>
      <c r="I76" s="465">
        <f t="shared" si="20"/>
        <v>855148.27629495715</v>
      </c>
      <c r="J76" s="303" t="s">
        <v>1699</v>
      </c>
    </row>
    <row r="77" spans="1:12" ht="13">
      <c r="A77" s="2">
        <f t="shared" si="17"/>
        <v>51</v>
      </c>
      <c r="B77" s="243" t="s">
        <v>1639</v>
      </c>
      <c r="C77" s="300">
        <f t="shared" si="14"/>
        <v>3.7252902984619141E-9</v>
      </c>
      <c r="D77" s="300">
        <f t="shared" si="15"/>
        <v>0</v>
      </c>
      <c r="E77" s="300">
        <f t="shared" si="16"/>
        <v>3.7252902984619141E-9</v>
      </c>
      <c r="F77" s="470">
        <v>0</v>
      </c>
      <c r="G77" s="465">
        <f t="shared" si="18"/>
        <v>0</v>
      </c>
      <c r="H77" s="465">
        <f t="shared" si="19"/>
        <v>0</v>
      </c>
      <c r="I77" s="465">
        <f t="shared" si="20"/>
        <v>0</v>
      </c>
      <c r="J77" s="615" t="s">
        <v>1701</v>
      </c>
    </row>
    <row r="78" spans="1:12" ht="13">
      <c r="A78" s="2">
        <f t="shared" si="17"/>
        <v>52</v>
      </c>
      <c r="B78" s="243" t="s">
        <v>1641</v>
      </c>
      <c r="C78" s="300">
        <f t="shared" si="14"/>
        <v>10582091.591126855</v>
      </c>
      <c r="D78" s="300">
        <f t="shared" si="15"/>
        <v>4241567.1999999993</v>
      </c>
      <c r="E78" s="300">
        <f t="shared" si="16"/>
        <v>6340524.3911268571</v>
      </c>
      <c r="F78" s="470">
        <v>1</v>
      </c>
      <c r="G78" s="465">
        <f t="shared" si="18"/>
        <v>10582091.591126855</v>
      </c>
      <c r="H78" s="465">
        <f t="shared" si="19"/>
        <v>4241567.1999999993</v>
      </c>
      <c r="I78" s="465">
        <f t="shared" si="20"/>
        <v>6340524.3911268571</v>
      </c>
      <c r="J78" s="615" t="s">
        <v>1700</v>
      </c>
    </row>
    <row r="79" spans="1:12" ht="13">
      <c r="A79" s="2">
        <f t="shared" si="17"/>
        <v>53</v>
      </c>
      <c r="B79" s="243" t="s">
        <v>1642</v>
      </c>
      <c r="C79" s="300">
        <f t="shared" si="14"/>
        <v>22439950.239999942</v>
      </c>
      <c r="D79" s="300">
        <f t="shared" si="15"/>
        <v>17565445.889999945</v>
      </c>
      <c r="E79" s="300">
        <f t="shared" si="16"/>
        <v>4874504.3499999987</v>
      </c>
      <c r="F79" s="470">
        <f>'27-Allocators'!$D$48</f>
        <v>0.39784319440396387</v>
      </c>
      <c r="G79" s="465">
        <f t="shared" si="18"/>
        <v>8927581.4857475739</v>
      </c>
      <c r="H79" s="465">
        <f t="shared" si="19"/>
        <v>6988293.1040075561</v>
      </c>
      <c r="I79" s="465">
        <f t="shared" si="20"/>
        <v>1939288.3817400171</v>
      </c>
      <c r="J79" s="303" t="s">
        <v>1699</v>
      </c>
    </row>
    <row r="80" spans="1:12" ht="13">
      <c r="A80" s="2">
        <f t="shared" si="17"/>
        <v>54</v>
      </c>
      <c r="B80" s="243" t="s">
        <v>1643</v>
      </c>
      <c r="C80" s="300">
        <f t="shared" si="14"/>
        <v>0</v>
      </c>
      <c r="D80" s="300">
        <f t="shared" si="15"/>
        <v>0</v>
      </c>
      <c r="E80" s="300">
        <f t="shared" si="16"/>
        <v>0</v>
      </c>
      <c r="F80" s="470">
        <v>0</v>
      </c>
      <c r="G80" s="465">
        <f t="shared" si="18"/>
        <v>0</v>
      </c>
      <c r="H80" s="465">
        <f t="shared" si="19"/>
        <v>0</v>
      </c>
      <c r="I80" s="465">
        <f t="shared" si="20"/>
        <v>0</v>
      </c>
      <c r="J80" s="615" t="s">
        <v>1701</v>
      </c>
    </row>
    <row r="81" spans="1:11" ht="13">
      <c r="A81" s="2">
        <f t="shared" si="17"/>
        <v>55</v>
      </c>
      <c r="B81" s="243" t="s">
        <v>1645</v>
      </c>
      <c r="C81" s="300">
        <f t="shared" si="14"/>
        <v>1088367.95</v>
      </c>
      <c r="D81" s="300">
        <f t="shared" si="15"/>
        <v>0</v>
      </c>
      <c r="E81" s="300">
        <f t="shared" si="16"/>
        <v>1088367.95</v>
      </c>
      <c r="F81" s="470">
        <v>1</v>
      </c>
      <c r="G81" s="465">
        <f t="shared" si="18"/>
        <v>1088367.95</v>
      </c>
      <c r="H81" s="465">
        <f t="shared" si="19"/>
        <v>0</v>
      </c>
      <c r="I81" s="465">
        <f t="shared" si="20"/>
        <v>1088367.95</v>
      </c>
      <c r="J81" s="615" t="s">
        <v>1700</v>
      </c>
      <c r="K81" s="300"/>
    </row>
    <row r="82" spans="1:11" ht="13">
      <c r="A82" s="2">
        <f t="shared" si="17"/>
        <v>56</v>
      </c>
      <c r="B82" s="243" t="s">
        <v>1646</v>
      </c>
      <c r="C82" s="300">
        <f t="shared" si="14"/>
        <v>33278167.255616091</v>
      </c>
      <c r="D82" s="300">
        <f t="shared" si="15"/>
        <v>13050189.6</v>
      </c>
      <c r="E82" s="300">
        <f t="shared" si="16"/>
        <v>20227977.65561609</v>
      </c>
      <c r="F82" s="470">
        <f>'27-Allocators'!$D$36</f>
        <v>0.46613516708458091</v>
      </c>
      <c r="G82" s="465">
        <f t="shared" si="18"/>
        <v>15512124.053965235</v>
      </c>
      <c r="H82" s="465">
        <f t="shared" si="19"/>
        <v>6083152.3096814603</v>
      </c>
      <c r="I82" s="465">
        <f t="shared" si="20"/>
        <v>9428971.7442837749</v>
      </c>
      <c r="J82" s="303" t="s">
        <v>1702</v>
      </c>
    </row>
    <row r="83" spans="1:11" ht="12.75" customHeight="1">
      <c r="A83" s="2">
        <f t="shared" si="17"/>
        <v>57</v>
      </c>
      <c r="B83" s="243" t="s">
        <v>1647</v>
      </c>
      <c r="C83" s="300">
        <f t="shared" si="14"/>
        <v>3345413.2</v>
      </c>
      <c r="D83" s="300">
        <f t="shared" si="15"/>
        <v>2798719.66</v>
      </c>
      <c r="E83" s="300">
        <f t="shared" si="16"/>
        <v>546693.53999999992</v>
      </c>
      <c r="F83" s="470">
        <f>'27-Allocators'!$D$42</f>
        <v>1.931244399137759E-2</v>
      </c>
      <c r="G83" s="466">
        <f t="shared" si="18"/>
        <v>64608.105053015272</v>
      </c>
      <c r="H83" s="466">
        <f t="shared" si="19"/>
        <v>54050.116681317333</v>
      </c>
      <c r="I83" s="466">
        <f t="shared" si="20"/>
        <v>10557.988371697942</v>
      </c>
      <c r="J83" s="303" t="s">
        <v>1703</v>
      </c>
      <c r="K83" s="300"/>
    </row>
    <row r="84" spans="1:11" ht="13">
      <c r="A84" s="2">
        <f t="shared" si="17"/>
        <v>58</v>
      </c>
      <c r="B84" s="243" t="s">
        <v>1648</v>
      </c>
      <c r="C84" s="300">
        <f t="shared" si="14"/>
        <v>0</v>
      </c>
      <c r="D84" s="300">
        <f t="shared" si="15"/>
        <v>0</v>
      </c>
      <c r="E84" s="300">
        <f t="shared" si="16"/>
        <v>0</v>
      </c>
      <c r="F84" s="470">
        <v>1</v>
      </c>
      <c r="G84" s="465">
        <f t="shared" si="18"/>
        <v>0</v>
      </c>
      <c r="H84" s="465">
        <f t="shared" si="19"/>
        <v>0</v>
      </c>
      <c r="I84" s="465">
        <f t="shared" si="20"/>
        <v>0</v>
      </c>
      <c r="J84" s="615" t="s">
        <v>1700</v>
      </c>
    </row>
    <row r="85" spans="1:11" ht="13">
      <c r="A85" s="2">
        <f t="shared" si="17"/>
        <v>59</v>
      </c>
      <c r="B85" s="243" t="s">
        <v>1649</v>
      </c>
      <c r="C85" s="300">
        <f t="shared" si="14"/>
        <v>0</v>
      </c>
      <c r="D85" s="300">
        <f t="shared" si="15"/>
        <v>0</v>
      </c>
      <c r="E85" s="300">
        <f t="shared" si="16"/>
        <v>0</v>
      </c>
      <c r="F85" s="470">
        <v>0</v>
      </c>
      <c r="G85" s="465">
        <f t="shared" si="18"/>
        <v>0</v>
      </c>
      <c r="H85" s="465">
        <f t="shared" si="19"/>
        <v>0</v>
      </c>
      <c r="I85" s="465">
        <f t="shared" si="20"/>
        <v>0</v>
      </c>
      <c r="J85" s="615" t="s">
        <v>1701</v>
      </c>
    </row>
    <row r="86" spans="1:11" ht="13">
      <c r="A86" s="2">
        <f t="shared" si="17"/>
        <v>60</v>
      </c>
      <c r="B86" s="243" t="s">
        <v>1651</v>
      </c>
      <c r="C86" s="300">
        <f t="shared" si="14"/>
        <v>340490.93</v>
      </c>
      <c r="D86" s="300">
        <f t="shared" si="15"/>
        <v>0</v>
      </c>
      <c r="E86" s="300">
        <f t="shared" si="16"/>
        <v>340490.93</v>
      </c>
      <c r="F86" s="470">
        <v>0</v>
      </c>
      <c r="G86" s="465">
        <f t="shared" si="18"/>
        <v>0</v>
      </c>
      <c r="H86" s="465">
        <f t="shared" si="19"/>
        <v>0</v>
      </c>
      <c r="I86" s="465">
        <f t="shared" si="20"/>
        <v>0</v>
      </c>
      <c r="J86" s="615" t="s">
        <v>1701</v>
      </c>
    </row>
    <row r="87" spans="1:11" ht="13">
      <c r="A87" s="2">
        <f t="shared" si="17"/>
        <v>61</v>
      </c>
      <c r="B87" s="243" t="s">
        <v>1652</v>
      </c>
      <c r="C87" s="300">
        <f t="shared" si="14"/>
        <v>40512036.791132286</v>
      </c>
      <c r="D87" s="300">
        <f t="shared" si="15"/>
        <v>25570201.690000046</v>
      </c>
      <c r="E87" s="300">
        <f t="shared" si="16"/>
        <v>14941835.101132242</v>
      </c>
      <c r="F87" s="470">
        <f>'27-Allocators'!$D$48</f>
        <v>0.39784319440396387</v>
      </c>
      <c r="G87" s="465">
        <f t="shared" si="18"/>
        <v>16117438.128794979</v>
      </c>
      <c r="H87" s="465">
        <f t="shared" si="19"/>
        <v>10172930.721903253</v>
      </c>
      <c r="I87" s="465">
        <f t="shared" si="20"/>
        <v>5944507.406891726</v>
      </c>
      <c r="J87" s="303" t="s">
        <v>1699</v>
      </c>
      <c r="K87" s="300"/>
    </row>
    <row r="88" spans="1:11" ht="13">
      <c r="A88" s="2">
        <f t="shared" si="17"/>
        <v>62</v>
      </c>
      <c r="B88" s="243" t="s">
        <v>1654</v>
      </c>
      <c r="C88" s="300">
        <f t="shared" si="14"/>
        <v>5.9604644775390625E-8</v>
      </c>
      <c r="D88" s="300">
        <f t="shared" si="15"/>
        <v>0</v>
      </c>
      <c r="E88" s="300">
        <f t="shared" si="16"/>
        <v>5.9604644775390625E-8</v>
      </c>
      <c r="F88" s="470">
        <v>0</v>
      </c>
      <c r="G88" s="465">
        <f t="shared" si="18"/>
        <v>0</v>
      </c>
      <c r="H88" s="465">
        <f t="shared" si="19"/>
        <v>0</v>
      </c>
      <c r="I88" s="465">
        <f t="shared" si="20"/>
        <v>0</v>
      </c>
      <c r="J88" s="615" t="s">
        <v>1701</v>
      </c>
    </row>
    <row r="89" spans="1:11" ht="13">
      <c r="A89" s="2">
        <f t="shared" si="17"/>
        <v>63</v>
      </c>
      <c r="B89" s="243" t="s">
        <v>1656</v>
      </c>
      <c r="C89" s="300">
        <f t="shared" si="14"/>
        <v>4216411.3199999994</v>
      </c>
      <c r="D89" s="300">
        <f t="shared" si="15"/>
        <v>113191.91000000003</v>
      </c>
      <c r="E89" s="300">
        <f t="shared" si="16"/>
        <v>4103219.4099999997</v>
      </c>
      <c r="F89" s="470">
        <v>1</v>
      </c>
      <c r="G89" s="465">
        <f t="shared" si="18"/>
        <v>4216411.3199999994</v>
      </c>
      <c r="H89" s="465">
        <f t="shared" si="19"/>
        <v>113191.91000000003</v>
      </c>
      <c r="I89" s="465">
        <f t="shared" si="20"/>
        <v>4103219.4099999997</v>
      </c>
      <c r="J89" s="615" t="s">
        <v>1700</v>
      </c>
    </row>
    <row r="90" spans="1:11" ht="13">
      <c r="A90" s="2">
        <f t="shared" si="17"/>
        <v>64</v>
      </c>
      <c r="B90" s="243" t="s">
        <v>1657</v>
      </c>
      <c r="C90" s="300">
        <f t="shared" si="14"/>
        <v>21603627.900516748</v>
      </c>
      <c r="D90" s="300">
        <f t="shared" si="15"/>
        <v>45208.090000000011</v>
      </c>
      <c r="E90" s="300">
        <f t="shared" si="16"/>
        <v>21558419.810516749</v>
      </c>
      <c r="F90" s="470">
        <f>'27-Allocators'!$D$36</f>
        <v>0.46613516708458091</v>
      </c>
      <c r="G90" s="465">
        <f t="shared" si="18"/>
        <v>10070210.70104049</v>
      </c>
      <c r="H90" s="465">
        <f t="shared" si="19"/>
        <v>21073.080585724776</v>
      </c>
      <c r="I90" s="465">
        <f t="shared" si="20"/>
        <v>10049137.620454764</v>
      </c>
      <c r="J90" s="303" t="s">
        <v>1702</v>
      </c>
      <c r="K90" s="300"/>
    </row>
    <row r="91" spans="1:11" ht="13">
      <c r="A91" s="2">
        <f t="shared" si="17"/>
        <v>65</v>
      </c>
      <c r="B91" s="243" t="s">
        <v>1658</v>
      </c>
      <c r="C91" s="300">
        <f t="shared" si="14"/>
        <v>42821.100000000006</v>
      </c>
      <c r="D91" s="300">
        <f t="shared" si="15"/>
        <v>0</v>
      </c>
      <c r="E91" s="300">
        <f t="shared" si="16"/>
        <v>42821.100000000006</v>
      </c>
      <c r="F91" s="470">
        <v>1</v>
      </c>
      <c r="G91" s="465">
        <f t="shared" si="18"/>
        <v>42821.100000000006</v>
      </c>
      <c r="H91" s="465">
        <f t="shared" si="19"/>
        <v>0</v>
      </c>
      <c r="I91" s="465">
        <f t="shared" si="20"/>
        <v>42821.100000000006</v>
      </c>
      <c r="J91" s="615" t="s">
        <v>1700</v>
      </c>
    </row>
    <row r="92" spans="1:11" ht="13">
      <c r="A92" s="2">
        <f t="shared" si="17"/>
        <v>66</v>
      </c>
      <c r="B92" s="243" t="s">
        <v>1659</v>
      </c>
      <c r="C92" s="300">
        <f t="shared" si="14"/>
        <v>438002.54999999993</v>
      </c>
      <c r="D92" s="300">
        <f t="shared" si="15"/>
        <v>0</v>
      </c>
      <c r="E92" s="300">
        <f t="shared" si="16"/>
        <v>438002.54999999993</v>
      </c>
      <c r="F92" s="470">
        <v>1</v>
      </c>
      <c r="G92" s="465">
        <f t="shared" ref="G92" si="21">SUM(H92:I92)</f>
        <v>438002.54999999993</v>
      </c>
      <c r="H92" s="465">
        <f t="shared" ref="H92" si="22">D92*F92</f>
        <v>0</v>
      </c>
      <c r="I92" s="465">
        <f t="shared" ref="I92" si="23">E92*F92</f>
        <v>438002.54999999993</v>
      </c>
      <c r="J92" s="615" t="s">
        <v>1700</v>
      </c>
    </row>
    <row r="93" spans="1:11" ht="13">
      <c r="A93" s="2">
        <f t="shared" si="17"/>
        <v>67</v>
      </c>
      <c r="B93" s="243" t="s">
        <v>1660</v>
      </c>
      <c r="C93" s="300">
        <f t="shared" si="14"/>
        <v>1032937.9964667441</v>
      </c>
      <c r="D93" s="300">
        <f t="shared" si="15"/>
        <v>878759.1099999994</v>
      </c>
      <c r="E93" s="300">
        <f t="shared" si="16"/>
        <v>154178.88646674468</v>
      </c>
      <c r="F93" s="470">
        <f>'27-Allocators'!$D$48</f>
        <v>0.39784319440396387</v>
      </c>
      <c r="G93" s="465">
        <f t="shared" si="18"/>
        <v>410947.35213555984</v>
      </c>
      <c r="H93" s="465">
        <f t="shared" si="19"/>
        <v>349608.33143398404</v>
      </c>
      <c r="I93" s="465">
        <f t="shared" si="20"/>
        <v>61339.020701575777</v>
      </c>
      <c r="J93" s="303" t="s">
        <v>1699</v>
      </c>
    </row>
    <row r="94" spans="1:11" ht="13">
      <c r="A94" s="2">
        <f t="shared" si="17"/>
        <v>68</v>
      </c>
      <c r="B94" s="243" t="s">
        <v>1661</v>
      </c>
      <c r="C94" s="300">
        <f t="shared" si="14"/>
        <v>242782.78</v>
      </c>
      <c r="D94" s="300">
        <f t="shared" si="15"/>
        <v>0</v>
      </c>
      <c r="E94" s="300">
        <f t="shared" si="16"/>
        <v>242782.78</v>
      </c>
      <c r="F94" s="470">
        <v>1</v>
      </c>
      <c r="G94" s="465">
        <f t="shared" si="18"/>
        <v>242782.78</v>
      </c>
      <c r="H94" s="465">
        <f t="shared" si="19"/>
        <v>0</v>
      </c>
      <c r="I94" s="465">
        <f t="shared" si="20"/>
        <v>242782.78</v>
      </c>
      <c r="J94" s="615" t="s">
        <v>1700</v>
      </c>
      <c r="K94" s="300"/>
    </row>
    <row r="95" spans="1:11" ht="13">
      <c r="A95" s="2">
        <f t="shared" si="17"/>
        <v>69</v>
      </c>
      <c r="B95" s="243" t="s">
        <v>1662</v>
      </c>
      <c r="C95" s="300">
        <f t="shared" si="14"/>
        <v>7397868.3800000008</v>
      </c>
      <c r="D95" s="300">
        <f t="shared" si="15"/>
        <v>1938545.96</v>
      </c>
      <c r="E95" s="300">
        <f t="shared" si="16"/>
        <v>5459322.4200000009</v>
      </c>
      <c r="F95" s="470">
        <f>'27-Allocators'!$D$48</f>
        <v>0.39784319440396387</v>
      </c>
      <c r="G95" s="465">
        <f t="shared" si="18"/>
        <v>2943191.5880792779</v>
      </c>
      <c r="H95" s="465">
        <f t="shared" si="19"/>
        <v>771237.31722529873</v>
      </c>
      <c r="I95" s="465">
        <f t="shared" si="20"/>
        <v>2171954.270853979</v>
      </c>
      <c r="J95" s="303" t="s">
        <v>1699</v>
      </c>
    </row>
    <row r="96" spans="1:11" ht="13">
      <c r="A96" s="2">
        <f>A95+1</f>
        <v>70</v>
      </c>
      <c r="B96" s="243" t="s">
        <v>1664</v>
      </c>
      <c r="C96" s="300">
        <f t="shared" ref="C96:E103" si="24">K33</f>
        <v>545793.31999999995</v>
      </c>
      <c r="D96" s="300">
        <f t="shared" si="24"/>
        <v>0</v>
      </c>
      <c r="E96" s="300">
        <f t="shared" si="24"/>
        <v>545793.31999999995</v>
      </c>
      <c r="F96" s="470">
        <v>1</v>
      </c>
      <c r="G96" s="465">
        <f t="shared" si="18"/>
        <v>545793.31999999995</v>
      </c>
      <c r="H96" s="465">
        <f t="shared" si="19"/>
        <v>0</v>
      </c>
      <c r="I96" s="465">
        <f t="shared" si="20"/>
        <v>545793.31999999995</v>
      </c>
      <c r="J96" s="615" t="s">
        <v>1700</v>
      </c>
    </row>
    <row r="97" spans="1:11" ht="13">
      <c r="A97" s="2">
        <f t="shared" si="17"/>
        <v>71</v>
      </c>
      <c r="B97" s="243" t="s">
        <v>1665</v>
      </c>
      <c r="C97" s="300">
        <f t="shared" si="24"/>
        <v>9746720.5700000077</v>
      </c>
      <c r="D97" s="300">
        <f t="shared" si="24"/>
        <v>5993535.9500000086</v>
      </c>
      <c r="E97" s="300">
        <f t="shared" si="24"/>
        <v>3753184.6199999987</v>
      </c>
      <c r="F97" s="470">
        <f>'27-Allocators'!$D$48</f>
        <v>0.39784319440396387</v>
      </c>
      <c r="G97" s="465">
        <f t="shared" si="18"/>
        <v>3877666.4465316264</v>
      </c>
      <c r="H97" s="465">
        <f t="shared" si="19"/>
        <v>2384487.4881229997</v>
      </c>
      <c r="I97" s="465">
        <f t="shared" si="20"/>
        <v>1493178.9584086267</v>
      </c>
      <c r="J97" s="303" t="s">
        <v>1699</v>
      </c>
    </row>
    <row r="98" spans="1:11" ht="13">
      <c r="A98" s="2">
        <f t="shared" si="17"/>
        <v>72</v>
      </c>
      <c r="B98" s="243" t="s">
        <v>1666</v>
      </c>
      <c r="C98" s="300">
        <f t="shared" si="24"/>
        <v>1718004.6600000001</v>
      </c>
      <c r="D98" s="300">
        <f t="shared" si="24"/>
        <v>0</v>
      </c>
      <c r="E98" s="300">
        <f t="shared" si="24"/>
        <v>1718004.6600000001</v>
      </c>
      <c r="F98" s="470">
        <v>1</v>
      </c>
      <c r="G98" s="465">
        <f t="shared" si="18"/>
        <v>1718004.6600000001</v>
      </c>
      <c r="H98" s="465">
        <f t="shared" si="19"/>
        <v>0</v>
      </c>
      <c r="I98" s="465">
        <f t="shared" si="20"/>
        <v>1718004.6600000001</v>
      </c>
      <c r="J98" s="615" t="s">
        <v>1700</v>
      </c>
    </row>
    <row r="99" spans="1:11" ht="13">
      <c r="A99" s="2">
        <f t="shared" si="17"/>
        <v>73</v>
      </c>
      <c r="B99" s="243" t="s">
        <v>1667</v>
      </c>
      <c r="C99" s="300">
        <f t="shared" si="24"/>
        <v>75648458.399810538</v>
      </c>
      <c r="D99" s="300">
        <f t="shared" si="24"/>
        <v>14962127.499999961</v>
      </c>
      <c r="E99" s="300">
        <f t="shared" si="24"/>
        <v>60686330.899810582</v>
      </c>
      <c r="F99" s="470">
        <f>'27-Allocators'!$D$36</f>
        <v>0.46613516708458091</v>
      </c>
      <c r="G99" s="465">
        <f t="shared" si="18"/>
        <v>35262406.795886658</v>
      </c>
      <c r="H99" s="465">
        <f t="shared" si="19"/>
        <v>6974373.8021532847</v>
      </c>
      <c r="I99" s="465">
        <f t="shared" si="20"/>
        <v>28288032.993733373</v>
      </c>
      <c r="J99" s="303" t="s">
        <v>1702</v>
      </c>
    </row>
    <row r="100" spans="1:11" ht="13">
      <c r="A100" s="2">
        <f t="shared" si="17"/>
        <v>74</v>
      </c>
      <c r="B100" s="243" t="s">
        <v>1668</v>
      </c>
      <c r="C100" s="300">
        <f t="shared" si="24"/>
        <v>410878.93</v>
      </c>
      <c r="D100" s="300">
        <f t="shared" si="24"/>
        <v>0</v>
      </c>
      <c r="E100" s="300">
        <f t="shared" si="24"/>
        <v>410878.93</v>
      </c>
      <c r="F100" s="470">
        <v>1</v>
      </c>
      <c r="G100" s="465">
        <f t="shared" si="18"/>
        <v>410878.93</v>
      </c>
      <c r="H100" s="465">
        <f t="shared" si="19"/>
        <v>0</v>
      </c>
      <c r="I100" s="465">
        <f t="shared" si="20"/>
        <v>410878.93</v>
      </c>
      <c r="J100" s="615" t="s">
        <v>1700</v>
      </c>
    </row>
    <row r="101" spans="1:11" ht="13">
      <c r="A101" s="2">
        <f t="shared" si="17"/>
        <v>75</v>
      </c>
      <c r="B101" s="243" t="s">
        <v>1669</v>
      </c>
      <c r="C101" s="300">
        <f t="shared" si="24"/>
        <v>877134.51999999955</v>
      </c>
      <c r="D101" s="300">
        <f t="shared" si="24"/>
        <v>375224.64</v>
      </c>
      <c r="E101" s="300">
        <f t="shared" si="24"/>
        <v>501909.8799999996</v>
      </c>
      <c r="F101" s="470">
        <f>'27-Allocators'!$D$42</f>
        <v>1.931244399137759E-2</v>
      </c>
      <c r="G101" s="465">
        <f t="shared" si="18"/>
        <v>16939.61129040386</v>
      </c>
      <c r="H101" s="465">
        <f t="shared" si="19"/>
        <v>7246.5048441848194</v>
      </c>
      <c r="I101" s="465">
        <f t="shared" si="20"/>
        <v>9693.1064462190388</v>
      </c>
      <c r="J101" s="303" t="s">
        <v>1703</v>
      </c>
    </row>
    <row r="102" spans="1:11" ht="13">
      <c r="A102" s="2">
        <f t="shared" si="17"/>
        <v>76</v>
      </c>
      <c r="B102" s="243" t="s">
        <v>1670</v>
      </c>
      <c r="C102" s="300">
        <f t="shared" si="24"/>
        <v>6934.13</v>
      </c>
      <c r="D102" s="300">
        <f t="shared" si="24"/>
        <v>0</v>
      </c>
      <c r="E102" s="300">
        <f t="shared" si="24"/>
        <v>6934.13</v>
      </c>
      <c r="F102" s="470">
        <v>1</v>
      </c>
      <c r="G102" s="465">
        <f t="shared" si="18"/>
        <v>6934.13</v>
      </c>
      <c r="H102" s="465">
        <f t="shared" si="19"/>
        <v>0</v>
      </c>
      <c r="I102" s="465">
        <f t="shared" si="20"/>
        <v>6934.13</v>
      </c>
      <c r="J102" s="615" t="s">
        <v>1700</v>
      </c>
    </row>
    <row r="103" spans="1:11" ht="13">
      <c r="A103" s="2">
        <f t="shared" si="17"/>
        <v>77</v>
      </c>
      <c r="B103" s="243" t="s">
        <v>1671</v>
      </c>
      <c r="C103" s="300">
        <f t="shared" si="24"/>
        <v>70873349.025463164</v>
      </c>
      <c r="D103" s="300">
        <f t="shared" si="24"/>
        <v>5349539.2099999953</v>
      </c>
      <c r="E103" s="300">
        <f t="shared" si="24"/>
        <v>65523809.81546317</v>
      </c>
      <c r="F103" s="470">
        <f>'27-Allocators'!$D$48</f>
        <v>0.39784319440396387</v>
      </c>
      <c r="G103" s="465">
        <f t="shared" si="18"/>
        <v>28196479.574397326</v>
      </c>
      <c r="H103" s="465">
        <f t="shared" si="19"/>
        <v>2128277.7678956552</v>
      </c>
      <c r="I103" s="465">
        <f t="shared" si="20"/>
        <v>26068201.806501672</v>
      </c>
      <c r="J103" s="303" t="s">
        <v>1699</v>
      </c>
    </row>
    <row r="104" spans="1:11" ht="13">
      <c r="A104" s="2">
        <f t="shared" si="17"/>
        <v>78</v>
      </c>
      <c r="B104" s="243" t="s">
        <v>639</v>
      </c>
      <c r="C104" s="625" t="s">
        <v>389</v>
      </c>
      <c r="D104" s="625" t="s">
        <v>389</v>
      </c>
      <c r="E104" s="625" t="s">
        <v>389</v>
      </c>
      <c r="F104" s="625" t="s">
        <v>389</v>
      </c>
      <c r="G104" s="625" t="s">
        <v>389</v>
      </c>
      <c r="H104" s="625" t="s">
        <v>389</v>
      </c>
      <c r="I104" s="625" t="s">
        <v>389</v>
      </c>
    </row>
    <row r="105" spans="1:11" ht="13">
      <c r="A105" s="2">
        <f t="shared" si="17"/>
        <v>79</v>
      </c>
      <c r="B105" s="243" t="s">
        <v>1704</v>
      </c>
      <c r="C105" s="462">
        <f>K42</f>
        <v>-1035711.2347429577</v>
      </c>
      <c r="D105" s="462">
        <f>L42</f>
        <v>-1035711.2347429577</v>
      </c>
      <c r="E105" s="462">
        <f>M42</f>
        <v>0</v>
      </c>
      <c r="F105" s="467"/>
      <c r="G105" s="468">
        <f>SUM(H105:I105)</f>
        <v>-444754.59705078549</v>
      </c>
      <c r="H105" s="468">
        <f>D105*C149</f>
        <v>-444754.59705078549</v>
      </c>
      <c r="I105" s="468">
        <v>0</v>
      </c>
    </row>
    <row r="106" spans="1:11" ht="13">
      <c r="A106" s="2">
        <f t="shared" si="17"/>
        <v>80</v>
      </c>
      <c r="B106" s="127" t="s">
        <v>1705</v>
      </c>
      <c r="C106" s="459">
        <f>SUM(C74:C105)</f>
        <v>323633616.67818421</v>
      </c>
      <c r="D106" s="459">
        <f>SUM(D74:D105)</f>
        <v>104642149.32525699</v>
      </c>
      <c r="E106" s="459">
        <f>SUM(E74:E105)</f>
        <v>218991467.35292715</v>
      </c>
      <c r="F106" s="469"/>
      <c r="G106" s="459">
        <f>SUM(G74:G105)</f>
        <v>147734144.12607563</v>
      </c>
      <c r="H106" s="459">
        <f>SUM(H74:H105)</f>
        <v>44935379.08684855</v>
      </c>
      <c r="I106" s="459">
        <f>SUM(I74:I105)</f>
        <v>102798765.03922711</v>
      </c>
      <c r="K106" s="300"/>
    </row>
    <row r="107" spans="1:11" ht="13">
      <c r="A107" s="2">
        <f t="shared" si="17"/>
        <v>81</v>
      </c>
      <c r="C107" s="300"/>
      <c r="D107" s="300"/>
      <c r="E107" s="300"/>
      <c r="F107" s="469"/>
      <c r="G107" s="470"/>
      <c r="H107" s="465"/>
      <c r="I107" s="465"/>
      <c r="J107" s="465"/>
      <c r="K107" s="300"/>
    </row>
    <row r="108" spans="1:11" ht="13">
      <c r="A108" s="2"/>
      <c r="B108" s="127"/>
      <c r="C108" s="222"/>
      <c r="D108" s="222"/>
      <c r="E108" s="222"/>
      <c r="F108" s="223"/>
      <c r="G108" s="224"/>
      <c r="H108" s="222"/>
      <c r="I108" s="222"/>
      <c r="J108" s="222"/>
    </row>
    <row r="109" spans="1:11" ht="13">
      <c r="A109" s="2"/>
      <c r="B109" s="48" t="s">
        <v>345</v>
      </c>
      <c r="C109" s="214" t="s">
        <v>346</v>
      </c>
      <c r="D109" s="214" t="s">
        <v>347</v>
      </c>
      <c r="E109" s="214" t="s">
        <v>348</v>
      </c>
      <c r="F109" s="214" t="s">
        <v>349</v>
      </c>
      <c r="G109" s="214" t="s">
        <v>350</v>
      </c>
      <c r="H109" s="214" t="s">
        <v>351</v>
      </c>
      <c r="I109" s="214" t="s">
        <v>352</v>
      </c>
      <c r="J109" s="214" t="s">
        <v>353</v>
      </c>
    </row>
    <row r="110" spans="1:11" ht="13">
      <c r="A110" s="2"/>
      <c r="C110" s="241" t="s">
        <v>1690</v>
      </c>
      <c r="D110" s="241" t="s">
        <v>1691</v>
      </c>
      <c r="E110" s="241" t="s">
        <v>1692</v>
      </c>
      <c r="F110" s="444" t="s">
        <v>129</v>
      </c>
      <c r="G110" s="624" t="s">
        <v>1622</v>
      </c>
      <c r="H110" s="624" t="s">
        <v>1693</v>
      </c>
      <c r="I110" s="624" t="s">
        <v>1694</v>
      </c>
    </row>
    <row r="111" spans="1:11" ht="13">
      <c r="A111" s="2"/>
      <c r="H111" s="241"/>
      <c r="I111" s="241"/>
    </row>
    <row r="112" spans="1:11" ht="13">
      <c r="A112" s="2"/>
      <c r="B112" s="1213" t="s">
        <v>1628</v>
      </c>
      <c r="C112" s="1214" t="s">
        <v>1631</v>
      </c>
      <c r="D112" s="1212"/>
      <c r="E112" s="1215"/>
      <c r="F112" s="220" t="s">
        <v>1695</v>
      </c>
      <c r="G112" s="1214" t="s">
        <v>1696</v>
      </c>
      <c r="H112" s="1212"/>
      <c r="I112" s="1215"/>
      <c r="J112" s="490" t="s">
        <v>1697</v>
      </c>
    </row>
    <row r="113" spans="1:10" ht="13">
      <c r="A113" s="2"/>
      <c r="B113" s="1213"/>
      <c r="C113" s="216" t="s">
        <v>252</v>
      </c>
      <c r="D113" s="216" t="s">
        <v>869</v>
      </c>
      <c r="E113" s="216" t="s">
        <v>1632</v>
      </c>
      <c r="F113" s="220" t="s">
        <v>1698</v>
      </c>
      <c r="G113" s="216" t="s">
        <v>252</v>
      </c>
      <c r="H113" s="216" t="s">
        <v>869</v>
      </c>
      <c r="I113" s="216" t="s">
        <v>1632</v>
      </c>
      <c r="J113" s="216" t="s">
        <v>254</v>
      </c>
    </row>
    <row r="114" spans="1:10" ht="12.75" customHeight="1">
      <c r="A114" s="2"/>
      <c r="B114" s="147" t="s">
        <v>1675</v>
      </c>
      <c r="C114" s="300"/>
      <c r="D114" s="300"/>
      <c r="E114" s="300"/>
      <c r="F114" s="469"/>
      <c r="G114" s="470"/>
      <c r="H114" s="465"/>
      <c r="I114" s="465"/>
      <c r="J114" s="465"/>
    </row>
    <row r="115" spans="1:10" ht="12.75" customHeight="1">
      <c r="A115" s="2">
        <f>A107+1</f>
        <v>82</v>
      </c>
      <c r="B115" s="243" t="s">
        <v>1676</v>
      </c>
      <c r="C115" s="300">
        <f t="shared" ref="C115:E118" si="25">J52</f>
        <v>31251731.130000055</v>
      </c>
      <c r="D115" s="300">
        <f t="shared" si="25"/>
        <v>23045109.320000052</v>
      </c>
      <c r="E115" s="300">
        <f t="shared" si="25"/>
        <v>8206621.8100000015</v>
      </c>
      <c r="F115" s="470">
        <f>'27-Allocators'!$D$54</f>
        <v>0</v>
      </c>
      <c r="G115" s="465">
        <f>SUM(H115:I115)</f>
        <v>0</v>
      </c>
      <c r="H115" s="465">
        <f>D115*F115</f>
        <v>0</v>
      </c>
      <c r="I115" s="465">
        <f>E115*F115</f>
        <v>0</v>
      </c>
      <c r="J115" s="303" t="s">
        <v>1706</v>
      </c>
    </row>
    <row r="116" spans="1:10" ht="12.75" customHeight="1">
      <c r="A116" s="2">
        <f t="shared" ref="A116:A124" si="26">A115+1</f>
        <v>83</v>
      </c>
      <c r="B116" s="243" t="s">
        <v>1677</v>
      </c>
      <c r="C116" s="300">
        <f t="shared" si="25"/>
        <v>1091542.1500000001</v>
      </c>
      <c r="D116" s="300">
        <f t="shared" si="25"/>
        <v>891048.84000000008</v>
      </c>
      <c r="E116" s="300">
        <f t="shared" si="25"/>
        <v>200493.31000000003</v>
      </c>
      <c r="F116" s="470">
        <f>'27-Allocators'!$D$54</f>
        <v>0</v>
      </c>
      <c r="G116" s="465">
        <f>SUM(H116:I116)</f>
        <v>0</v>
      </c>
      <c r="H116" s="465">
        <f t="shared" ref="H116:H119" si="27">D116*F116</f>
        <v>0</v>
      </c>
      <c r="I116" s="465">
        <f t="shared" ref="I116:I119" si="28">E116*F116</f>
        <v>0</v>
      </c>
      <c r="J116" s="303" t="s">
        <v>1706</v>
      </c>
    </row>
    <row r="117" spans="1:10" ht="12.75" customHeight="1">
      <c r="A117" s="2">
        <f t="shared" si="26"/>
        <v>84</v>
      </c>
      <c r="B117" s="243" t="s">
        <v>1678</v>
      </c>
      <c r="C117" s="300">
        <f t="shared" si="25"/>
        <v>70656.400000000009</v>
      </c>
      <c r="D117" s="300">
        <f t="shared" si="25"/>
        <v>36578.03</v>
      </c>
      <c r="E117" s="300">
        <f t="shared" si="25"/>
        <v>34078.37000000001</v>
      </c>
      <c r="F117" s="470">
        <f>'27-Allocators'!$D$54</f>
        <v>0</v>
      </c>
      <c r="G117" s="465">
        <f t="shared" ref="G117:G119" si="29">SUM(H117:I117)</f>
        <v>0</v>
      </c>
      <c r="H117" s="465">
        <f t="shared" si="27"/>
        <v>0</v>
      </c>
      <c r="I117" s="465">
        <f t="shared" si="28"/>
        <v>0</v>
      </c>
      <c r="J117" s="303" t="s">
        <v>1706</v>
      </c>
    </row>
    <row r="118" spans="1:10" ht="12.75" customHeight="1">
      <c r="A118" s="2">
        <f t="shared" si="26"/>
        <v>85</v>
      </c>
      <c r="B118" s="243" t="s">
        <v>1679</v>
      </c>
      <c r="C118" s="300">
        <f t="shared" si="25"/>
        <v>7703976.8099999959</v>
      </c>
      <c r="D118" s="300">
        <f t="shared" si="25"/>
        <v>4376063.22</v>
      </c>
      <c r="E118" s="300">
        <f t="shared" si="25"/>
        <v>3327913.5899999961</v>
      </c>
      <c r="F118" s="470">
        <f>'27-Allocators'!$D$54</f>
        <v>0</v>
      </c>
      <c r="G118" s="465">
        <f t="shared" si="29"/>
        <v>0</v>
      </c>
      <c r="H118" s="465">
        <f t="shared" si="27"/>
        <v>0</v>
      </c>
      <c r="I118" s="465">
        <f t="shared" si="28"/>
        <v>0</v>
      </c>
      <c r="J118" s="303" t="s">
        <v>1706</v>
      </c>
    </row>
    <row r="119" spans="1:10" ht="12.75" customHeight="1">
      <c r="A119" s="612">
        <f>A118+1</f>
        <v>86</v>
      </c>
      <c r="B119" s="471" t="s">
        <v>1680</v>
      </c>
      <c r="C119" s="472">
        <f t="shared" ref="C119:E120" si="30">J56</f>
        <v>947292811.64000165</v>
      </c>
      <c r="D119" s="611">
        <f t="shared" si="30"/>
        <v>287955352.00999975</v>
      </c>
      <c r="E119" s="611">
        <f t="shared" si="30"/>
        <v>659337459.6300019</v>
      </c>
      <c r="F119" s="613">
        <v>0</v>
      </c>
      <c r="G119" s="465">
        <f t="shared" si="29"/>
        <v>0</v>
      </c>
      <c r="H119" s="465">
        <f t="shared" si="27"/>
        <v>0</v>
      </c>
      <c r="I119" s="465">
        <f t="shared" si="28"/>
        <v>0</v>
      </c>
      <c r="J119" s="626" t="s">
        <v>1701</v>
      </c>
    </row>
    <row r="120" spans="1:10" ht="12.75" customHeight="1">
      <c r="A120" s="2">
        <f t="shared" si="26"/>
        <v>87</v>
      </c>
      <c r="B120" s="243" t="s">
        <v>1707</v>
      </c>
      <c r="C120" s="462">
        <f t="shared" si="30"/>
        <v>-3084085.1402293704</v>
      </c>
      <c r="D120" s="462">
        <f t="shared" si="30"/>
        <v>-3084085.1402293704</v>
      </c>
      <c r="E120" s="462">
        <f t="shared" si="30"/>
        <v>0</v>
      </c>
      <c r="F120" s="614">
        <v>0</v>
      </c>
      <c r="G120" s="468">
        <f>SUM(H120:I120)</f>
        <v>0</v>
      </c>
      <c r="H120" s="468">
        <f>D120*F120</f>
        <v>0</v>
      </c>
      <c r="I120" s="468">
        <f>E120*F120</f>
        <v>0</v>
      </c>
      <c r="J120" s="491" t="s">
        <v>1701</v>
      </c>
    </row>
    <row r="121" spans="1:10" ht="13">
      <c r="A121" s="2">
        <f t="shared" si="26"/>
        <v>88</v>
      </c>
      <c r="B121" s="127" t="s">
        <v>1708</v>
      </c>
      <c r="C121" s="300">
        <f>SUM(C115:C120)</f>
        <v>984326632.98977232</v>
      </c>
      <c r="D121" s="300">
        <f>SUM(D115:D120)</f>
        <v>313220066.27977043</v>
      </c>
      <c r="E121" s="300">
        <f>SUM(E115:E120)</f>
        <v>671106566.71000195</v>
      </c>
      <c r="F121" s="223"/>
      <c r="G121" s="459">
        <f>SUM(G115:G120)</f>
        <v>0</v>
      </c>
      <c r="H121" s="459">
        <f>SUM(H115:H120)</f>
        <v>0</v>
      </c>
      <c r="I121" s="459">
        <f>SUM(I115:I120)</f>
        <v>0</v>
      </c>
    </row>
    <row r="122" spans="1:10" ht="13">
      <c r="A122" s="2">
        <f t="shared" si="26"/>
        <v>89</v>
      </c>
      <c r="B122" s="815"/>
      <c r="C122" s="816"/>
      <c r="D122" s="816"/>
      <c r="E122" s="816"/>
      <c r="F122" s="817"/>
      <c r="G122" s="818"/>
      <c r="H122" s="819"/>
      <c r="I122" s="818"/>
      <c r="J122" s="820"/>
    </row>
    <row r="123" spans="1:10" ht="13">
      <c r="A123" s="2">
        <f t="shared" si="26"/>
        <v>90</v>
      </c>
      <c r="C123" s="300"/>
      <c r="D123" s="300"/>
      <c r="E123" s="300"/>
      <c r="F123" s="469"/>
      <c r="G123" s="465"/>
      <c r="H123" s="465"/>
      <c r="I123" s="465"/>
    </row>
    <row r="124" spans="1:10" ht="13">
      <c r="A124" s="2">
        <f t="shared" si="26"/>
        <v>91</v>
      </c>
      <c r="B124" s="127" t="s">
        <v>1709</v>
      </c>
      <c r="C124" s="300">
        <f>+C106+C121</f>
        <v>1307960249.6679566</v>
      </c>
      <c r="D124" s="300">
        <f>+D106+D121</f>
        <v>417862215.60502744</v>
      </c>
      <c r="E124" s="300">
        <f>+E106+E121</f>
        <v>890098034.06292915</v>
      </c>
      <c r="F124" s="19"/>
      <c r="G124" s="465">
        <f>+G106+G121</f>
        <v>147734144.12607563</v>
      </c>
      <c r="H124" s="300">
        <f>+H106+H121</f>
        <v>44935379.08684855</v>
      </c>
      <c r="I124" s="300">
        <f>+I106+I121</f>
        <v>102798765.03922711</v>
      </c>
    </row>
    <row r="125" spans="1:10" ht="13">
      <c r="A125" s="2">
        <f>A124+1</f>
        <v>92</v>
      </c>
      <c r="B125" s="241" t="str">
        <f>"Line "&amp;A106&amp;" + Line "&amp;A121&amp;""</f>
        <v>Line 80 + Line 88</v>
      </c>
      <c r="C125" s="816"/>
      <c r="D125" s="816"/>
      <c r="E125" s="816"/>
      <c r="F125" s="816"/>
      <c r="G125" s="816"/>
      <c r="H125" s="816"/>
      <c r="I125" s="816"/>
    </row>
    <row r="127" spans="1:10" ht="13">
      <c r="B127" s="225" t="s">
        <v>233</v>
      </c>
    </row>
    <row r="128" spans="1:10">
      <c r="B128" s="473" t="s">
        <v>1710</v>
      </c>
      <c r="H128" s="474"/>
      <c r="I128" s="474"/>
    </row>
    <row r="129" spans="2:10">
      <c r="B129" s="475" t="s">
        <v>1711</v>
      </c>
      <c r="H129" s="474"/>
      <c r="I129" s="474"/>
    </row>
    <row r="130" spans="2:10">
      <c r="B130" s="476" t="s">
        <v>1712</v>
      </c>
      <c r="H130" s="474"/>
      <c r="I130" s="474"/>
    </row>
    <row r="131" spans="2:10">
      <c r="B131" s="302" t="s">
        <v>1713</v>
      </c>
      <c r="H131" s="474"/>
      <c r="I131" s="474"/>
    </row>
    <row r="132" spans="2:10">
      <c r="B132" s="302" t="s">
        <v>1714</v>
      </c>
      <c r="H132" s="474"/>
      <c r="I132" s="474"/>
    </row>
    <row r="133" spans="2:10">
      <c r="B133" s="302" t="s">
        <v>1715</v>
      </c>
      <c r="H133" s="474"/>
      <c r="I133" s="474"/>
    </row>
    <row r="134" spans="2:10">
      <c r="B134" s="492" t="s">
        <v>1716</v>
      </c>
      <c r="H134" s="474"/>
      <c r="I134" s="474"/>
    </row>
    <row r="135" spans="2:10">
      <c r="B135" s="302" t="s">
        <v>3110</v>
      </c>
      <c r="H135" s="474"/>
      <c r="I135" s="474"/>
    </row>
    <row r="136" spans="2:10">
      <c r="B136" s="302" t="s">
        <v>1717</v>
      </c>
      <c r="H136" s="474"/>
      <c r="I136" s="474"/>
    </row>
    <row r="137" spans="2:10">
      <c r="B137" s="778"/>
      <c r="C137" s="314"/>
      <c r="D137" s="314"/>
      <c r="E137" s="448"/>
      <c r="F137" s="448"/>
      <c r="G137" s="779"/>
      <c r="H137" s="780"/>
      <c r="I137" s="780"/>
      <c r="J137" s="448"/>
    </row>
    <row r="138" spans="2:10">
      <c r="B138" s="241" t="s">
        <v>1718</v>
      </c>
      <c r="H138" s="474"/>
      <c r="I138" s="474"/>
    </row>
    <row r="139" spans="2:10">
      <c r="B139" s="241" t="s">
        <v>1719</v>
      </c>
      <c r="H139" s="474"/>
      <c r="I139" s="474"/>
    </row>
    <row r="140" spans="2:10">
      <c r="H140" s="474"/>
      <c r="I140" s="474"/>
    </row>
    <row r="141" spans="2:10">
      <c r="B141" s="254" t="s">
        <v>1720</v>
      </c>
      <c r="C141" s="806">
        <v>47</v>
      </c>
      <c r="H141" s="474"/>
      <c r="I141" s="474"/>
    </row>
    <row r="142" spans="2:10">
      <c r="H142" s="474"/>
      <c r="I142" s="474"/>
    </row>
    <row r="143" spans="2:10" ht="13">
      <c r="B143" s="477"/>
      <c r="C143" s="18" t="s">
        <v>523</v>
      </c>
      <c r="D143" s="18" t="s">
        <v>478</v>
      </c>
      <c r="H143" s="474"/>
      <c r="I143" s="474"/>
    </row>
    <row r="144" spans="2:10">
      <c r="B144" s="477" t="s">
        <v>1721</v>
      </c>
      <c r="C144" s="478">
        <f>D43/D60</f>
        <v>0.25139864703869358</v>
      </c>
      <c r="D144" s="477" t="str">
        <f>"Line "&amp;A43&amp;", Col 3 / Line "&amp;A60&amp;", Col 3"</f>
        <v>Line 33, Col 3 / Line 43, Col 3</v>
      </c>
      <c r="H144" s="474"/>
      <c r="I144" s="474"/>
    </row>
    <row r="145" spans="2:11">
      <c r="B145" s="477" t="s">
        <v>1722</v>
      </c>
      <c r="C145" s="478">
        <f>D58/D60</f>
        <v>0.74860135296130637</v>
      </c>
      <c r="D145" s="477" t="str">
        <f>"Line "&amp;A58&amp;", Col 3 / Line "&amp;A60&amp;", Col 3"</f>
        <v>Line 41, Col 3 / Line 43, Col 3</v>
      </c>
      <c r="H145" s="474"/>
      <c r="I145" s="474"/>
    </row>
    <row r="146" spans="2:11">
      <c r="H146" s="474"/>
      <c r="I146" s="474"/>
    </row>
    <row r="147" spans="2:11">
      <c r="B147" s="241" t="s">
        <v>1723</v>
      </c>
      <c r="H147" s="474"/>
      <c r="I147" s="474"/>
    </row>
    <row r="148" spans="2:11">
      <c r="B148" s="241" t="s">
        <v>1724</v>
      </c>
      <c r="H148" s="474"/>
      <c r="I148" s="474"/>
    </row>
    <row r="149" spans="2:11">
      <c r="B149" s="241" t="s">
        <v>1725</v>
      </c>
      <c r="C149" s="493">
        <f>(SUM(H74:H103)/SUM(D74:D103))</f>
        <v>0.42941949660434497</v>
      </c>
      <c r="H149" s="474"/>
      <c r="I149" s="474"/>
    </row>
    <row r="150" spans="2:11">
      <c r="B150" s="241" t="s">
        <v>1726</v>
      </c>
      <c r="H150" s="474"/>
      <c r="I150" s="474"/>
    </row>
    <row r="151" spans="2:11">
      <c r="B151" s="241" t="s">
        <v>1727</v>
      </c>
      <c r="H151" s="474"/>
      <c r="I151" s="474"/>
    </row>
    <row r="152" spans="2:11">
      <c r="B152" s="241" t="s">
        <v>1728</v>
      </c>
      <c r="H152" s="474"/>
      <c r="I152" s="474"/>
    </row>
    <row r="153" spans="2:11">
      <c r="B153" s="303" t="s">
        <v>1729</v>
      </c>
      <c r="C153" s="303"/>
      <c r="D153" s="303"/>
      <c r="E153" s="303"/>
      <c r="F153" s="303"/>
      <c r="G153" s="337"/>
      <c r="H153" s="809"/>
      <c r="I153" s="809"/>
      <c r="J153" s="303"/>
      <c r="K153" s="303"/>
    </row>
    <row r="154" spans="2:11">
      <c r="B154" s="241" t="s">
        <v>1730</v>
      </c>
    </row>
    <row r="155" spans="2:11">
      <c r="B155" s="241" t="s">
        <v>1731</v>
      </c>
    </row>
  </sheetData>
  <mergeCells count="13">
    <mergeCell ref="J49:L49"/>
    <mergeCell ref="G112:I112"/>
    <mergeCell ref="G71:I71"/>
    <mergeCell ref="B112:B113"/>
    <mergeCell ref="C112:E112"/>
    <mergeCell ref="B8:B9"/>
    <mergeCell ref="C8:E8"/>
    <mergeCell ref="G8:I8"/>
    <mergeCell ref="B71:B72"/>
    <mergeCell ref="C71:E71"/>
    <mergeCell ref="B49:B50"/>
    <mergeCell ref="C49:E49"/>
    <mergeCell ref="G49:I49"/>
  </mergeCells>
  <pageMargins left="0.7" right="0.7" top="0.75" bottom="0.75" header="0.3" footer="0.3"/>
  <pageSetup scale="42" fitToHeight="0" orientation="landscape" cellComments="asDisplayed" r:id="rId1"/>
  <headerFooter>
    <oddHeader>&amp;CSchedule 19
Operations and Maintenance
&amp;RTO2027 Draft Annual Update 
Attachment 1</oddHeader>
    <oddFooter>&amp;R&amp;A</oddFooter>
  </headerFooter>
  <rowBreaks count="1" manualBreakCount="1">
    <brk id="65"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20"/>
  <sheetViews>
    <sheetView zoomScaleNormal="100" workbookViewId="0"/>
  </sheetViews>
  <sheetFormatPr defaultRowHeight="12.5"/>
  <cols>
    <col min="1" max="1" width="4.54296875" customWidth="1"/>
    <col min="2" max="2" width="2.54296875" customWidth="1"/>
    <col min="3" max="3" width="8.54296875" customWidth="1"/>
    <col min="4" max="4" width="37.1796875" customWidth="1"/>
    <col min="5" max="5" width="14.54296875" customWidth="1"/>
    <col min="6" max="6" width="15.54296875" customWidth="1"/>
    <col min="7" max="8" width="14.54296875" customWidth="1"/>
    <col min="9" max="9" width="20" customWidth="1"/>
    <col min="10" max="10" width="15.54296875" customWidth="1"/>
    <col min="11" max="11" width="11.81640625" bestFit="1" customWidth="1"/>
  </cols>
  <sheetData>
    <row r="1" spans="1:24" ht="13">
      <c r="A1" s="1" t="s">
        <v>47</v>
      </c>
      <c r="F1" s="27" t="s">
        <v>650</v>
      </c>
      <c r="G1" s="54"/>
      <c r="H1" s="37"/>
      <c r="I1" s="37"/>
    </row>
    <row r="2" spans="1:24" ht="13">
      <c r="A2" s="1"/>
      <c r="G2" s="231" t="s">
        <v>200</v>
      </c>
      <c r="H2" s="1055" t="s">
        <v>1732</v>
      </c>
      <c r="I2" s="84"/>
    </row>
    <row r="3" spans="1:24" ht="13">
      <c r="E3" s="48" t="s">
        <v>345</v>
      </c>
      <c r="F3" s="48" t="s">
        <v>346</v>
      </c>
      <c r="G3" s="48" t="s">
        <v>347</v>
      </c>
      <c r="H3" s="48" t="s">
        <v>1733</v>
      </c>
      <c r="I3" s="48" t="s">
        <v>348</v>
      </c>
      <c r="J3" s="37"/>
    </row>
    <row r="4" spans="1:24">
      <c r="E4" s="834"/>
      <c r="G4" s="37" t="s">
        <v>590</v>
      </c>
      <c r="H4" s="234" t="s">
        <v>359</v>
      </c>
      <c r="I4" s="239" t="s">
        <v>1734</v>
      </c>
    </row>
    <row r="5" spans="1:24" ht="13">
      <c r="E5" s="2" t="s">
        <v>1735</v>
      </c>
      <c r="F5" s="19" t="s">
        <v>691</v>
      </c>
      <c r="G5" s="2" t="s">
        <v>1736</v>
      </c>
      <c r="H5" s="2" t="s">
        <v>1737</v>
      </c>
      <c r="J5" s="2"/>
    </row>
    <row r="6" spans="1:24" ht="13">
      <c r="A6" s="32" t="s">
        <v>102</v>
      </c>
      <c r="B6" s="3"/>
      <c r="C6" s="3" t="s">
        <v>1738</v>
      </c>
      <c r="D6" s="3" t="s">
        <v>878</v>
      </c>
      <c r="E6" s="3" t="s">
        <v>81</v>
      </c>
      <c r="F6" s="18" t="s">
        <v>684</v>
      </c>
      <c r="G6" s="3" t="s">
        <v>1739</v>
      </c>
      <c r="H6" s="3" t="s">
        <v>251</v>
      </c>
      <c r="I6" s="3" t="s">
        <v>204</v>
      </c>
      <c r="J6" s="3" t="s">
        <v>103</v>
      </c>
      <c r="K6" s="3"/>
      <c r="L6" s="3"/>
      <c r="M6" s="3"/>
      <c r="N6" s="3"/>
      <c r="O6" s="3"/>
      <c r="P6" s="3"/>
      <c r="Q6" s="3"/>
      <c r="R6" s="3"/>
      <c r="S6" s="3"/>
      <c r="T6" s="3"/>
      <c r="U6" s="3"/>
      <c r="V6" s="3"/>
      <c r="W6" s="3"/>
      <c r="X6" s="3"/>
    </row>
    <row r="7" spans="1:24" ht="13">
      <c r="A7" s="2">
        <v>1</v>
      </c>
      <c r="C7" s="37">
        <v>920</v>
      </c>
      <c r="D7" t="s">
        <v>1740</v>
      </c>
      <c r="E7" s="5">
        <v>576531509</v>
      </c>
      <c r="F7" s="37" t="s">
        <v>1741</v>
      </c>
      <c r="G7" s="6">
        <f>D41</f>
        <v>240376416.18530625</v>
      </c>
      <c r="H7" s="235">
        <f>'35-Other Formula Revenue'!D55</f>
        <v>202466.41212006641</v>
      </c>
      <c r="I7" s="235">
        <f>(E7-G7)+H7</f>
        <v>336357559.22681379</v>
      </c>
      <c r="J7" s="834"/>
    </row>
    <row r="8" spans="1:24" ht="13">
      <c r="A8" s="2">
        <f>A7+1</f>
        <v>2</v>
      </c>
      <c r="C8" s="37">
        <v>921</v>
      </c>
      <c r="D8" t="s">
        <v>1742</v>
      </c>
      <c r="E8" s="5">
        <v>314352408</v>
      </c>
      <c r="F8" s="37" t="s">
        <v>1743</v>
      </c>
      <c r="G8" s="6">
        <f t="shared" ref="G8:G23" si="0">D42</f>
        <v>-241958.72999999998</v>
      </c>
      <c r="H8" s="235">
        <f>'35-Other Formula Revenue'!D56</f>
        <v>170376.22489705528</v>
      </c>
      <c r="I8" s="235">
        <f t="shared" ref="I8:I23" si="1">(E8-G8)+H8</f>
        <v>314764742.95489705</v>
      </c>
    </row>
    <row r="9" spans="1:24" ht="13">
      <c r="A9" s="2">
        <f>A8+1</f>
        <v>3</v>
      </c>
      <c r="C9" s="37">
        <v>922</v>
      </c>
      <c r="D9" t="s">
        <v>1744</v>
      </c>
      <c r="E9" s="5">
        <v>-321369878</v>
      </c>
      <c r="F9" s="37" t="s">
        <v>1745</v>
      </c>
      <c r="G9" s="6">
        <f t="shared" si="0"/>
        <v>-109710792.62384</v>
      </c>
      <c r="H9" s="235">
        <f>'35-Other Formula Revenue'!D57</f>
        <v>-102133.96715460414</v>
      </c>
      <c r="I9" s="235">
        <f t="shared" si="1"/>
        <v>-211761219.34331459</v>
      </c>
      <c r="J9" s="37" t="s">
        <v>1746</v>
      </c>
    </row>
    <row r="10" spans="1:24" ht="13">
      <c r="A10" s="2">
        <f t="shared" ref="A10:A19" si="2">A9+1</f>
        <v>4</v>
      </c>
      <c r="B10" s="2"/>
      <c r="C10" s="37">
        <v>923</v>
      </c>
      <c r="D10" t="s">
        <v>1747</v>
      </c>
      <c r="E10" s="5">
        <v>25894318</v>
      </c>
      <c r="F10" s="37" t="s">
        <v>1748</v>
      </c>
      <c r="G10" s="6">
        <f t="shared" si="0"/>
        <v>2418.5</v>
      </c>
      <c r="H10" s="235">
        <f>'35-Other Formula Revenue'!D58</f>
        <v>24377.97929364334</v>
      </c>
      <c r="I10" s="235">
        <f t="shared" si="1"/>
        <v>25916277.479293644</v>
      </c>
    </row>
    <row r="11" spans="1:24" ht="13">
      <c r="A11" s="2">
        <f t="shared" si="2"/>
        <v>5</v>
      </c>
      <c r="B11" s="2"/>
      <c r="C11" s="37">
        <v>924</v>
      </c>
      <c r="D11" t="s">
        <v>1749</v>
      </c>
      <c r="E11" s="5">
        <v>14258136</v>
      </c>
      <c r="F11" s="37" t="s">
        <v>1750</v>
      </c>
      <c r="G11" s="6">
        <f t="shared" si="0"/>
        <v>-2228989.1</v>
      </c>
      <c r="H11" s="235">
        <f>'35-Other Formula Revenue'!D59</f>
        <v>0</v>
      </c>
      <c r="I11" s="235">
        <f t="shared" si="1"/>
        <v>16487125.1</v>
      </c>
    </row>
    <row r="12" spans="1:24" ht="13">
      <c r="A12" s="2">
        <f t="shared" si="2"/>
        <v>6</v>
      </c>
      <c r="B12" s="2"/>
      <c r="C12" s="37">
        <v>925</v>
      </c>
      <c r="D12" t="s">
        <v>1751</v>
      </c>
      <c r="E12" s="5">
        <v>-65268777</v>
      </c>
      <c r="F12" s="37" t="s">
        <v>1752</v>
      </c>
      <c r="G12" s="6">
        <f t="shared" si="0"/>
        <v>-670652509.42970002</v>
      </c>
      <c r="H12" s="235">
        <f>'35-Other Formula Revenue'!D60</f>
        <v>636215.71918483078</v>
      </c>
      <c r="I12" s="235">
        <f t="shared" si="1"/>
        <v>606019948.14888489</v>
      </c>
    </row>
    <row r="13" spans="1:24" ht="13">
      <c r="A13" s="2">
        <f t="shared" si="2"/>
        <v>7</v>
      </c>
      <c r="B13" s="2"/>
      <c r="C13" s="37">
        <v>926</v>
      </c>
      <c r="D13" t="s">
        <v>1753</v>
      </c>
      <c r="E13" s="5">
        <v>91688331</v>
      </c>
      <c r="F13" s="37" t="s">
        <v>1754</v>
      </c>
      <c r="G13" s="6">
        <f t="shared" si="0"/>
        <v>-3127319.3361599995</v>
      </c>
      <c r="H13" s="235">
        <f>'35-Other Formula Revenue'!D61</f>
        <v>31687.632361550259</v>
      </c>
      <c r="I13" s="235">
        <f t="shared" si="1"/>
        <v>94847337.96852155</v>
      </c>
    </row>
    <row r="14" spans="1:24" ht="13">
      <c r="A14" s="2">
        <f t="shared" si="2"/>
        <v>8</v>
      </c>
      <c r="B14" s="2"/>
      <c r="C14" s="37">
        <v>927</v>
      </c>
      <c r="D14" t="s">
        <v>1755</v>
      </c>
      <c r="E14" s="5">
        <v>159711474</v>
      </c>
      <c r="F14" s="37" t="s">
        <v>1756</v>
      </c>
      <c r="G14" s="6">
        <f t="shared" si="0"/>
        <v>159711474</v>
      </c>
      <c r="H14" s="235">
        <f>'35-Other Formula Revenue'!D62</f>
        <v>94761.499091477512</v>
      </c>
      <c r="I14" s="235">
        <f>(E14-G14)+H14-H14</f>
        <v>0</v>
      </c>
      <c r="J14" s="279" t="s">
        <v>1757</v>
      </c>
      <c r="L14" s="834"/>
    </row>
    <row r="15" spans="1:24" ht="13">
      <c r="A15" s="2">
        <f t="shared" si="2"/>
        <v>9</v>
      </c>
      <c r="B15" s="2"/>
      <c r="C15" s="37">
        <v>928</v>
      </c>
      <c r="D15" s="233" t="s">
        <v>1758</v>
      </c>
      <c r="E15" s="5">
        <v>16567293</v>
      </c>
      <c r="F15" s="37" t="s">
        <v>1759</v>
      </c>
      <c r="G15" s="6">
        <f t="shared" si="0"/>
        <v>13314053.25</v>
      </c>
      <c r="H15" s="235">
        <f>'35-Other Formula Revenue'!D63</f>
        <v>2992.2758177351197</v>
      </c>
      <c r="I15" s="235">
        <f t="shared" si="1"/>
        <v>3256232.0258177351</v>
      </c>
    </row>
    <row r="16" spans="1:24" ht="13.4" customHeight="1">
      <c r="A16" s="2">
        <f t="shared" si="2"/>
        <v>10</v>
      </c>
      <c r="B16" s="2"/>
      <c r="C16" s="37">
        <v>929</v>
      </c>
      <c r="D16" t="s">
        <v>1760</v>
      </c>
      <c r="E16" s="5">
        <v>0</v>
      </c>
      <c r="F16" s="37" t="s">
        <v>1761</v>
      </c>
      <c r="G16" s="6">
        <f t="shared" si="0"/>
        <v>0</v>
      </c>
      <c r="H16" s="235">
        <f>'35-Other Formula Revenue'!D64</f>
        <v>0</v>
      </c>
      <c r="I16" s="235">
        <f t="shared" si="1"/>
        <v>0</v>
      </c>
    </row>
    <row r="17" spans="1:10" ht="13">
      <c r="A17" s="2">
        <f t="shared" si="2"/>
        <v>11</v>
      </c>
      <c r="B17" s="2"/>
      <c r="C17" s="37">
        <v>930.1</v>
      </c>
      <c r="D17" t="s">
        <v>1762</v>
      </c>
      <c r="E17" s="5">
        <v>11586993</v>
      </c>
      <c r="F17" s="37" t="s">
        <v>1763</v>
      </c>
      <c r="G17" s="6">
        <f t="shared" si="0"/>
        <v>0</v>
      </c>
      <c r="H17" s="235">
        <f>'35-Other Formula Revenue'!D65</f>
        <v>8195.4845244985809</v>
      </c>
      <c r="I17" s="235">
        <f>(E17-G17)+H17</f>
        <v>11595188.484524498</v>
      </c>
    </row>
    <row r="18" spans="1:10" ht="13">
      <c r="A18" s="2">
        <f t="shared" si="2"/>
        <v>12</v>
      </c>
      <c r="B18" s="2"/>
      <c r="C18" s="37">
        <v>930.2</v>
      </c>
      <c r="D18" t="s">
        <v>1764</v>
      </c>
      <c r="E18" s="5">
        <v>45601577</v>
      </c>
      <c r="F18" s="37" t="s">
        <v>1765</v>
      </c>
      <c r="G18" s="6">
        <f t="shared" si="0"/>
        <v>31346789.91</v>
      </c>
      <c r="H18" s="235">
        <f>'35-Other Formula Revenue'!D66</f>
        <v>10945.006192446112</v>
      </c>
      <c r="I18" s="235">
        <f t="shared" si="1"/>
        <v>14265732.096192446</v>
      </c>
    </row>
    <row r="19" spans="1:10" ht="13">
      <c r="A19" s="2">
        <f t="shared" si="2"/>
        <v>13</v>
      </c>
      <c r="B19" s="2"/>
      <c r="C19" s="37">
        <v>931</v>
      </c>
      <c r="D19" t="s">
        <v>1766</v>
      </c>
      <c r="E19" s="5">
        <v>9725770</v>
      </c>
      <c r="F19" s="37" t="s">
        <v>1767</v>
      </c>
      <c r="G19" s="6">
        <f t="shared" si="0"/>
        <v>0</v>
      </c>
      <c r="H19" s="235">
        <f>'35-Other Formula Revenue'!D67</f>
        <v>5412.8614967056956</v>
      </c>
      <c r="I19" s="235">
        <f t="shared" si="1"/>
        <v>9731182.8614967056</v>
      </c>
    </row>
    <row r="20" spans="1:10" ht="13.4" customHeight="1">
      <c r="A20" s="2" t="s">
        <v>664</v>
      </c>
      <c r="B20" s="2"/>
      <c r="C20" s="1094">
        <v>935</v>
      </c>
      <c r="D20" s="245" t="s">
        <v>1768</v>
      </c>
      <c r="E20" s="529">
        <v>27184971</v>
      </c>
      <c r="F20" s="37" t="s">
        <v>1769</v>
      </c>
      <c r="G20" s="6">
        <f t="shared" si="0"/>
        <v>264283.95</v>
      </c>
      <c r="H20" s="235">
        <f>'35-Other Formula Revenue'!D68</f>
        <v>16735.835865171946</v>
      </c>
      <c r="I20" s="235">
        <f t="shared" si="1"/>
        <v>26937422.885865174</v>
      </c>
    </row>
    <row r="21" spans="1:10" ht="13">
      <c r="A21" s="2" t="s">
        <v>665</v>
      </c>
      <c r="B21" s="2"/>
      <c r="C21" s="1094">
        <v>935.1</v>
      </c>
      <c r="D21" s="245" t="s">
        <v>1770</v>
      </c>
      <c r="E21" s="529">
        <v>5045106</v>
      </c>
      <c r="F21" s="1094" t="s">
        <v>1771</v>
      </c>
      <c r="G21" s="235">
        <f>D55</f>
        <v>0</v>
      </c>
      <c r="H21" s="235">
        <f>'35-Other Formula Revenue'!D69</f>
        <v>0</v>
      </c>
      <c r="I21" s="235">
        <f>(E21-G21)+H21</f>
        <v>5045106</v>
      </c>
      <c r="J21" s="659"/>
    </row>
    <row r="22" spans="1:10" ht="13">
      <c r="A22" s="2" t="s">
        <v>666</v>
      </c>
      <c r="B22" s="2"/>
      <c r="C22" s="1094">
        <v>935.2</v>
      </c>
      <c r="D22" s="245" t="s">
        <v>1772</v>
      </c>
      <c r="E22" s="529">
        <v>3643616</v>
      </c>
      <c r="F22" s="1094" t="s">
        <v>1773</v>
      </c>
      <c r="G22" s="235">
        <f t="shared" si="0"/>
        <v>0</v>
      </c>
      <c r="H22" s="235">
        <f>'35-Other Formula Revenue'!D70</f>
        <v>0</v>
      </c>
      <c r="I22" s="235">
        <f t="shared" si="1"/>
        <v>3643616</v>
      </c>
      <c r="J22" s="610"/>
    </row>
    <row r="23" spans="1:10" ht="13">
      <c r="A23" s="2" t="s">
        <v>667</v>
      </c>
      <c r="B23" s="2"/>
      <c r="C23" s="1094">
        <v>935.3</v>
      </c>
      <c r="D23" s="245" t="s">
        <v>1774</v>
      </c>
      <c r="E23" s="60">
        <v>3136157</v>
      </c>
      <c r="F23" s="1094" t="s">
        <v>1775</v>
      </c>
      <c r="G23" s="235">
        <f t="shared" si="0"/>
        <v>0</v>
      </c>
      <c r="H23" s="235">
        <f>'35-Other Formula Revenue'!D71</f>
        <v>0</v>
      </c>
      <c r="I23" s="53">
        <f t="shared" si="1"/>
        <v>3136157</v>
      </c>
      <c r="J23" s="610"/>
    </row>
    <row r="24" spans="1:10" ht="13">
      <c r="A24" s="2">
        <v>15</v>
      </c>
      <c r="E24" s="6">
        <f>SUM(E7:E23)</f>
        <v>918289004</v>
      </c>
      <c r="H24" s="231" t="s">
        <v>1776</v>
      </c>
      <c r="I24" s="235">
        <f>SUM(I7:I23)</f>
        <v>1260242408.8889928</v>
      </c>
    </row>
    <row r="26" spans="1:10" ht="13">
      <c r="F26" s="3" t="s">
        <v>81</v>
      </c>
      <c r="G26" s="3" t="s">
        <v>684</v>
      </c>
      <c r="H26" s="838"/>
      <c r="I26" s="834"/>
    </row>
    <row r="27" spans="1:10" ht="13">
      <c r="A27" s="2">
        <f>A24+1</f>
        <v>16</v>
      </c>
      <c r="E27" s="231" t="s">
        <v>1777</v>
      </c>
      <c r="F27" s="6">
        <f>I24</f>
        <v>1260242408.8889928</v>
      </c>
      <c r="G27" s="232" t="str">
        <f>"Line "&amp;A24&amp;""</f>
        <v>Line 15</v>
      </c>
    </row>
    <row r="28" spans="1:10" ht="13">
      <c r="A28" s="2">
        <f t="shared" ref="A28:A34" si="3">A27+1</f>
        <v>17</v>
      </c>
      <c r="E28" s="231" t="s">
        <v>1778</v>
      </c>
      <c r="F28" s="53">
        <f>I11</f>
        <v>16487125.1</v>
      </c>
      <c r="G28" s="232" t="str">
        <f>"Line "&amp;A11&amp;""</f>
        <v>Line 5</v>
      </c>
    </row>
    <row r="29" spans="1:10" ht="13">
      <c r="A29" s="2">
        <f t="shared" si="3"/>
        <v>18</v>
      </c>
      <c r="E29" s="231" t="s">
        <v>1779</v>
      </c>
      <c r="F29" s="6">
        <f>F27-F28</f>
        <v>1243755283.7889929</v>
      </c>
      <c r="G29" s="232" t="str">
        <f>"Line "&amp;A27&amp;" - Line "&amp;A28&amp;""</f>
        <v>Line 16 - Line 17</v>
      </c>
    </row>
    <row r="30" spans="1:10" ht="13">
      <c r="A30" s="2">
        <f t="shared" si="3"/>
        <v>19</v>
      </c>
      <c r="E30" s="25" t="s">
        <v>1780</v>
      </c>
      <c r="F30" s="29">
        <f>'27-Allocators'!G15</f>
        <v>6.4531762547854879E-2</v>
      </c>
      <c r="G30" s="232" t="str">
        <f>"27-Allocators, Line "&amp;'27-Allocators'!A15&amp;""</f>
        <v>27-Allocators, Line 9</v>
      </c>
    </row>
    <row r="31" spans="1:10" ht="13">
      <c r="A31" s="2">
        <f t="shared" si="3"/>
        <v>20</v>
      </c>
      <c r="E31" s="231" t="s">
        <v>1781</v>
      </c>
      <c r="F31" s="6">
        <f>F29*F30</f>
        <v>80261720.64111115</v>
      </c>
      <c r="G31" s="232" t="str">
        <f>"Line "&amp;A29&amp;" * Line "&amp;A30&amp;""</f>
        <v>Line 18 * Line 19</v>
      </c>
    </row>
    <row r="32" spans="1:10" ht="13">
      <c r="A32" s="2">
        <f t="shared" si="3"/>
        <v>21</v>
      </c>
      <c r="E32" s="231" t="s">
        <v>1782</v>
      </c>
      <c r="F32" s="7">
        <f>'27-Allocators'!G28</f>
        <v>0.16919973215259246</v>
      </c>
      <c r="G32" s="12" t="str">
        <f>"27-Allocators, Line "&amp;'27-Allocators'!A28&amp;""</f>
        <v>27-Allocators, Line 22</v>
      </c>
    </row>
    <row r="33" spans="1:11" ht="13">
      <c r="A33" s="2">
        <f t="shared" si="3"/>
        <v>22</v>
      </c>
      <c r="E33" s="231" t="s">
        <v>1783</v>
      </c>
      <c r="F33" s="53">
        <f>I11*F32</f>
        <v>2789617.1508862842</v>
      </c>
      <c r="G33" s="232" t="str">
        <f>"Line "&amp;A11&amp;" Col 4 * Line "&amp;A32&amp;""</f>
        <v>Line 5 Col 4 * Line 21</v>
      </c>
    </row>
    <row r="34" spans="1:11" ht="13">
      <c r="A34" s="2">
        <f t="shared" si="3"/>
        <v>23</v>
      </c>
      <c r="E34" s="231" t="s">
        <v>1784</v>
      </c>
      <c r="F34" s="235">
        <f>F31+F33</f>
        <v>83051337.791997433</v>
      </c>
      <c r="G34" s="232" t="str">
        <f>"Line "&amp;A31&amp;" + Line "&amp;A33&amp;""</f>
        <v>Line 20 + Line 22</v>
      </c>
    </row>
    <row r="36" spans="1:11" ht="13">
      <c r="B36" s="1" t="s">
        <v>1785</v>
      </c>
      <c r="E36" s="48" t="s">
        <v>345</v>
      </c>
      <c r="F36" s="48" t="s">
        <v>346</v>
      </c>
      <c r="G36" s="48" t="s">
        <v>347</v>
      </c>
      <c r="H36" s="48" t="s">
        <v>348</v>
      </c>
    </row>
    <row r="37" spans="1:11" ht="13">
      <c r="B37" s="1"/>
      <c r="C37" s="39" t="s">
        <v>200</v>
      </c>
      <c r="D37" s="1055" t="s">
        <v>1732</v>
      </c>
      <c r="E37" s="2" t="s">
        <v>1786</v>
      </c>
      <c r="F37" s="48"/>
      <c r="G37" s="48"/>
      <c r="H37" s="48"/>
    </row>
    <row r="38" spans="1:11" ht="13">
      <c r="E38" s="2" t="s">
        <v>1787</v>
      </c>
    </row>
    <row r="39" spans="1:11" ht="13">
      <c r="D39" s="2" t="s">
        <v>1788</v>
      </c>
      <c r="E39" s="2" t="s">
        <v>1789</v>
      </c>
      <c r="F39" s="2" t="s">
        <v>1790</v>
      </c>
      <c r="G39" s="2"/>
      <c r="H39" s="2"/>
    </row>
    <row r="40" spans="1:11" ht="13">
      <c r="C40" s="3" t="s">
        <v>1738</v>
      </c>
      <c r="D40" s="48" t="s">
        <v>1791</v>
      </c>
      <c r="E40" s="3" t="s">
        <v>1630</v>
      </c>
      <c r="F40" s="3" t="s">
        <v>1792</v>
      </c>
      <c r="G40" s="3" t="s">
        <v>1793</v>
      </c>
      <c r="H40" s="3" t="s">
        <v>1794</v>
      </c>
      <c r="I40" s="3" t="s">
        <v>103</v>
      </c>
    </row>
    <row r="41" spans="1:11" ht="13">
      <c r="A41" s="2">
        <f>A34+1</f>
        <v>24</v>
      </c>
      <c r="C41" s="37">
        <v>920</v>
      </c>
      <c r="D41" s="79">
        <f>SUM(E41:H41)</f>
        <v>240376416.18530625</v>
      </c>
      <c r="E41" s="253">
        <v>39901183.338999994</v>
      </c>
      <c r="F41" s="59"/>
      <c r="G41" s="6">
        <f>G65</f>
        <v>200475232.84630626</v>
      </c>
      <c r="H41" s="59"/>
      <c r="I41" s="232" t="s">
        <v>1795</v>
      </c>
    </row>
    <row r="42" spans="1:11" ht="13">
      <c r="A42" s="2">
        <f>A41+1</f>
        <v>25</v>
      </c>
      <c r="C42" s="37">
        <v>921</v>
      </c>
      <c r="D42" s="79">
        <f t="shared" ref="D42:D57" si="4">SUM(E42:H42)</f>
        <v>-241958.72999999998</v>
      </c>
      <c r="E42" s="253">
        <v>-241958.72999999998</v>
      </c>
      <c r="F42" s="59"/>
      <c r="G42" s="59">
        <v>0</v>
      </c>
      <c r="H42" s="59"/>
      <c r="I42" s="12"/>
      <c r="K42" s="235"/>
    </row>
    <row r="43" spans="1:11" ht="13">
      <c r="A43" s="2">
        <f t="shared" ref="A43:A57" si="5">A42+1</f>
        <v>26</v>
      </c>
      <c r="C43" s="37">
        <v>922</v>
      </c>
      <c r="D43" s="79">
        <f t="shared" si="4"/>
        <v>-109710792.62384</v>
      </c>
      <c r="E43" s="253">
        <v>-5890216.6238400005</v>
      </c>
      <c r="F43" s="253"/>
      <c r="G43" s="253">
        <v>-103820576</v>
      </c>
      <c r="H43" s="59"/>
      <c r="I43" s="12"/>
      <c r="K43" s="235"/>
    </row>
    <row r="44" spans="1:11" ht="13">
      <c r="A44" s="2">
        <f t="shared" si="5"/>
        <v>27</v>
      </c>
      <c r="C44" s="37">
        <v>923</v>
      </c>
      <c r="D44" s="79">
        <f t="shared" si="4"/>
        <v>2418.5</v>
      </c>
      <c r="E44" s="253">
        <v>2418.5</v>
      </c>
      <c r="F44" s="59"/>
      <c r="G44" s="59">
        <v>0</v>
      </c>
      <c r="H44" s="59"/>
      <c r="I44" s="12"/>
      <c r="J44" s="3"/>
      <c r="K44" s="235"/>
    </row>
    <row r="45" spans="1:11" ht="13">
      <c r="A45" s="2">
        <f t="shared" si="5"/>
        <v>28</v>
      </c>
      <c r="C45" s="37">
        <v>924</v>
      </c>
      <c r="D45" s="79">
        <f t="shared" si="4"/>
        <v>-2228989.1</v>
      </c>
      <c r="E45" s="253">
        <v>-2228989.1</v>
      </c>
      <c r="F45" s="59"/>
      <c r="G45" s="59">
        <v>0</v>
      </c>
      <c r="H45" s="59"/>
      <c r="I45" s="12"/>
      <c r="K45" s="235"/>
    </row>
    <row r="46" spans="1:11" ht="13">
      <c r="A46" s="2">
        <f t="shared" si="5"/>
        <v>29</v>
      </c>
      <c r="C46" s="37">
        <v>925</v>
      </c>
      <c r="D46" s="79">
        <f t="shared" si="4"/>
        <v>-670652509.42970002</v>
      </c>
      <c r="E46" s="253">
        <v>-670652509.42970002</v>
      </c>
      <c r="F46" s="59"/>
      <c r="G46" s="59">
        <v>0</v>
      </c>
      <c r="H46" s="59"/>
      <c r="I46" s="232" t="s">
        <v>1796</v>
      </c>
      <c r="K46" s="235"/>
    </row>
    <row r="47" spans="1:11" ht="13">
      <c r="A47" s="2">
        <f t="shared" si="5"/>
        <v>30</v>
      </c>
      <c r="C47" s="37">
        <v>926</v>
      </c>
      <c r="D47" s="79">
        <f>SUM(E47:H47)</f>
        <v>-3127319.3361599995</v>
      </c>
      <c r="E47" s="253">
        <v>8272680.6638400005</v>
      </c>
      <c r="F47" s="59"/>
      <c r="G47" s="59">
        <v>0</v>
      </c>
      <c r="H47" s="6">
        <f>E78</f>
        <v>-11400000</v>
      </c>
      <c r="I47" s="232" t="s">
        <v>356</v>
      </c>
      <c r="K47" s="235"/>
    </row>
    <row r="48" spans="1:11" ht="13">
      <c r="A48" s="2">
        <f t="shared" si="5"/>
        <v>31</v>
      </c>
      <c r="C48" s="37">
        <v>927</v>
      </c>
      <c r="D48" s="79">
        <f>SUM(E48:H48)</f>
        <v>159711474</v>
      </c>
      <c r="E48" s="6">
        <v>0</v>
      </c>
      <c r="F48" s="6">
        <f>E14</f>
        <v>159711474</v>
      </c>
      <c r="G48" s="6">
        <v>0</v>
      </c>
      <c r="H48" s="6">
        <v>0</v>
      </c>
      <c r="I48" s="12" t="s">
        <v>357</v>
      </c>
      <c r="K48" s="235"/>
    </row>
    <row r="49" spans="1:11" ht="13">
      <c r="A49" s="2">
        <f t="shared" si="5"/>
        <v>32</v>
      </c>
      <c r="C49" s="37">
        <v>928</v>
      </c>
      <c r="D49" s="79">
        <f t="shared" si="4"/>
        <v>13314053.25</v>
      </c>
      <c r="E49" s="253">
        <v>13314053.25</v>
      </c>
      <c r="F49" s="116"/>
      <c r="G49" s="315"/>
      <c r="H49" s="59"/>
      <c r="I49" s="12"/>
      <c r="K49" s="6"/>
    </row>
    <row r="50" spans="1:11" ht="13">
      <c r="A50" s="2">
        <f t="shared" si="5"/>
        <v>33</v>
      </c>
      <c r="C50" s="37">
        <v>929</v>
      </c>
      <c r="D50" s="79">
        <f t="shared" si="4"/>
        <v>0</v>
      </c>
      <c r="E50" s="253">
        <v>0</v>
      </c>
      <c r="F50" s="116"/>
      <c r="G50" s="315"/>
      <c r="H50" s="59"/>
      <c r="I50" s="12"/>
      <c r="K50" s="6"/>
    </row>
    <row r="51" spans="1:11" ht="13">
      <c r="A51" s="2">
        <f t="shared" si="5"/>
        <v>34</v>
      </c>
      <c r="C51" s="37">
        <v>930.1</v>
      </c>
      <c r="D51" s="79">
        <f t="shared" si="4"/>
        <v>0</v>
      </c>
      <c r="E51" s="253">
        <v>0</v>
      </c>
      <c r="F51" s="253"/>
      <c r="G51" s="315"/>
      <c r="H51" s="59"/>
      <c r="I51" s="12"/>
      <c r="K51" s="6"/>
    </row>
    <row r="52" spans="1:11" ht="13">
      <c r="A52" s="2">
        <f t="shared" si="5"/>
        <v>35</v>
      </c>
      <c r="C52" s="37">
        <v>930.2</v>
      </c>
      <c r="D52" s="79">
        <f t="shared" si="4"/>
        <v>31346789.91</v>
      </c>
      <c r="E52" s="253">
        <v>31346789.91</v>
      </c>
      <c r="F52" s="116"/>
      <c r="G52" s="315"/>
      <c r="H52" s="59"/>
      <c r="I52" s="12"/>
      <c r="J52" s="235"/>
    </row>
    <row r="53" spans="1:11" ht="13">
      <c r="A53" s="2">
        <f t="shared" si="5"/>
        <v>36</v>
      </c>
      <c r="C53" s="37">
        <v>931</v>
      </c>
      <c r="D53" s="79">
        <f t="shared" si="4"/>
        <v>0</v>
      </c>
      <c r="E53" s="253">
        <v>0</v>
      </c>
      <c r="F53" s="116"/>
      <c r="G53" s="315"/>
      <c r="H53" s="59"/>
      <c r="I53" s="12"/>
      <c r="J53" s="6"/>
    </row>
    <row r="54" spans="1:11" ht="13">
      <c r="A54" s="2">
        <f t="shared" si="5"/>
        <v>37</v>
      </c>
      <c r="C54" s="37">
        <v>935</v>
      </c>
      <c r="D54" s="79">
        <f t="shared" si="4"/>
        <v>264283.95</v>
      </c>
      <c r="E54" s="253">
        <v>264283.95</v>
      </c>
      <c r="F54" s="116"/>
      <c r="G54" s="315"/>
      <c r="H54" s="59"/>
      <c r="I54" s="1021"/>
    </row>
    <row r="55" spans="1:11" ht="13">
      <c r="A55" s="2">
        <f t="shared" si="5"/>
        <v>38</v>
      </c>
      <c r="B55" s="233"/>
      <c r="C55" s="234">
        <v>935.1</v>
      </c>
      <c r="D55" s="908">
        <f t="shared" si="4"/>
        <v>0</v>
      </c>
      <c r="E55" s="253">
        <v>0</v>
      </c>
      <c r="F55" s="1114"/>
      <c r="G55" s="1115"/>
      <c r="H55" s="1114"/>
      <c r="I55" s="1021"/>
    </row>
    <row r="56" spans="1:11" ht="13">
      <c r="A56" s="2">
        <f t="shared" si="5"/>
        <v>39</v>
      </c>
      <c r="B56" s="233"/>
      <c r="C56" s="234">
        <v>935.2</v>
      </c>
      <c r="D56" s="908">
        <f t="shared" si="4"/>
        <v>0</v>
      </c>
      <c r="E56" s="253">
        <v>0</v>
      </c>
      <c r="F56" s="1114"/>
      <c r="G56" s="1115"/>
      <c r="H56" s="1114"/>
      <c r="I56" s="1021"/>
    </row>
    <row r="57" spans="1:11" ht="13">
      <c r="A57" s="2">
        <f t="shared" si="5"/>
        <v>40</v>
      </c>
      <c r="B57" s="233"/>
      <c r="C57" s="234">
        <v>935.3</v>
      </c>
      <c r="D57" s="908">
        <f t="shared" si="4"/>
        <v>0</v>
      </c>
      <c r="E57" s="253">
        <v>0</v>
      </c>
      <c r="F57" s="1114"/>
      <c r="G57" s="1115"/>
      <c r="H57" s="1114"/>
      <c r="I57" s="1021"/>
    </row>
    <row r="58" spans="1:11" ht="13">
      <c r="A58" s="2"/>
      <c r="C58" s="37"/>
      <c r="D58" s="79"/>
      <c r="E58" s="79"/>
      <c r="F58" s="79"/>
      <c r="G58" s="79"/>
      <c r="H58" s="6"/>
      <c r="I58" s="12"/>
    </row>
    <row r="59" spans="1:11" ht="13">
      <c r="B59" s="1" t="s">
        <v>1797</v>
      </c>
    </row>
    <row r="60" spans="1:11" ht="13">
      <c r="B60" s="1"/>
      <c r="C60" s="233" t="s">
        <v>1798</v>
      </c>
      <c r="G60" s="2"/>
      <c r="H60" s="2"/>
    </row>
    <row r="61" spans="1:11" ht="13">
      <c r="B61" s="1"/>
      <c r="C61" s="303" t="s">
        <v>1799</v>
      </c>
      <c r="D61" s="303"/>
      <c r="E61" s="303"/>
      <c r="G61" s="2"/>
      <c r="H61" s="2"/>
    </row>
    <row r="62" spans="1:11" ht="13">
      <c r="B62" s="1"/>
      <c r="C62" s="39"/>
      <c r="D62" s="39"/>
      <c r="G62" s="3" t="s">
        <v>81</v>
      </c>
      <c r="H62" s="3" t="s">
        <v>684</v>
      </c>
    </row>
    <row r="63" spans="1:11" ht="13">
      <c r="A63" s="2"/>
      <c r="B63" s="2" t="s">
        <v>527</v>
      </c>
      <c r="C63" s="657"/>
      <c r="F63" s="231" t="s">
        <v>1800</v>
      </c>
      <c r="G63" s="253">
        <v>196258176.94999999</v>
      </c>
      <c r="H63" s="232" t="s">
        <v>957</v>
      </c>
    </row>
    <row r="64" spans="1:11" ht="13">
      <c r="A64" s="2"/>
      <c r="B64" s="2" t="s">
        <v>530</v>
      </c>
      <c r="C64" s="233"/>
      <c r="F64" s="231" t="s">
        <v>1801</v>
      </c>
      <c r="G64" s="53">
        <f>E68</f>
        <v>-4217055.8963062838</v>
      </c>
      <c r="H64" s="232" t="str">
        <f>"Note 2, "&amp;B68&amp;""</f>
        <v>Note 2, d</v>
      </c>
    </row>
    <row r="65" spans="1:9" ht="13">
      <c r="A65" s="2"/>
      <c r="B65" s="2" t="s">
        <v>533</v>
      </c>
      <c r="F65" s="231" t="s">
        <v>1802</v>
      </c>
      <c r="G65" s="6">
        <f>G63-G64</f>
        <v>200475232.84630626</v>
      </c>
    </row>
    <row r="66" spans="1:9" ht="13">
      <c r="A66" s="2"/>
      <c r="C66" s="303" t="s">
        <v>1803</v>
      </c>
      <c r="D66" s="303"/>
      <c r="E66" s="303"/>
      <c r="G66" s="6"/>
    </row>
    <row r="67" spans="1:9" ht="13">
      <c r="A67" s="2"/>
      <c r="D67" s="30" t="s">
        <v>1804</v>
      </c>
      <c r="E67" s="3" t="s">
        <v>81</v>
      </c>
      <c r="F67" s="3" t="s">
        <v>684</v>
      </c>
      <c r="G67" s="6"/>
    </row>
    <row r="68" spans="1:9" ht="13">
      <c r="A68" s="2"/>
      <c r="B68" s="2" t="s">
        <v>535</v>
      </c>
      <c r="D68" t="s">
        <v>1805</v>
      </c>
      <c r="E68" s="315">
        <v>-4217055.8963062838</v>
      </c>
      <c r="F68" s="232" t="s">
        <v>1806</v>
      </c>
      <c r="G68" s="6"/>
    </row>
    <row r="69" spans="1:9" ht="13">
      <c r="A69" s="2"/>
      <c r="B69" s="2" t="s">
        <v>539</v>
      </c>
      <c r="D69" s="233" t="s">
        <v>424</v>
      </c>
      <c r="E69" s="315">
        <v>-1398373.0237188339</v>
      </c>
      <c r="F69" s="232" t="s">
        <v>1806</v>
      </c>
      <c r="G69" s="6"/>
      <c r="I69" s="306"/>
    </row>
    <row r="70" spans="1:9" ht="13">
      <c r="A70" s="2"/>
      <c r="B70" s="2" t="s">
        <v>541</v>
      </c>
      <c r="D70" s="233" t="s">
        <v>1807</v>
      </c>
      <c r="E70" s="1076">
        <v>-4119796.3749723285</v>
      </c>
      <c r="F70" s="232" t="s">
        <v>1806</v>
      </c>
      <c r="G70" s="6"/>
      <c r="I70" s="6"/>
    </row>
    <row r="71" spans="1:9" ht="13">
      <c r="A71" s="2"/>
      <c r="B71" s="2" t="s">
        <v>543</v>
      </c>
      <c r="D71" s="231" t="s">
        <v>418</v>
      </c>
      <c r="E71" s="6">
        <f>SUM(E68:E70)</f>
        <v>-9735225.2949974462</v>
      </c>
      <c r="F71" s="232" t="str">
        <f>"Sum of "&amp;B68&amp;" to "&amp;B70&amp;""</f>
        <v>Sum of d to f</v>
      </c>
      <c r="G71" s="6"/>
    </row>
    <row r="73" spans="1:9" ht="13">
      <c r="B73" s="1" t="s">
        <v>1808</v>
      </c>
    </row>
    <row r="74" spans="1:9" ht="13">
      <c r="E74" s="3" t="s">
        <v>81</v>
      </c>
      <c r="F74" s="30" t="s">
        <v>416</v>
      </c>
    </row>
    <row r="75" spans="1:9" ht="13">
      <c r="A75" s="2"/>
      <c r="B75" s="2" t="s">
        <v>527</v>
      </c>
      <c r="D75" s="231" t="s">
        <v>1809</v>
      </c>
      <c r="E75" s="261">
        <v>-11400000</v>
      </c>
      <c r="F75" s="232" t="s">
        <v>1810</v>
      </c>
    </row>
    <row r="76" spans="1:9" ht="13">
      <c r="A76" s="2"/>
      <c r="B76" s="2" t="s">
        <v>530</v>
      </c>
      <c r="D76" s="231" t="s">
        <v>1811</v>
      </c>
      <c r="E76" s="263">
        <v>0</v>
      </c>
      <c r="F76" s="232" t="s">
        <v>1812</v>
      </c>
    </row>
    <row r="77" spans="1:9" ht="13">
      <c r="A77" s="2"/>
      <c r="B77" s="2" t="s">
        <v>533</v>
      </c>
      <c r="D77" s="231" t="s">
        <v>1813</v>
      </c>
      <c r="E77" s="61">
        <v>-11400000</v>
      </c>
      <c r="F77" s="232" t="s">
        <v>957</v>
      </c>
    </row>
    <row r="78" spans="1:9" ht="13">
      <c r="A78" s="2"/>
      <c r="B78" s="2" t="s">
        <v>535</v>
      </c>
      <c r="D78" s="231" t="s">
        <v>1814</v>
      </c>
      <c r="E78" s="6">
        <f>E77-E76</f>
        <v>-11400000</v>
      </c>
      <c r="F78" s="232" t="str">
        <f>""&amp;B77&amp;" - "&amp;B76&amp;""</f>
        <v>c - b</v>
      </c>
    </row>
    <row r="79" spans="1:9" ht="13">
      <c r="A79" s="2"/>
      <c r="B79" s="1" t="s">
        <v>1815</v>
      </c>
      <c r="D79" s="231"/>
      <c r="E79" s="6"/>
      <c r="F79" s="232"/>
    </row>
    <row r="80" spans="1:9" ht="13">
      <c r="A80" s="2"/>
      <c r="B80" s="1"/>
      <c r="C80" t="str">
        <f>"Amount in Line "&amp;A48&amp;", column 2 equals amount in Line "&amp;A14&amp;", column 1 because all Franchise Requirements Expenses are excluded"</f>
        <v>Amount in Line 31, column 2 equals amount in Line 8, column 1 because all Franchise Requirements Expenses are excluded</v>
      </c>
      <c r="D80" s="231"/>
      <c r="E80" s="6"/>
      <c r="F80" s="232"/>
    </row>
    <row r="81" spans="1:8" ht="13">
      <c r="A81" s="2"/>
      <c r="B81" s="1"/>
      <c r="C81" s="233" t="s">
        <v>1816</v>
      </c>
      <c r="D81" s="231"/>
      <c r="E81" s="6"/>
      <c r="F81" s="232"/>
    </row>
    <row r="82" spans="1:8" ht="13">
      <c r="A82" s="2"/>
      <c r="B82" s="1" t="s">
        <v>1817</v>
      </c>
      <c r="C82" s="233"/>
      <c r="D82" s="231"/>
      <c r="E82" s="235"/>
      <c r="F82" s="232"/>
      <c r="G82" s="233"/>
      <c r="H82" s="233"/>
    </row>
    <row r="83" spans="1:8" ht="13">
      <c r="A83" s="2"/>
      <c r="B83" s="1"/>
      <c r="C83" s="233" t="s">
        <v>1818</v>
      </c>
      <c r="D83" s="231"/>
      <c r="E83" s="235"/>
      <c r="F83" s="232"/>
      <c r="G83" s="233"/>
      <c r="H83" s="233"/>
    </row>
    <row r="84" spans="1:8" ht="13">
      <c r="A84" s="2"/>
      <c r="B84" s="1"/>
      <c r="C84" s="233" t="s">
        <v>1819</v>
      </c>
      <c r="D84" s="231"/>
      <c r="E84" s="235"/>
      <c r="F84" s="232"/>
      <c r="G84" s="233"/>
      <c r="H84" s="233"/>
    </row>
    <row r="85" spans="1:8">
      <c r="B85" s="233"/>
      <c r="C85" s="233" t="s">
        <v>1820</v>
      </c>
      <c r="D85" s="233"/>
      <c r="E85" s="233"/>
      <c r="F85" s="233"/>
      <c r="G85" s="233"/>
      <c r="H85" s="233"/>
    </row>
    <row r="86" spans="1:8" ht="13">
      <c r="B86" s="1" t="s">
        <v>442</v>
      </c>
    </row>
    <row r="87" spans="1:8">
      <c r="C87" s="233" t="str">
        <f>"1) Enter amounts of A&amp;G expenses from FERC Form 1 in Lines "&amp;A7&amp;" to "&amp;A20&amp;"."</f>
        <v>1) Enter amounts of A&amp;G expenses from FERC Form 1 in Lines 1 to 14a.</v>
      </c>
    </row>
    <row r="88" spans="1:8">
      <c r="C88" s="233" t="s">
        <v>1821</v>
      </c>
      <c r="G88" t="str">
        <f>"Column 3, Line "&amp;A41&amp;""</f>
        <v>Column 3, Line 24</v>
      </c>
    </row>
    <row r="89" spans="1:8">
      <c r="C89" s="232" t="str">
        <f>"is calculated in Note 2.  The PBOPs exclusion in Column 4, Line "&amp;A47&amp;" is calculated in Note 3."</f>
        <v>is calculated in Note 2.  The PBOPs exclusion in Column 4, Line 30 is calculated in Note 3.</v>
      </c>
      <c r="G89" s="233"/>
    </row>
    <row r="90" spans="1:8">
      <c r="C90" s="232" t="s">
        <v>1822</v>
      </c>
    </row>
    <row r="91" spans="1:8" s="1089" customFormat="1">
      <c r="C91" s="232" t="s">
        <v>1823</v>
      </c>
      <c r="D91" s="231"/>
      <c r="E91" s="1120"/>
      <c r="F91" s="1121"/>
    </row>
    <row r="92" spans="1:8" s="1089" customFormat="1">
      <c r="C92" s="232" t="s">
        <v>3106</v>
      </c>
      <c r="D92" s="231"/>
      <c r="E92" s="1120"/>
      <c r="F92" s="1121"/>
    </row>
    <row r="93" spans="1:8">
      <c r="C93" s="232" t="s">
        <v>1824</v>
      </c>
    </row>
    <row r="94" spans="1:8">
      <c r="C94" s="232" t="s">
        <v>1825</v>
      </c>
    </row>
    <row r="95" spans="1:8">
      <c r="C95" s="232" t="s">
        <v>1826</v>
      </c>
    </row>
    <row r="96" spans="1:8">
      <c r="C96" s="232" t="s">
        <v>1827</v>
      </c>
    </row>
    <row r="97" spans="3:10">
      <c r="C97" s="232" t="s">
        <v>1828</v>
      </c>
    </row>
    <row r="98" spans="3:10">
      <c r="C98" s="232" t="s">
        <v>1829</v>
      </c>
      <c r="D98" s="233"/>
      <c r="E98" s="494"/>
      <c r="F98" s="494"/>
      <c r="G98" s="494"/>
    </row>
    <row r="99" spans="3:10">
      <c r="C99" s="247" t="s">
        <v>1830</v>
      </c>
      <c r="D99" s="233"/>
      <c r="E99" s="494"/>
      <c r="F99" s="494"/>
      <c r="G99" s="494"/>
    </row>
    <row r="100" spans="3:10">
      <c r="C100" s="247" t="s">
        <v>1831</v>
      </c>
      <c r="D100" s="233"/>
      <c r="E100" s="494"/>
      <c r="F100" s="494"/>
      <c r="G100" s="494"/>
    </row>
    <row r="101" spans="3:10">
      <c r="C101" s="247" t="s">
        <v>1832</v>
      </c>
      <c r="D101" s="233"/>
      <c r="E101" s="494"/>
      <c r="F101" s="494"/>
      <c r="G101" s="494"/>
    </row>
    <row r="102" spans="3:10">
      <c r="C102" s="232" t="s">
        <v>1833</v>
      </c>
      <c r="D102" s="233"/>
      <c r="E102" s="494"/>
      <c r="F102" s="494"/>
      <c r="G102" s="494"/>
    </row>
    <row r="103" spans="3:10">
      <c r="C103" s="247" t="s">
        <v>1834</v>
      </c>
      <c r="D103" s="233"/>
      <c r="E103" s="494"/>
      <c r="F103" s="494"/>
      <c r="G103" s="494"/>
    </row>
    <row r="104" spans="3:10">
      <c r="C104" s="247" t="s">
        <v>1835</v>
      </c>
      <c r="D104" s="233"/>
      <c r="E104" s="494"/>
      <c r="F104" s="494"/>
      <c r="G104" s="494"/>
    </row>
    <row r="105" spans="3:10">
      <c r="C105" s="247" t="s">
        <v>1836</v>
      </c>
      <c r="D105" s="233"/>
      <c r="E105" s="494"/>
      <c r="F105" s="494"/>
      <c r="G105" s="494"/>
    </row>
    <row r="106" spans="3:10">
      <c r="C106" s="247" t="s">
        <v>1837</v>
      </c>
      <c r="D106" s="233"/>
      <c r="E106" s="494"/>
      <c r="F106" s="494"/>
      <c r="G106" s="494"/>
    </row>
    <row r="107" spans="3:10" ht="13">
      <c r="C107" s="329" t="s">
        <v>1838</v>
      </c>
      <c r="D107" s="303"/>
      <c r="E107" s="303"/>
      <c r="F107" s="303"/>
      <c r="G107" s="303"/>
      <c r="H107" s="303"/>
      <c r="I107" s="303"/>
      <c r="J107" s="303"/>
    </row>
    <row r="108" spans="3:10">
      <c r="C108" s="233" t="s">
        <v>1839</v>
      </c>
    </row>
    <row r="109" spans="3:10">
      <c r="C109" s="329" t="s">
        <v>1840</v>
      </c>
      <c r="D109" s="303"/>
      <c r="E109" s="303"/>
      <c r="F109" s="303"/>
      <c r="G109" s="303"/>
      <c r="H109" s="303"/>
      <c r="I109" s="303"/>
    </row>
    <row r="110" spans="3:10">
      <c r="C110" s="233" t="str">
        <f>"4) Determine the PBOPs exclusion.  The authorized amount of PBOPs expense (line "&amp;B75&amp;") may only be revised"</f>
        <v>4) Determine the PBOPs exclusion.  The authorized amount of PBOPs expense (line a) may only be revised</v>
      </c>
    </row>
    <row r="111" spans="3:10">
      <c r="C111" s="233" t="s">
        <v>1841</v>
      </c>
    </row>
    <row r="112" spans="3:10">
      <c r="C112" s="233" t="s">
        <v>1842</v>
      </c>
    </row>
    <row r="113" spans="3:10">
      <c r="C113" s="233" t="s">
        <v>1843</v>
      </c>
      <c r="I113" s="240" t="s">
        <v>3201</v>
      </c>
      <c r="J113" s="240"/>
    </row>
    <row r="114" spans="3:10">
      <c r="C114" s="233" t="s">
        <v>1844</v>
      </c>
    </row>
    <row r="115" spans="3:10">
      <c r="C115" t="s">
        <v>1845</v>
      </c>
    </row>
    <row r="116" spans="3:10">
      <c r="C116" t="s">
        <v>1846</v>
      </c>
    </row>
    <row r="117" spans="3:10">
      <c r="C117" t="s">
        <v>1847</v>
      </c>
    </row>
    <row r="118" spans="3:10">
      <c r="C118" t="s">
        <v>1848</v>
      </c>
    </row>
    <row r="119" spans="3:10">
      <c r="C119" t="s">
        <v>1849</v>
      </c>
    </row>
    <row r="120" spans="3:10">
      <c r="C120" s="1101"/>
    </row>
  </sheetData>
  <phoneticPr fontId="26" type="noConversion"/>
  <pageMargins left="0.75" right="0.75" top="1" bottom="1" header="0.5" footer="0.5"/>
  <pageSetup scale="58" orientation="landscape" cellComments="asDisplayed" r:id="rId1"/>
  <headerFooter alignWithMargins="0">
    <oddHeader>&amp;CSchedule 20
Administrative and General Expenses
&amp;RTO2027 Draft Annual Update 
Attachment 1</oddHeader>
    <oddFooter>&amp;R&amp;A</oddFooter>
  </headerFooter>
  <rowBreaks count="1" manualBreakCount="1">
    <brk id="58"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313"/>
  <sheetViews>
    <sheetView zoomScaleNormal="100" workbookViewId="0">
      <selection activeCell="A3" sqref="A3"/>
    </sheetView>
  </sheetViews>
  <sheetFormatPr defaultRowHeight="12.5"/>
  <cols>
    <col min="1" max="1" width="7" style="11" customWidth="1"/>
    <col min="2" max="2" width="8.54296875" style="11" customWidth="1"/>
    <col min="3" max="3" width="9.54296875" style="11" customWidth="1"/>
    <col min="4" max="4" width="51.54296875" style="11" customWidth="1"/>
    <col min="5" max="6" width="16.453125" style="180" customWidth="1"/>
    <col min="7" max="7" width="18.453125" style="180" bestFit="1" customWidth="1"/>
    <col min="8" max="8" width="15.54296875" style="50" bestFit="1" customWidth="1"/>
    <col min="9" max="9" width="16.54296875" style="50" bestFit="1" customWidth="1"/>
    <col min="10" max="10" width="15.54296875" style="180" customWidth="1"/>
    <col min="11" max="11" width="6.54296875" style="161" customWidth="1"/>
    <col min="12" max="12" width="16.453125" style="155" customWidth="1"/>
    <col min="13" max="13" width="17.453125" style="50" bestFit="1" customWidth="1"/>
    <col min="14" max="14" width="18.453125" style="180" bestFit="1" customWidth="1"/>
    <col min="15" max="15" width="8.54296875" style="50" customWidth="1"/>
  </cols>
  <sheetData>
    <row r="1" spans="1:17" ht="13">
      <c r="A1" s="171"/>
      <c r="B1" s="106" t="s">
        <v>1640</v>
      </c>
      <c r="C1" s="106" t="s">
        <v>1644</v>
      </c>
      <c r="D1" s="106" t="s">
        <v>1650</v>
      </c>
      <c r="E1" s="106" t="s">
        <v>1655</v>
      </c>
      <c r="F1" s="106" t="s">
        <v>1663</v>
      </c>
      <c r="G1" s="106" t="s">
        <v>1653</v>
      </c>
      <c r="H1" s="106" t="s">
        <v>1850</v>
      </c>
      <c r="I1" s="106" t="s">
        <v>1851</v>
      </c>
      <c r="J1" s="106" t="s">
        <v>1852</v>
      </c>
      <c r="K1" s="106" t="s">
        <v>1853</v>
      </c>
      <c r="L1" s="106" t="s">
        <v>1854</v>
      </c>
      <c r="M1" s="106" t="s">
        <v>1855</v>
      </c>
      <c r="N1" s="106" t="s">
        <v>1856</v>
      </c>
      <c r="O1" s="106" t="s">
        <v>1857</v>
      </c>
      <c r="Q1" s="2"/>
    </row>
    <row r="2" spans="1:17">
      <c r="A2" s="875"/>
      <c r="B2" s="876"/>
      <c r="C2" s="876"/>
      <c r="D2" s="876"/>
      <c r="E2" s="877"/>
      <c r="F2" s="877"/>
      <c r="G2" s="1220" t="s">
        <v>1858</v>
      </c>
      <c r="H2" s="1221"/>
      <c r="I2" s="1222"/>
      <c r="J2" s="1220" t="s">
        <v>1859</v>
      </c>
      <c r="K2" s="1221"/>
      <c r="L2" s="1221"/>
      <c r="M2" s="1222"/>
      <c r="N2" s="878" t="s">
        <v>1860</v>
      </c>
      <c r="O2" s="875"/>
    </row>
    <row r="3" spans="1:17" ht="26.25" customHeight="1">
      <c r="A3" s="107" t="s">
        <v>282</v>
      </c>
      <c r="B3" s="108" t="s">
        <v>1861</v>
      </c>
      <c r="C3" s="108" t="s">
        <v>1862</v>
      </c>
      <c r="D3" s="108" t="s">
        <v>1863</v>
      </c>
      <c r="E3" s="1030" t="s">
        <v>1864</v>
      </c>
      <c r="F3" s="150" t="s">
        <v>1865</v>
      </c>
      <c r="G3" s="150" t="s">
        <v>252</v>
      </c>
      <c r="H3" s="107" t="s">
        <v>1698</v>
      </c>
      <c r="I3" s="107" t="s">
        <v>1866</v>
      </c>
      <c r="J3" s="149" t="s">
        <v>252</v>
      </c>
      <c r="K3" s="160" t="s">
        <v>1867</v>
      </c>
      <c r="L3" s="151" t="s">
        <v>1868</v>
      </c>
      <c r="M3" s="107" t="s">
        <v>1258</v>
      </c>
      <c r="N3" s="149" t="s">
        <v>252</v>
      </c>
      <c r="O3" s="107" t="s">
        <v>103</v>
      </c>
    </row>
    <row r="4" spans="1:17">
      <c r="A4" s="498" t="s">
        <v>1869</v>
      </c>
      <c r="B4" s="606">
        <v>450</v>
      </c>
      <c r="C4" s="1027">
        <v>4191110</v>
      </c>
      <c r="D4" s="497" t="s">
        <v>1870</v>
      </c>
      <c r="E4" s="1032">
        <v>5948747.4000000004</v>
      </c>
      <c r="F4" s="1032" t="s">
        <v>1858</v>
      </c>
      <c r="G4" s="879">
        <f>IF(F4=$G$2,E4,0)</f>
        <v>5948747.4000000004</v>
      </c>
      <c r="H4" s="280">
        <v>0</v>
      </c>
      <c r="I4" s="495">
        <f>G4-H4</f>
        <v>5948747.4000000004</v>
      </c>
      <c r="J4" s="879">
        <f>IF(F4=$J$2,E4,0)</f>
        <v>0</v>
      </c>
      <c r="K4" s="880"/>
      <c r="L4" s="551"/>
      <c r="M4" s="495">
        <f>J4-L4</f>
        <v>0</v>
      </c>
      <c r="N4" s="879">
        <f>IF(F4=$N$2,E4,0)</f>
        <v>0</v>
      </c>
      <c r="O4" s="280">
        <v>1</v>
      </c>
    </row>
    <row r="5" spans="1:17">
      <c r="A5" s="498" t="s">
        <v>1871</v>
      </c>
      <c r="B5" s="606">
        <v>450</v>
      </c>
      <c r="C5" s="1027">
        <v>4191115</v>
      </c>
      <c r="D5" s="497" t="s">
        <v>1872</v>
      </c>
      <c r="E5" s="1032">
        <v>18516384.719999999</v>
      </c>
      <c r="F5" s="1032" t="s">
        <v>1858</v>
      </c>
      <c r="G5" s="879">
        <f>IF(F5=$G$2,E5,0)</f>
        <v>18516384.719999999</v>
      </c>
      <c r="H5" s="280">
        <v>0</v>
      </c>
      <c r="I5" s="495">
        <f>G5-H5</f>
        <v>18516384.719999999</v>
      </c>
      <c r="J5" s="879">
        <f>IF(F5=$J$2,E5,0)</f>
        <v>0</v>
      </c>
      <c r="K5" s="880"/>
      <c r="L5" s="551"/>
      <c r="M5" s="495">
        <f>J5-L5</f>
        <v>0</v>
      </c>
      <c r="N5" s="879">
        <f>IF(F5=$N$2,E5,0)</f>
        <v>0</v>
      </c>
      <c r="O5" s="280">
        <v>1</v>
      </c>
    </row>
    <row r="6" spans="1:17">
      <c r="A6" s="577"/>
      <c r="B6" s="790"/>
      <c r="C6" s="792"/>
      <c r="D6" s="578"/>
      <c r="E6" s="1031"/>
      <c r="F6" s="881"/>
      <c r="G6" s="551"/>
      <c r="H6" s="579"/>
      <c r="I6" s="391"/>
      <c r="J6" s="551"/>
      <c r="K6" s="882"/>
      <c r="L6" s="551"/>
      <c r="M6" s="391"/>
      <c r="N6" s="551"/>
      <c r="O6" s="579"/>
    </row>
    <row r="7" spans="1:17">
      <c r="A7" s="577"/>
      <c r="B7" s="790"/>
      <c r="C7" s="792"/>
      <c r="D7" s="578"/>
      <c r="E7" s="881"/>
      <c r="F7" s="881"/>
      <c r="G7" s="551"/>
      <c r="H7" s="579"/>
      <c r="I7" s="391"/>
      <c r="J7" s="551"/>
      <c r="K7" s="882"/>
      <c r="L7" s="551"/>
      <c r="M7" s="391"/>
      <c r="N7" s="551"/>
      <c r="O7" s="579"/>
    </row>
    <row r="8" spans="1:17" ht="13">
      <c r="A8" s="498">
        <v>2</v>
      </c>
      <c r="B8" s="1228" t="s">
        <v>1873</v>
      </c>
      <c r="C8" s="1221"/>
      <c r="D8" s="1222"/>
      <c r="E8" s="158">
        <f>SUM(E4:E7)</f>
        <v>24465132.119999997</v>
      </c>
      <c r="F8" s="165"/>
      <c r="G8" s="158">
        <f>SUM(G4:G7)</f>
        <v>24465132.119999997</v>
      </c>
      <c r="H8" s="106">
        <f>SUM(H4:H7)</f>
        <v>0</v>
      </c>
      <c r="I8" s="158">
        <f>SUM(I4:I7)</f>
        <v>24465132.119999997</v>
      </c>
      <c r="J8" s="158">
        <f>SUM(J4:J7)</f>
        <v>0</v>
      </c>
      <c r="K8" s="165"/>
      <c r="L8" s="158">
        <f>SUM(L4:L7)</f>
        <v>0</v>
      </c>
      <c r="M8" s="158">
        <f>SUM(M4:M7)</f>
        <v>0</v>
      </c>
      <c r="N8" s="158">
        <f>SUM(N4:N7)</f>
        <v>0</v>
      </c>
      <c r="O8" s="280"/>
    </row>
    <row r="9" spans="1:17" ht="12.75" customHeight="1">
      <c r="A9" s="498">
        <v>3</v>
      </c>
      <c r="B9" s="1223" t="s">
        <v>1874</v>
      </c>
      <c r="C9" s="1224"/>
      <c r="D9" s="1225"/>
      <c r="E9" s="576">
        <v>24465132</v>
      </c>
      <c r="F9" s="157"/>
      <c r="G9" s="154"/>
      <c r="H9" s="157"/>
      <c r="I9" s="157"/>
      <c r="J9" s="154"/>
      <c r="K9" s="157"/>
      <c r="L9" s="154"/>
      <c r="M9" s="154"/>
      <c r="N9" s="154"/>
      <c r="O9" s="2"/>
    </row>
    <row r="10" spans="1:17" ht="13">
      <c r="A10" s="4"/>
      <c r="B10" s="1"/>
      <c r="C10" s="109"/>
      <c r="D10" s="109"/>
      <c r="E10" s="154"/>
      <c r="F10" s="154"/>
      <c r="G10" s="154"/>
      <c r="H10" s="157"/>
      <c r="I10" s="157"/>
      <c r="J10" s="154"/>
      <c r="K10" s="157"/>
      <c r="L10" s="154"/>
      <c r="M10" s="154"/>
      <c r="N10" s="154"/>
      <c r="O10" s="2"/>
    </row>
    <row r="11" spans="1:17">
      <c r="A11" s="498" t="s">
        <v>1152</v>
      </c>
      <c r="B11" s="606">
        <v>451</v>
      </c>
      <c r="C11" s="1027">
        <v>4182110</v>
      </c>
      <c r="D11" s="1028" t="s">
        <v>1875</v>
      </c>
      <c r="E11" s="1183">
        <v>143557.43</v>
      </c>
      <c r="F11" s="527" t="s">
        <v>1858</v>
      </c>
      <c r="G11" s="768">
        <f t="shared" ref="G11:G20" si="0">IF(F11=$G$2,E11,0)</f>
        <v>143557.43</v>
      </c>
      <c r="H11" s="769">
        <v>0</v>
      </c>
      <c r="I11" s="769">
        <f>G11-H11</f>
        <v>143557.43</v>
      </c>
      <c r="J11" s="768">
        <f t="shared" ref="J11:J20" si="1">IF(F11=$J$2,E11,0)</f>
        <v>0</v>
      </c>
      <c r="K11" s="768"/>
      <c r="L11" s="551"/>
      <c r="M11" s="769">
        <f t="shared" ref="M11:M17" si="2">J11-L11</f>
        <v>0</v>
      </c>
      <c r="N11" s="768">
        <f t="shared" ref="N11:N18" si="3">IF(F11=$N$2,E11,0)</f>
        <v>0</v>
      </c>
      <c r="O11" s="769">
        <v>1</v>
      </c>
    </row>
    <row r="12" spans="1:17">
      <c r="A12" s="498" t="s">
        <v>1876</v>
      </c>
      <c r="B12" s="606">
        <v>451</v>
      </c>
      <c r="C12" s="1027">
        <v>4182115</v>
      </c>
      <c r="D12" s="1028" t="s">
        <v>1877</v>
      </c>
      <c r="E12" s="1183">
        <v>267898.78000000003</v>
      </c>
      <c r="F12" s="527" t="s">
        <v>1858</v>
      </c>
      <c r="G12" s="768">
        <f>IF(F12=$G$2,E12,0)</f>
        <v>267898.78000000003</v>
      </c>
      <c r="H12" s="769">
        <v>0</v>
      </c>
      <c r="I12" s="769">
        <f t="shared" ref="I12:I20" si="4">G12-H12</f>
        <v>267898.78000000003</v>
      </c>
      <c r="J12" s="768">
        <f t="shared" si="1"/>
        <v>0</v>
      </c>
      <c r="K12" s="768"/>
      <c r="L12" s="551"/>
      <c r="M12" s="769">
        <f t="shared" si="2"/>
        <v>0</v>
      </c>
      <c r="N12" s="768">
        <f t="shared" si="3"/>
        <v>0</v>
      </c>
      <c r="O12" s="769">
        <v>1</v>
      </c>
    </row>
    <row r="13" spans="1:17">
      <c r="A13" s="498" t="s">
        <v>1878</v>
      </c>
      <c r="B13" s="606">
        <v>451</v>
      </c>
      <c r="C13" s="1027">
        <v>4192110</v>
      </c>
      <c r="D13" s="1028" t="s">
        <v>1879</v>
      </c>
      <c r="E13" s="1032"/>
      <c r="F13" s="527" t="s">
        <v>1858</v>
      </c>
      <c r="G13" s="768">
        <f t="shared" si="0"/>
        <v>0</v>
      </c>
      <c r="H13" s="769">
        <v>0</v>
      </c>
      <c r="I13" s="769">
        <f t="shared" si="4"/>
        <v>0</v>
      </c>
      <c r="J13" s="768">
        <f t="shared" si="1"/>
        <v>0</v>
      </c>
      <c r="K13" s="768"/>
      <c r="L13" s="551"/>
      <c r="M13" s="769">
        <f t="shared" si="2"/>
        <v>0</v>
      </c>
      <c r="N13" s="768">
        <f t="shared" si="3"/>
        <v>0</v>
      </c>
      <c r="O13" s="769">
        <v>1</v>
      </c>
    </row>
    <row r="14" spans="1:17">
      <c r="A14" s="498" t="s">
        <v>1880</v>
      </c>
      <c r="B14" s="606">
        <v>451</v>
      </c>
      <c r="C14" s="1027">
        <v>4192115</v>
      </c>
      <c r="D14" s="1028" t="s">
        <v>1881</v>
      </c>
      <c r="E14" s="1032">
        <v>1665566.44</v>
      </c>
      <c r="F14" s="527" t="s">
        <v>1858</v>
      </c>
      <c r="G14" s="768">
        <f t="shared" si="0"/>
        <v>1665566.44</v>
      </c>
      <c r="H14" s="769">
        <v>0</v>
      </c>
      <c r="I14" s="769">
        <f t="shared" si="4"/>
        <v>1665566.44</v>
      </c>
      <c r="J14" s="768">
        <f t="shared" si="1"/>
        <v>0</v>
      </c>
      <c r="K14" s="768"/>
      <c r="L14" s="551"/>
      <c r="M14" s="769">
        <f t="shared" si="2"/>
        <v>0</v>
      </c>
      <c r="N14" s="768">
        <f t="shared" si="3"/>
        <v>0</v>
      </c>
      <c r="O14" s="769">
        <v>1</v>
      </c>
    </row>
    <row r="15" spans="1:17">
      <c r="A15" s="498" t="s">
        <v>1882</v>
      </c>
      <c r="B15" s="606">
        <v>451</v>
      </c>
      <c r="C15" s="1027">
        <v>4192125</v>
      </c>
      <c r="D15" s="1028" t="s">
        <v>1883</v>
      </c>
      <c r="E15" s="1032"/>
      <c r="F15" s="527" t="s">
        <v>1858</v>
      </c>
      <c r="G15" s="768">
        <f t="shared" si="0"/>
        <v>0</v>
      </c>
      <c r="H15" s="769">
        <v>0</v>
      </c>
      <c r="I15" s="769">
        <f t="shared" si="4"/>
        <v>0</v>
      </c>
      <c r="J15" s="768">
        <f t="shared" si="1"/>
        <v>0</v>
      </c>
      <c r="K15" s="768"/>
      <c r="L15" s="551"/>
      <c r="M15" s="769">
        <f t="shared" si="2"/>
        <v>0</v>
      </c>
      <c r="N15" s="768">
        <f t="shared" si="3"/>
        <v>0</v>
      </c>
      <c r="O15" s="769">
        <v>1</v>
      </c>
    </row>
    <row r="16" spans="1:17">
      <c r="A16" s="498" t="s">
        <v>1884</v>
      </c>
      <c r="B16" s="606">
        <v>451</v>
      </c>
      <c r="C16" s="1027">
        <v>4192130</v>
      </c>
      <c r="D16" s="1028" t="s">
        <v>1885</v>
      </c>
      <c r="E16" s="1032"/>
      <c r="F16" s="527" t="s">
        <v>1858</v>
      </c>
      <c r="G16" s="768">
        <f t="shared" si="0"/>
        <v>0</v>
      </c>
      <c r="H16" s="769">
        <v>0</v>
      </c>
      <c r="I16" s="769">
        <f t="shared" si="4"/>
        <v>0</v>
      </c>
      <c r="J16" s="768">
        <f t="shared" si="1"/>
        <v>0</v>
      </c>
      <c r="K16" s="768"/>
      <c r="L16" s="551"/>
      <c r="M16" s="769">
        <f t="shared" si="2"/>
        <v>0</v>
      </c>
      <c r="N16" s="768">
        <f t="shared" si="3"/>
        <v>0</v>
      </c>
      <c r="O16" s="769">
        <v>1</v>
      </c>
    </row>
    <row r="17" spans="1:17">
      <c r="A17" s="498" t="s">
        <v>1886</v>
      </c>
      <c r="B17" s="606">
        <v>451</v>
      </c>
      <c r="C17" s="1027">
        <v>4192140</v>
      </c>
      <c r="D17" s="1028" t="s">
        <v>1887</v>
      </c>
      <c r="E17" s="1032"/>
      <c r="F17" s="527" t="s">
        <v>1858</v>
      </c>
      <c r="G17" s="768">
        <f t="shared" si="0"/>
        <v>0</v>
      </c>
      <c r="H17" s="769">
        <v>0</v>
      </c>
      <c r="I17" s="769">
        <f t="shared" si="4"/>
        <v>0</v>
      </c>
      <c r="J17" s="768">
        <f t="shared" si="1"/>
        <v>0</v>
      </c>
      <c r="K17" s="768"/>
      <c r="L17" s="551"/>
      <c r="M17" s="769">
        <f t="shared" si="2"/>
        <v>0</v>
      </c>
      <c r="N17" s="768">
        <f t="shared" si="3"/>
        <v>0</v>
      </c>
      <c r="O17" s="769">
        <v>1</v>
      </c>
    </row>
    <row r="18" spans="1:17">
      <c r="A18" s="498" t="s">
        <v>1888</v>
      </c>
      <c r="B18" s="606">
        <v>451</v>
      </c>
      <c r="C18" s="1027">
        <v>4192510</v>
      </c>
      <c r="D18" s="1028" t="s">
        <v>1889</v>
      </c>
      <c r="E18" s="1032"/>
      <c r="F18" s="527" t="s">
        <v>1859</v>
      </c>
      <c r="G18" s="768">
        <f t="shared" si="0"/>
        <v>0</v>
      </c>
      <c r="H18" s="769">
        <v>0</v>
      </c>
      <c r="I18" s="769">
        <f t="shared" si="4"/>
        <v>0</v>
      </c>
      <c r="J18" s="768">
        <f>IF(F18=$J$2,E18,0)</f>
        <v>0</v>
      </c>
      <c r="K18" s="883" t="s">
        <v>1890</v>
      </c>
      <c r="L18" s="551"/>
      <c r="M18" s="769">
        <f t="shared" ref="M18:M26" si="5">J18-L18</f>
        <v>0</v>
      </c>
      <c r="N18" s="768">
        <f t="shared" si="3"/>
        <v>0</v>
      </c>
      <c r="O18" s="769">
        <v>2</v>
      </c>
    </row>
    <row r="19" spans="1:17">
      <c r="A19" s="498" t="s">
        <v>1891</v>
      </c>
      <c r="B19" s="606">
        <v>451</v>
      </c>
      <c r="C19" s="1027">
        <v>4192910</v>
      </c>
      <c r="D19" s="1028" t="s">
        <v>1892</v>
      </c>
      <c r="E19" s="1032">
        <v>699662.34</v>
      </c>
      <c r="F19" s="527" t="s">
        <v>1860</v>
      </c>
      <c r="G19" s="768">
        <f>IF(F19=$G$2,E19,0)</f>
        <v>0</v>
      </c>
      <c r="H19" s="769">
        <v>0</v>
      </c>
      <c r="I19" s="769">
        <f t="shared" si="4"/>
        <v>0</v>
      </c>
      <c r="J19" s="768">
        <f>IF(F19=$J$2,E19,0)</f>
        <v>0</v>
      </c>
      <c r="K19" s="768"/>
      <c r="L19" s="551"/>
      <c r="M19" s="769">
        <f t="shared" si="5"/>
        <v>0</v>
      </c>
      <c r="N19" s="768">
        <f t="shared" ref="N19:N27" si="6">IF(F19=$N$2,E19,0)</f>
        <v>699662.34</v>
      </c>
      <c r="O19" s="769">
        <v>6</v>
      </c>
    </row>
    <row r="20" spans="1:17">
      <c r="A20" s="498" t="s">
        <v>1893</v>
      </c>
      <c r="B20" s="606">
        <v>451</v>
      </c>
      <c r="C20" s="1027">
        <v>4182120</v>
      </c>
      <c r="D20" s="667" t="s">
        <v>1894</v>
      </c>
      <c r="E20" s="1032"/>
      <c r="F20" s="527" t="s">
        <v>1858</v>
      </c>
      <c r="G20" s="768">
        <f t="shared" si="0"/>
        <v>0</v>
      </c>
      <c r="H20" s="769">
        <v>0</v>
      </c>
      <c r="I20" s="769">
        <f t="shared" si="4"/>
        <v>0</v>
      </c>
      <c r="J20" s="768">
        <f t="shared" si="1"/>
        <v>0</v>
      </c>
      <c r="K20" s="768"/>
      <c r="L20" s="551"/>
      <c r="M20" s="769">
        <f t="shared" si="5"/>
        <v>0</v>
      </c>
      <c r="N20" s="768">
        <f t="shared" si="6"/>
        <v>0</v>
      </c>
      <c r="O20" s="769">
        <v>1</v>
      </c>
    </row>
    <row r="21" spans="1:17">
      <c r="A21" s="498" t="s">
        <v>1895</v>
      </c>
      <c r="B21" s="606">
        <v>451</v>
      </c>
      <c r="C21" s="1027">
        <v>4192152</v>
      </c>
      <c r="D21" s="667" t="s">
        <v>1896</v>
      </c>
      <c r="E21" s="1032">
        <v>2686</v>
      </c>
      <c r="F21" s="527" t="s">
        <v>1860</v>
      </c>
      <c r="G21" s="768">
        <f t="shared" ref="G21:G26" si="7">IF(F21=$G$2,E21,0)</f>
        <v>0</v>
      </c>
      <c r="H21" s="769">
        <v>0</v>
      </c>
      <c r="I21" s="769">
        <f t="shared" ref="I21:I27" si="8">G21-H21</f>
        <v>0</v>
      </c>
      <c r="J21" s="768">
        <f t="shared" ref="J21:J27" si="9">IF(F21=$J$2,E21,0)</f>
        <v>0</v>
      </c>
      <c r="K21" s="768"/>
      <c r="L21" s="551"/>
      <c r="M21" s="769">
        <f t="shared" si="5"/>
        <v>0</v>
      </c>
      <c r="N21" s="768">
        <f t="shared" si="6"/>
        <v>2686</v>
      </c>
      <c r="O21" s="769">
        <v>1</v>
      </c>
    </row>
    <row r="22" spans="1:17">
      <c r="A22" s="498" t="s">
        <v>1897</v>
      </c>
      <c r="B22" s="606">
        <v>451</v>
      </c>
      <c r="C22" s="1027">
        <v>4192155</v>
      </c>
      <c r="D22" s="667" t="s">
        <v>1898</v>
      </c>
      <c r="E22" s="1032">
        <v>17845</v>
      </c>
      <c r="F22" s="527" t="s">
        <v>1860</v>
      </c>
      <c r="G22" s="768">
        <f t="shared" si="7"/>
        <v>0</v>
      </c>
      <c r="H22" s="769">
        <v>0</v>
      </c>
      <c r="I22" s="769">
        <f t="shared" si="8"/>
        <v>0</v>
      </c>
      <c r="J22" s="768">
        <f t="shared" si="9"/>
        <v>0</v>
      </c>
      <c r="K22" s="768"/>
      <c r="L22" s="551"/>
      <c r="M22" s="769">
        <f t="shared" si="5"/>
        <v>0</v>
      </c>
      <c r="N22" s="768">
        <f t="shared" si="6"/>
        <v>17845</v>
      </c>
      <c r="O22" s="769">
        <v>1</v>
      </c>
    </row>
    <row r="23" spans="1:17">
      <c r="A23" s="498" t="s">
        <v>1899</v>
      </c>
      <c r="B23" s="606">
        <v>451</v>
      </c>
      <c r="C23" s="1027">
        <v>4192158</v>
      </c>
      <c r="D23" s="667" t="s">
        <v>1900</v>
      </c>
      <c r="E23" s="1032">
        <v>28720</v>
      </c>
      <c r="F23" s="527" t="s">
        <v>1860</v>
      </c>
      <c r="G23" s="768">
        <f t="shared" si="7"/>
        <v>0</v>
      </c>
      <c r="H23" s="769">
        <v>0</v>
      </c>
      <c r="I23" s="769">
        <f t="shared" si="8"/>
        <v>0</v>
      </c>
      <c r="J23" s="768">
        <f t="shared" si="9"/>
        <v>0</v>
      </c>
      <c r="K23" s="768"/>
      <c r="L23" s="551"/>
      <c r="M23" s="769">
        <f t="shared" si="5"/>
        <v>0</v>
      </c>
      <c r="N23" s="768">
        <f t="shared" si="6"/>
        <v>28720</v>
      </c>
      <c r="O23" s="769">
        <v>1</v>
      </c>
    </row>
    <row r="24" spans="1:17">
      <c r="A24" s="498" t="s">
        <v>1901</v>
      </c>
      <c r="B24" s="606">
        <v>451</v>
      </c>
      <c r="C24" s="1027">
        <v>4192160</v>
      </c>
      <c r="D24" s="667" t="s">
        <v>1902</v>
      </c>
      <c r="E24" s="1032">
        <v>96515</v>
      </c>
      <c r="F24" s="527" t="s">
        <v>1860</v>
      </c>
      <c r="G24" s="768">
        <f t="shared" si="7"/>
        <v>0</v>
      </c>
      <c r="H24" s="769">
        <v>0</v>
      </c>
      <c r="I24" s="769">
        <f t="shared" si="8"/>
        <v>0</v>
      </c>
      <c r="J24" s="768">
        <f t="shared" si="9"/>
        <v>0</v>
      </c>
      <c r="K24" s="768"/>
      <c r="L24" s="551"/>
      <c r="M24" s="769">
        <f t="shared" si="5"/>
        <v>0</v>
      </c>
      <c r="N24" s="768">
        <f t="shared" si="6"/>
        <v>96515</v>
      </c>
      <c r="O24" s="769">
        <v>1</v>
      </c>
    </row>
    <row r="25" spans="1:17">
      <c r="A25" s="498" t="s">
        <v>1903</v>
      </c>
      <c r="B25" s="606">
        <v>451</v>
      </c>
      <c r="C25" s="1027">
        <v>4192135</v>
      </c>
      <c r="D25" s="667" t="s">
        <v>1904</v>
      </c>
      <c r="E25" s="1032">
        <v>2699208.08</v>
      </c>
      <c r="F25" s="527" t="s">
        <v>1858</v>
      </c>
      <c r="G25" s="768">
        <f t="shared" si="7"/>
        <v>2699208.08</v>
      </c>
      <c r="H25" s="769">
        <v>0</v>
      </c>
      <c r="I25" s="769">
        <f t="shared" si="8"/>
        <v>2699208.08</v>
      </c>
      <c r="J25" s="768">
        <f t="shared" si="9"/>
        <v>0</v>
      </c>
      <c r="K25" s="768"/>
      <c r="L25" s="551"/>
      <c r="M25" s="769">
        <f t="shared" si="5"/>
        <v>0</v>
      </c>
      <c r="N25" s="768">
        <f t="shared" si="6"/>
        <v>0</v>
      </c>
      <c r="O25" s="769">
        <v>1</v>
      </c>
    </row>
    <row r="26" spans="1:17">
      <c r="A26" s="498" t="s">
        <v>1905</v>
      </c>
      <c r="B26" s="606">
        <v>451</v>
      </c>
      <c r="C26" s="1027">
        <v>4192145</v>
      </c>
      <c r="D26" s="667" t="s">
        <v>1906</v>
      </c>
      <c r="E26" s="1032">
        <v>1538849.09</v>
      </c>
      <c r="F26" s="527" t="s">
        <v>1858</v>
      </c>
      <c r="G26" s="768">
        <f t="shared" si="7"/>
        <v>1538849.09</v>
      </c>
      <c r="H26" s="769">
        <v>0</v>
      </c>
      <c r="I26" s="769">
        <f t="shared" si="8"/>
        <v>1538849.09</v>
      </c>
      <c r="J26" s="768">
        <f t="shared" si="9"/>
        <v>0</v>
      </c>
      <c r="K26" s="768"/>
      <c r="L26" s="551"/>
      <c r="M26" s="769">
        <f t="shared" si="5"/>
        <v>0</v>
      </c>
      <c r="N26" s="768">
        <f t="shared" si="6"/>
        <v>0</v>
      </c>
      <c r="O26" s="769">
        <v>1</v>
      </c>
    </row>
    <row r="27" spans="1:17">
      <c r="A27" s="498" t="s">
        <v>1907</v>
      </c>
      <c r="B27" s="606">
        <v>451</v>
      </c>
      <c r="C27" s="1027">
        <v>4192150</v>
      </c>
      <c r="D27" s="667" t="s">
        <v>1908</v>
      </c>
      <c r="E27" s="1032">
        <v>17862.240000000002</v>
      </c>
      <c r="F27" s="527" t="s">
        <v>1858</v>
      </c>
      <c r="G27" s="768">
        <f>IF(F27=$G$2,E27,0)</f>
        <v>17862.240000000002</v>
      </c>
      <c r="H27" s="769">
        <v>0</v>
      </c>
      <c r="I27" s="769">
        <f t="shared" si="8"/>
        <v>17862.240000000002</v>
      </c>
      <c r="J27" s="768">
        <f t="shared" si="9"/>
        <v>0</v>
      </c>
      <c r="K27" s="768"/>
      <c r="L27" s="551"/>
      <c r="M27" s="769">
        <f>J27-L27</f>
        <v>0</v>
      </c>
      <c r="N27" s="768">
        <f t="shared" si="6"/>
        <v>0</v>
      </c>
      <c r="O27" s="769">
        <v>1</v>
      </c>
    </row>
    <row r="28" spans="1:17">
      <c r="A28" s="498" t="s">
        <v>1909</v>
      </c>
      <c r="B28" s="606">
        <v>451</v>
      </c>
      <c r="C28" s="1027">
        <v>4184515</v>
      </c>
      <c r="D28" s="667" t="s">
        <v>1910</v>
      </c>
      <c r="E28" s="1032">
        <v>6168122</v>
      </c>
      <c r="F28" s="527" t="s">
        <v>1858</v>
      </c>
      <c r="G28" s="768">
        <f t="shared" ref="G28:G29" si="10">IF(F28=$G$2,E28,0)</f>
        <v>6168122</v>
      </c>
      <c r="H28" s="769">
        <v>0</v>
      </c>
      <c r="I28" s="769">
        <f t="shared" ref="I28:I29" si="11">G28-H28</f>
        <v>6168122</v>
      </c>
      <c r="J28" s="768">
        <f t="shared" ref="J28:J29" si="12">IF(F28=$J$2,E28,0)</f>
        <v>0</v>
      </c>
      <c r="K28" s="768"/>
      <c r="L28" s="551"/>
      <c r="M28" s="769">
        <f t="shared" ref="M28:M29" si="13">J28-L28</f>
        <v>0</v>
      </c>
      <c r="N28" s="768">
        <f t="shared" ref="N28:N29" si="14">IF(F28=$N$2,E28,0)</f>
        <v>0</v>
      </c>
      <c r="O28" s="769">
        <v>1</v>
      </c>
    </row>
    <row r="29" spans="1:17">
      <c r="A29" s="498" t="s">
        <v>1911</v>
      </c>
      <c r="B29" s="606">
        <v>451</v>
      </c>
      <c r="C29" s="1027">
        <v>4186927</v>
      </c>
      <c r="D29" s="667" t="s">
        <v>1912</v>
      </c>
      <c r="E29" s="1032">
        <v>-1034670</v>
      </c>
      <c r="F29" s="527" t="s">
        <v>1858</v>
      </c>
      <c r="G29" s="768">
        <f t="shared" si="10"/>
        <v>-1034670</v>
      </c>
      <c r="H29" s="769">
        <v>0</v>
      </c>
      <c r="I29" s="769">
        <f t="shared" si="11"/>
        <v>-1034670</v>
      </c>
      <c r="J29" s="768">
        <f t="shared" si="12"/>
        <v>0</v>
      </c>
      <c r="K29" s="768"/>
      <c r="L29" s="551"/>
      <c r="M29" s="769">
        <f t="shared" si="13"/>
        <v>0</v>
      </c>
      <c r="N29" s="768">
        <f t="shared" si="14"/>
        <v>0</v>
      </c>
      <c r="O29" s="769">
        <v>1</v>
      </c>
    </row>
    <row r="30" spans="1:17" s="233" customFormat="1">
      <c r="A30" s="498" t="s">
        <v>1913</v>
      </c>
      <c r="B30" s="606">
        <v>451</v>
      </c>
      <c r="C30" s="1027">
        <v>4184533</v>
      </c>
      <c r="D30" s="667" t="s">
        <v>1914</v>
      </c>
      <c r="E30" s="1032">
        <v>1362800</v>
      </c>
      <c r="F30" s="527" t="s">
        <v>1858</v>
      </c>
      <c r="G30" s="768">
        <f t="shared" ref="G30:G38" si="15">IF(F30=$G$2,E30,0)</f>
        <v>1362800</v>
      </c>
      <c r="H30" s="769">
        <v>0</v>
      </c>
      <c r="I30" s="769">
        <f t="shared" ref="I30:I34" si="16">G30-H30</f>
        <v>1362800</v>
      </c>
      <c r="J30" s="768">
        <f t="shared" ref="J30:J34" si="17">IF(F30=$J$2,E30,0)</f>
        <v>0</v>
      </c>
      <c r="K30" s="768"/>
      <c r="L30" s="551"/>
      <c r="M30" s="769">
        <f t="shared" ref="M30:M34" si="18">J30-L30</f>
        <v>0</v>
      </c>
      <c r="N30" s="768">
        <f t="shared" ref="N30:N34" si="19">IF(F30=$N$2,E30,0)</f>
        <v>0</v>
      </c>
      <c r="O30" s="769">
        <v>1</v>
      </c>
      <c r="Q30"/>
    </row>
    <row r="31" spans="1:17" s="233" customFormat="1">
      <c r="A31" s="498" t="s">
        <v>1915</v>
      </c>
      <c r="B31" s="606">
        <v>451</v>
      </c>
      <c r="C31" s="1027">
        <v>4184531</v>
      </c>
      <c r="D31" s="667" t="s">
        <v>1916</v>
      </c>
      <c r="E31" s="1032">
        <v>16800</v>
      </c>
      <c r="F31" s="527" t="s">
        <v>1858</v>
      </c>
      <c r="G31" s="772">
        <f t="shared" si="15"/>
        <v>16800</v>
      </c>
      <c r="H31" s="769">
        <v>0</v>
      </c>
      <c r="I31" s="769">
        <f t="shared" si="16"/>
        <v>16800</v>
      </c>
      <c r="J31" s="772">
        <f t="shared" si="17"/>
        <v>0</v>
      </c>
      <c r="K31" s="772"/>
      <c r="L31" s="551"/>
      <c r="M31" s="769">
        <f t="shared" si="18"/>
        <v>0</v>
      </c>
      <c r="N31" s="772">
        <f t="shared" si="19"/>
        <v>0</v>
      </c>
      <c r="O31" s="769">
        <v>1</v>
      </c>
      <c r="Q31"/>
    </row>
    <row r="32" spans="1:17" s="233" customFormat="1">
      <c r="A32" s="498" t="s">
        <v>1917</v>
      </c>
      <c r="B32" s="606">
        <v>451</v>
      </c>
      <c r="C32" s="1027">
        <v>4184532</v>
      </c>
      <c r="D32" s="667" t="s">
        <v>1918</v>
      </c>
      <c r="E32" s="1032">
        <v>47850</v>
      </c>
      <c r="F32" s="527" t="s">
        <v>1858</v>
      </c>
      <c r="G32" s="772">
        <f t="shared" si="15"/>
        <v>47850</v>
      </c>
      <c r="H32" s="769">
        <v>0</v>
      </c>
      <c r="I32" s="769">
        <f t="shared" si="16"/>
        <v>47850</v>
      </c>
      <c r="J32" s="772">
        <f t="shared" si="17"/>
        <v>0</v>
      </c>
      <c r="K32" s="772"/>
      <c r="L32" s="551"/>
      <c r="M32" s="769">
        <f t="shared" si="18"/>
        <v>0</v>
      </c>
      <c r="N32" s="772">
        <f t="shared" si="19"/>
        <v>0</v>
      </c>
      <c r="O32" s="769">
        <v>1</v>
      </c>
      <c r="Q32"/>
    </row>
    <row r="33" spans="1:17" s="233" customFormat="1">
      <c r="A33" s="498" t="s">
        <v>1919</v>
      </c>
      <c r="B33" s="606">
        <v>451</v>
      </c>
      <c r="C33" s="1027">
        <v>4184534</v>
      </c>
      <c r="D33" s="667" t="s">
        <v>1920</v>
      </c>
      <c r="E33" s="1032">
        <v>55500</v>
      </c>
      <c r="F33" s="527" t="s">
        <v>1858</v>
      </c>
      <c r="G33" s="772">
        <f t="shared" si="15"/>
        <v>55500</v>
      </c>
      <c r="H33" s="769">
        <v>0</v>
      </c>
      <c r="I33" s="769">
        <f t="shared" si="16"/>
        <v>55500</v>
      </c>
      <c r="J33" s="772">
        <f t="shared" si="17"/>
        <v>0</v>
      </c>
      <c r="K33" s="772"/>
      <c r="L33" s="551"/>
      <c r="M33" s="769">
        <f t="shared" si="18"/>
        <v>0</v>
      </c>
      <c r="N33" s="772">
        <f t="shared" si="19"/>
        <v>0</v>
      </c>
      <c r="O33" s="769">
        <v>1</v>
      </c>
      <c r="Q33"/>
    </row>
    <row r="34" spans="1:17" s="233" customFormat="1">
      <c r="A34" s="498" t="s">
        <v>1921</v>
      </c>
      <c r="B34" s="606">
        <v>451</v>
      </c>
      <c r="C34" s="1027">
        <v>4184535</v>
      </c>
      <c r="D34" s="667" t="s">
        <v>1922</v>
      </c>
      <c r="E34" s="1032">
        <v>70000</v>
      </c>
      <c r="F34" s="527" t="s">
        <v>1858</v>
      </c>
      <c r="G34" s="772">
        <f t="shared" si="15"/>
        <v>70000</v>
      </c>
      <c r="H34" s="769">
        <v>0</v>
      </c>
      <c r="I34" s="769">
        <f t="shared" si="16"/>
        <v>70000</v>
      </c>
      <c r="J34" s="772">
        <f t="shared" si="17"/>
        <v>0</v>
      </c>
      <c r="K34" s="772"/>
      <c r="L34" s="551"/>
      <c r="M34" s="769">
        <f t="shared" si="18"/>
        <v>0</v>
      </c>
      <c r="N34" s="772">
        <f t="shared" si="19"/>
        <v>0</v>
      </c>
      <c r="O34" s="769">
        <v>1</v>
      </c>
      <c r="Q34"/>
    </row>
    <row r="35" spans="1:17" s="233" customFormat="1">
      <c r="A35" s="498" t="s">
        <v>1923</v>
      </c>
      <c r="B35" s="606">
        <v>451</v>
      </c>
      <c r="C35" s="1027">
        <v>4184520</v>
      </c>
      <c r="D35" s="667" t="s">
        <v>1924</v>
      </c>
      <c r="E35" s="1032">
        <v>130000</v>
      </c>
      <c r="F35" s="527" t="s">
        <v>1859</v>
      </c>
      <c r="G35" s="768">
        <f t="shared" si="15"/>
        <v>0</v>
      </c>
      <c r="H35" s="769">
        <v>0</v>
      </c>
      <c r="I35" s="769">
        <f>G35-H35</f>
        <v>0</v>
      </c>
      <c r="J35" s="768">
        <f>IF(F35=$J$2,E35,0)</f>
        <v>130000</v>
      </c>
      <c r="K35" s="768" t="s">
        <v>1640</v>
      </c>
      <c r="L35" s="527">
        <v>28541.200000000001</v>
      </c>
      <c r="M35" s="769">
        <f>J35-L35</f>
        <v>101458.8</v>
      </c>
      <c r="N35" s="768">
        <f>IF(F35=$N$2,E35,0)</f>
        <v>0</v>
      </c>
      <c r="O35" s="769">
        <v>2</v>
      </c>
      <c r="Q35"/>
    </row>
    <row r="36" spans="1:17" s="233" customFormat="1">
      <c r="A36" s="498" t="s">
        <v>1925</v>
      </c>
      <c r="B36" s="606">
        <v>451</v>
      </c>
      <c r="C36" s="1027">
        <v>4184521</v>
      </c>
      <c r="D36" s="667" t="s">
        <v>1926</v>
      </c>
      <c r="E36" s="1032">
        <v>818000</v>
      </c>
      <c r="F36" s="527" t="s">
        <v>1859</v>
      </c>
      <c r="G36" s="768">
        <f t="shared" si="15"/>
        <v>0</v>
      </c>
      <c r="H36" s="769">
        <v>0</v>
      </c>
      <c r="I36" s="769">
        <f>G36-H36</f>
        <v>0</v>
      </c>
      <c r="J36" s="768">
        <f>IF(F36=$J$2,E36,0)</f>
        <v>818000</v>
      </c>
      <c r="K36" s="768" t="s">
        <v>1640</v>
      </c>
      <c r="L36" s="527">
        <v>70616.77</v>
      </c>
      <c r="M36" s="769">
        <f>J36-L36</f>
        <v>747383.23</v>
      </c>
      <c r="N36" s="768">
        <f>IF(F36=$N$2,E36,0)</f>
        <v>0</v>
      </c>
      <c r="O36" s="769">
        <v>2</v>
      </c>
      <c r="Q36"/>
    </row>
    <row r="37" spans="1:17" s="233" customFormat="1">
      <c r="A37" s="498" t="s">
        <v>1927</v>
      </c>
      <c r="B37" s="606">
        <v>451</v>
      </c>
      <c r="C37" s="1027">
        <v>4192161</v>
      </c>
      <c r="D37" s="667" t="s">
        <v>1928</v>
      </c>
      <c r="E37" s="1032"/>
      <c r="F37" s="527" t="s">
        <v>1860</v>
      </c>
      <c r="G37" s="768">
        <f t="shared" si="15"/>
        <v>0</v>
      </c>
      <c r="H37" s="769">
        <v>0</v>
      </c>
      <c r="I37" s="769">
        <f>G37-H37</f>
        <v>0</v>
      </c>
      <c r="J37" s="768">
        <f t="shared" ref="J37:J39" si="20">IF(F37=$J$2,E37,0)</f>
        <v>0</v>
      </c>
      <c r="K37" s="768"/>
      <c r="L37" s="551"/>
      <c r="M37" s="769">
        <f>J37-L37</f>
        <v>0</v>
      </c>
      <c r="N37" s="768">
        <f>IF(F37=$N$2,E37,0)</f>
        <v>0</v>
      </c>
      <c r="O37" s="769">
        <v>1</v>
      </c>
      <c r="Q37"/>
    </row>
    <row r="38" spans="1:17" s="233" customFormat="1">
      <c r="A38" s="498" t="s">
        <v>1929</v>
      </c>
      <c r="B38" s="606">
        <v>451</v>
      </c>
      <c r="C38" s="1027">
        <v>4192165</v>
      </c>
      <c r="D38" s="667" t="s">
        <v>1930</v>
      </c>
      <c r="E38" s="1032">
        <v>500</v>
      </c>
      <c r="F38" s="527" t="s">
        <v>1860</v>
      </c>
      <c r="G38" s="768">
        <f t="shared" si="15"/>
        <v>0</v>
      </c>
      <c r="H38" s="769">
        <v>0</v>
      </c>
      <c r="I38" s="769">
        <f>G38-H38</f>
        <v>0</v>
      </c>
      <c r="J38" s="768">
        <f t="shared" si="20"/>
        <v>0</v>
      </c>
      <c r="K38" s="768"/>
      <c r="L38" s="551"/>
      <c r="M38" s="769">
        <f>J38-L38</f>
        <v>0</v>
      </c>
      <c r="N38" s="768">
        <f>IF(F38=$N$2,E38,0)</f>
        <v>500</v>
      </c>
      <c r="O38" s="769">
        <v>1</v>
      </c>
      <c r="Q38"/>
    </row>
    <row r="39" spans="1:17" s="233" customFormat="1">
      <c r="A39" s="498" t="s">
        <v>1931</v>
      </c>
      <c r="B39" s="606">
        <v>451</v>
      </c>
      <c r="C39" s="606">
        <v>4192166</v>
      </c>
      <c r="D39" s="667" t="s">
        <v>1932</v>
      </c>
      <c r="E39" s="1032">
        <v>323349</v>
      </c>
      <c r="F39" s="527" t="s">
        <v>1858</v>
      </c>
      <c r="G39" s="772">
        <f t="shared" ref="G39" si="21">IF(F39=$G$2,E39,0)</f>
        <v>323349</v>
      </c>
      <c r="H39" s="769">
        <v>0</v>
      </c>
      <c r="I39" s="769">
        <f t="shared" ref="I39" si="22">G39-H39</f>
        <v>323349</v>
      </c>
      <c r="J39" s="772">
        <f t="shared" si="20"/>
        <v>0</v>
      </c>
      <c r="K39" s="772"/>
      <c r="L39" s="551"/>
      <c r="M39" s="769">
        <f t="shared" ref="M39" si="23">J39-L39</f>
        <v>0</v>
      </c>
      <c r="N39" s="772">
        <f t="shared" ref="N39" si="24">IF(F39=$N$2,E39,0)</f>
        <v>0</v>
      </c>
      <c r="O39" s="769">
        <v>1</v>
      </c>
      <c r="Q39"/>
    </row>
    <row r="40" spans="1:17" s="233" customFormat="1">
      <c r="A40" s="498" t="s">
        <v>1933</v>
      </c>
      <c r="B40" s="606">
        <v>451</v>
      </c>
      <c r="C40" s="606">
        <v>4184517</v>
      </c>
      <c r="D40" s="1184" t="s">
        <v>3127</v>
      </c>
      <c r="E40" s="1032">
        <v>7500</v>
      </c>
      <c r="F40" s="527" t="s">
        <v>1858</v>
      </c>
      <c r="G40" s="772">
        <f t="shared" ref="G40" si="25">IF(F40=$G$2,E40,0)</f>
        <v>7500</v>
      </c>
      <c r="H40" s="769">
        <v>0</v>
      </c>
      <c r="I40" s="769">
        <f t="shared" ref="I40" si="26">G40-H40</f>
        <v>7500</v>
      </c>
      <c r="J40" s="772">
        <f t="shared" ref="J40" si="27">IF(F40=$J$2,E40,0)</f>
        <v>0</v>
      </c>
      <c r="K40" s="772"/>
      <c r="L40" s="551"/>
      <c r="M40" s="769">
        <f t="shared" ref="M40" si="28">J40-L40</f>
        <v>0</v>
      </c>
      <c r="N40" s="772">
        <f t="shared" ref="N40" si="29">IF(F40=$N$2,E40,0)</f>
        <v>0</v>
      </c>
      <c r="O40" s="769">
        <v>1</v>
      </c>
      <c r="Q40"/>
    </row>
    <row r="41" spans="1:17">
      <c r="A41" s="498" t="s">
        <v>1934</v>
      </c>
      <c r="B41" s="606">
        <v>451</v>
      </c>
      <c r="C41" s="606">
        <v>4192164</v>
      </c>
      <c r="D41" s="667" t="s">
        <v>1935</v>
      </c>
      <c r="E41" s="1032"/>
      <c r="F41" s="527" t="s">
        <v>1860</v>
      </c>
      <c r="G41" s="772">
        <f t="shared" ref="G41:G42" si="30">IF(F41=$G$2,E41,0)</f>
        <v>0</v>
      </c>
      <c r="H41" s="769">
        <v>0</v>
      </c>
      <c r="I41" s="769">
        <f t="shared" ref="I41:I42" si="31">G41-H41</f>
        <v>0</v>
      </c>
      <c r="J41" s="772">
        <f t="shared" ref="J41" si="32">IF(F41=$J$2,E41,0)</f>
        <v>0</v>
      </c>
      <c r="K41" s="772"/>
      <c r="L41" s="551"/>
      <c r="M41" s="769">
        <f t="shared" ref="M41:M42" si="33">J41-L41</f>
        <v>0</v>
      </c>
      <c r="N41" s="772">
        <f t="shared" ref="N41" si="34">IF(F41=$N$2,E41,0)</f>
        <v>0</v>
      </c>
      <c r="O41" s="769">
        <v>2</v>
      </c>
    </row>
    <row r="42" spans="1:17">
      <c r="A42" s="498" t="s">
        <v>1936</v>
      </c>
      <c r="B42" s="606">
        <v>451</v>
      </c>
      <c r="C42" s="606">
        <v>4184519</v>
      </c>
      <c r="D42" s="667" t="s">
        <v>1937</v>
      </c>
      <c r="E42" s="1032">
        <v>-20000</v>
      </c>
      <c r="F42" s="527" t="s">
        <v>1858</v>
      </c>
      <c r="G42" s="496">
        <f t="shared" si="30"/>
        <v>-20000</v>
      </c>
      <c r="H42" s="769">
        <v>0</v>
      </c>
      <c r="I42" s="495">
        <f t="shared" si="31"/>
        <v>-20000</v>
      </c>
      <c r="J42" s="772">
        <v>0</v>
      </c>
      <c r="K42" s="772"/>
      <c r="L42" s="551"/>
      <c r="M42" s="769">
        <f t="shared" si="33"/>
        <v>0</v>
      </c>
      <c r="N42" s="772">
        <f>IF(F41=$N$2,E41,0)</f>
        <v>0</v>
      </c>
      <c r="O42" s="769">
        <v>6</v>
      </c>
    </row>
    <row r="43" spans="1:17">
      <c r="A43" s="577"/>
      <c r="B43" s="790"/>
      <c r="C43" s="790"/>
      <c r="D43" s="791"/>
      <c r="E43" s="1032"/>
      <c r="F43" s="527"/>
      <c r="G43" s="527"/>
      <c r="H43" s="763"/>
      <c r="I43" s="391"/>
      <c r="J43" s="762"/>
      <c r="K43" s="762"/>
      <c r="L43" s="551"/>
      <c r="M43" s="763"/>
      <c r="N43" s="762"/>
      <c r="O43" s="763"/>
    </row>
    <row r="44" spans="1:17">
      <c r="A44" s="577"/>
      <c r="B44" s="1104"/>
      <c r="C44" s="790"/>
      <c r="D44" s="791"/>
      <c r="E44" s="1032"/>
      <c r="F44" s="551"/>
      <c r="G44" s="762"/>
      <c r="H44" s="763"/>
      <c r="I44" s="763"/>
      <c r="J44" s="762"/>
      <c r="K44" s="762"/>
      <c r="L44" s="551"/>
      <c r="M44" s="763"/>
      <c r="N44" s="762"/>
      <c r="O44" s="763"/>
    </row>
    <row r="45" spans="1:17" ht="13">
      <c r="A45" s="498">
        <v>5</v>
      </c>
      <c r="B45" s="1228" t="s">
        <v>1938</v>
      </c>
      <c r="C45" s="1221"/>
      <c r="D45" s="1222"/>
      <c r="E45" s="158">
        <f>SUM(E11:E44)</f>
        <v>15124121.4</v>
      </c>
      <c r="F45" s="165"/>
      <c r="G45" s="764">
        <f>SUM(G11:G41)</f>
        <v>13350193.060000001</v>
      </c>
      <c r="H45" s="765">
        <f>SUM(H11:H41)</f>
        <v>0</v>
      </c>
      <c r="I45" s="764">
        <f>SUM(I11:I41)</f>
        <v>13350193.060000001</v>
      </c>
      <c r="J45" s="764">
        <f>SUM(J11:J41)</f>
        <v>948000</v>
      </c>
      <c r="K45" s="766"/>
      <c r="L45" s="764">
        <f>SUM(L11:L41)</f>
        <v>99157.97</v>
      </c>
      <c r="M45" s="764">
        <f>SUM(M11:M41)</f>
        <v>848842.03</v>
      </c>
      <c r="N45" s="764">
        <f>SUM(N11:N41)</f>
        <v>845928.34</v>
      </c>
      <c r="O45" s="769"/>
    </row>
    <row r="46" spans="1:17" ht="25.5" customHeight="1">
      <c r="A46" s="498">
        <v>6</v>
      </c>
      <c r="B46" s="1223" t="s">
        <v>1939</v>
      </c>
      <c r="C46" s="1224"/>
      <c r="D46" s="1225"/>
      <c r="E46" s="576">
        <v>15124121</v>
      </c>
      <c r="F46" s="157"/>
      <c r="G46" s="154"/>
      <c r="H46" s="884"/>
      <c r="I46" s="884"/>
      <c r="J46" s="154"/>
      <c r="K46" s="157"/>
      <c r="L46" s="154"/>
      <c r="M46" s="154"/>
      <c r="N46" s="157"/>
      <c r="O46" s="234"/>
    </row>
    <row r="47" spans="1:17" ht="13">
      <c r="A47" s="239"/>
      <c r="B47" s="1"/>
      <c r="C47" s="109"/>
      <c r="D47" s="109"/>
      <c r="E47" s="154"/>
      <c r="F47" s="154"/>
      <c r="G47" s="154"/>
      <c r="H47" s="884"/>
      <c r="I47" s="884"/>
      <c r="J47" s="154"/>
      <c r="K47" s="157"/>
      <c r="L47" s="154"/>
      <c r="M47" s="154"/>
      <c r="N47" s="154"/>
      <c r="O47" s="234"/>
    </row>
    <row r="48" spans="1:17">
      <c r="A48" s="498" t="s">
        <v>1940</v>
      </c>
      <c r="B48" s="606">
        <v>453</v>
      </c>
      <c r="C48" s="606">
        <v>4183120</v>
      </c>
      <c r="D48" s="281" t="s">
        <v>1941</v>
      </c>
      <c r="E48" s="527">
        <v>777300.5</v>
      </c>
      <c r="F48" s="551" t="s">
        <v>1859</v>
      </c>
      <c r="G48" s="1185">
        <f t="shared" ref="G48:G50" si="35">IF(F48=$G$2,E48,0)</f>
        <v>0</v>
      </c>
      <c r="H48" s="495">
        <v>0</v>
      </c>
      <c r="I48" s="495">
        <f>G48-H48</f>
        <v>0</v>
      </c>
      <c r="J48" s="496">
        <f t="shared" ref="J48:J49" si="36">IF(F48=$J$2,E48,0)</f>
        <v>777300.5</v>
      </c>
      <c r="K48" s="965" t="s">
        <v>1890</v>
      </c>
      <c r="L48" s="527">
        <v>74112.67</v>
      </c>
      <c r="M48" s="495">
        <f>J48-L48</f>
        <v>703187.83</v>
      </c>
      <c r="N48" s="496">
        <f>IF(F48=$N$2,E48,0)</f>
        <v>0</v>
      </c>
      <c r="O48" s="280">
        <v>2</v>
      </c>
    </row>
    <row r="49" spans="1:15">
      <c r="A49" s="498" t="s">
        <v>1942</v>
      </c>
      <c r="B49" s="606">
        <v>453</v>
      </c>
      <c r="C49" s="606">
        <v>4183110</v>
      </c>
      <c r="D49" s="281" t="s">
        <v>1943</v>
      </c>
      <c r="E49" s="527"/>
      <c r="F49" s="551" t="s">
        <v>1858</v>
      </c>
      <c r="G49" s="1186">
        <f t="shared" si="35"/>
        <v>0</v>
      </c>
      <c r="H49" s="495">
        <v>0</v>
      </c>
      <c r="I49" s="769">
        <f t="shared" ref="I49" si="37">G49-H49</f>
        <v>0</v>
      </c>
      <c r="J49" s="772">
        <f t="shared" si="36"/>
        <v>0</v>
      </c>
      <c r="K49" s="496"/>
      <c r="L49" s="551"/>
      <c r="M49" s="769">
        <f t="shared" ref="M49:M50" si="38">J49-L49</f>
        <v>0</v>
      </c>
      <c r="N49" s="496">
        <f>IF(F49=$N$2,E49,0)</f>
        <v>0</v>
      </c>
      <c r="O49" s="280">
        <v>1</v>
      </c>
    </row>
    <row r="50" spans="1:15">
      <c r="A50" s="498" t="s">
        <v>1944</v>
      </c>
      <c r="B50" s="606">
        <v>453</v>
      </c>
      <c r="C50" s="606">
        <v>4183115</v>
      </c>
      <c r="D50" s="281" t="s">
        <v>1945</v>
      </c>
      <c r="E50" s="527"/>
      <c r="F50" s="551" t="s">
        <v>1858</v>
      </c>
      <c r="G50" s="1186">
        <f t="shared" si="35"/>
        <v>0</v>
      </c>
      <c r="H50" s="769">
        <v>0</v>
      </c>
      <c r="I50" s="769">
        <f>G50-H50</f>
        <v>0</v>
      </c>
      <c r="J50" s="772">
        <f>IF(F50=$J$2,E50,0)</f>
        <v>0</v>
      </c>
      <c r="K50" s="496"/>
      <c r="L50" s="551"/>
      <c r="M50" s="769">
        <f t="shared" si="38"/>
        <v>0</v>
      </c>
      <c r="N50" s="1186">
        <f>IF(F50=$N$2,E50,0)</f>
        <v>0</v>
      </c>
      <c r="O50" s="280">
        <v>1</v>
      </c>
    </row>
    <row r="51" spans="1:15">
      <c r="A51" s="577"/>
      <c r="B51" s="790"/>
      <c r="C51" s="792"/>
      <c r="D51" s="578"/>
      <c r="E51" s="551"/>
      <c r="F51" s="551"/>
      <c r="G51" s="762"/>
      <c r="H51" s="763"/>
      <c r="I51" s="763"/>
      <c r="J51" s="762"/>
      <c r="K51" s="527"/>
      <c r="L51" s="391"/>
      <c r="M51" s="763"/>
      <c r="N51" s="762"/>
      <c r="O51" s="579"/>
    </row>
    <row r="52" spans="1:15">
      <c r="A52" s="577"/>
      <c r="B52" s="790"/>
      <c r="C52" s="792"/>
      <c r="D52" s="578"/>
      <c r="E52" s="551"/>
      <c r="F52" s="551"/>
      <c r="G52" s="882"/>
      <c r="H52" s="579"/>
      <c r="I52" s="391"/>
      <c r="J52" s="551"/>
      <c r="K52" s="551"/>
      <c r="L52" s="391"/>
      <c r="M52" s="391"/>
      <c r="N52" s="551"/>
      <c r="O52" s="579"/>
    </row>
    <row r="53" spans="1:15" ht="13">
      <c r="A53" s="498">
        <v>8</v>
      </c>
      <c r="B53" s="1228" t="s">
        <v>1946</v>
      </c>
      <c r="C53" s="1221"/>
      <c r="D53" s="1222"/>
      <c r="E53" s="158">
        <f>SUM(E48:E52)</f>
        <v>777300.5</v>
      </c>
      <c r="F53" s="165"/>
      <c r="G53" s="158">
        <f>SUM(G48:G52)</f>
        <v>0</v>
      </c>
      <c r="H53" s="106">
        <f>SUM(H48:H52)</f>
        <v>0</v>
      </c>
      <c r="I53" s="158">
        <f>SUM(I48:I52)</f>
        <v>0</v>
      </c>
      <c r="J53" s="158">
        <f>SUM(J48:J52)</f>
        <v>777300.5</v>
      </c>
      <c r="K53" s="165"/>
      <c r="L53" s="158">
        <f>SUM(L48:L52)</f>
        <v>74112.67</v>
      </c>
      <c r="M53" s="158">
        <f>SUM(M48:M52)</f>
        <v>703187.83</v>
      </c>
      <c r="N53" s="158">
        <f>SUM(N48:N52)</f>
        <v>0</v>
      </c>
      <c r="O53" s="106"/>
    </row>
    <row r="54" spans="1:15" ht="25.5" customHeight="1">
      <c r="A54" s="498">
        <v>9</v>
      </c>
      <c r="B54" s="1226" t="s">
        <v>1947</v>
      </c>
      <c r="C54" s="1227"/>
      <c r="D54" s="1227"/>
      <c r="E54" s="1106">
        <v>777301</v>
      </c>
      <c r="F54" s="157"/>
      <c r="G54" s="154"/>
      <c r="H54" s="884"/>
      <c r="I54" s="110"/>
      <c r="J54" s="154"/>
      <c r="K54" s="157"/>
      <c r="L54" s="154"/>
      <c r="M54" s="154"/>
      <c r="N54" s="154"/>
      <c r="O54" s="2"/>
    </row>
    <row r="55" spans="1:15" ht="13">
      <c r="A55" s="4"/>
      <c r="B55" s="1"/>
      <c r="C55" s="109"/>
      <c r="D55" s="109"/>
      <c r="E55" s="154"/>
      <c r="F55" s="154"/>
      <c r="G55" s="154"/>
      <c r="H55" s="884"/>
      <c r="I55" s="110"/>
      <c r="J55" s="154"/>
      <c r="K55" s="157"/>
      <c r="L55" s="154"/>
      <c r="M55" s="154"/>
      <c r="N55" s="154"/>
      <c r="O55" s="2"/>
    </row>
    <row r="56" spans="1:15">
      <c r="A56" s="498" t="s">
        <v>1948</v>
      </c>
      <c r="B56" s="963">
        <v>454</v>
      </c>
      <c r="C56" s="1027">
        <v>4184110</v>
      </c>
      <c r="D56" s="1028" t="s">
        <v>1949</v>
      </c>
      <c r="E56" s="527">
        <v>801144.1</v>
      </c>
      <c r="F56" s="527" t="s">
        <v>1858</v>
      </c>
      <c r="G56" s="879">
        <f>IF(F56=$G$2,E56,0)</f>
        <v>801144.1</v>
      </c>
      <c r="H56" s="495">
        <v>0</v>
      </c>
      <c r="I56" s="495">
        <f>G56-H56</f>
        <v>801144.1</v>
      </c>
      <c r="J56" s="879">
        <f>IF(F56=$J$2,E56,0)</f>
        <v>0</v>
      </c>
      <c r="K56" s="879"/>
      <c r="L56" s="551"/>
      <c r="M56" s="495">
        <f>J56-L56</f>
        <v>0</v>
      </c>
      <c r="N56" s="879">
        <f>IF(F56=$N$2,E56,0)</f>
        <v>0</v>
      </c>
      <c r="O56" s="280">
        <v>4</v>
      </c>
    </row>
    <row r="57" spans="1:15">
      <c r="A57" s="498" t="s">
        <v>1950</v>
      </c>
      <c r="B57" s="963">
        <v>454</v>
      </c>
      <c r="C57" s="1027">
        <v>4184112</v>
      </c>
      <c r="D57" s="1028" t="s">
        <v>1951</v>
      </c>
      <c r="E57" s="527">
        <v>7873125.2699999996</v>
      </c>
      <c r="F57" s="527" t="s">
        <v>1858</v>
      </c>
      <c r="G57" s="879">
        <f>IF(F57=$G$2,E57,0)</f>
        <v>7873125.2699999996</v>
      </c>
      <c r="H57" s="495">
        <v>0</v>
      </c>
      <c r="I57" s="495">
        <f>G57-H57</f>
        <v>7873125.2699999996</v>
      </c>
      <c r="J57" s="879">
        <f t="shared" ref="J57:J68" si="39">IF(F57=$J$2,E57,0)</f>
        <v>0</v>
      </c>
      <c r="K57" s="879"/>
      <c r="L57" s="551"/>
      <c r="M57" s="495">
        <f t="shared" ref="M57:M59" si="40">J57-L57</f>
        <v>0</v>
      </c>
      <c r="N57" s="879">
        <f>IF(F57=$N$2,E57,0)</f>
        <v>0</v>
      </c>
      <c r="O57" s="280">
        <v>4</v>
      </c>
    </row>
    <row r="58" spans="1:15">
      <c r="A58" s="498" t="s">
        <v>1952</v>
      </c>
      <c r="B58" s="963">
        <v>454</v>
      </c>
      <c r="C58" s="1027">
        <v>4184114</v>
      </c>
      <c r="D58" s="1028" t="s">
        <v>1953</v>
      </c>
      <c r="E58" s="527">
        <v>2725500.16</v>
      </c>
      <c r="F58" s="527" t="s">
        <v>1858</v>
      </c>
      <c r="G58" s="879">
        <f>IF(F58=$G$2,E58,0)</f>
        <v>2725500.16</v>
      </c>
      <c r="H58" s="495">
        <v>0</v>
      </c>
      <c r="I58" s="495">
        <f>G58-H58</f>
        <v>2725500.16</v>
      </c>
      <c r="J58" s="879">
        <f t="shared" si="39"/>
        <v>0</v>
      </c>
      <c r="K58" s="879"/>
      <c r="L58" s="551"/>
      <c r="M58" s="495">
        <f t="shared" si="40"/>
        <v>0</v>
      </c>
      <c r="N58" s="879">
        <f>IF(F58=$N$2,E58,0)</f>
        <v>0</v>
      </c>
      <c r="O58" s="280">
        <v>4</v>
      </c>
    </row>
    <row r="59" spans="1:15">
      <c r="A59" s="588" t="s">
        <v>1954</v>
      </c>
      <c r="B59" s="963">
        <v>454</v>
      </c>
      <c r="C59" s="1027">
        <v>4184120</v>
      </c>
      <c r="D59" s="1028" t="s">
        <v>1955</v>
      </c>
      <c r="E59" s="527">
        <v>680500</v>
      </c>
      <c r="F59" s="527" t="s">
        <v>1858</v>
      </c>
      <c r="G59" s="879">
        <f>IF(F59=$G$2,E59,0)</f>
        <v>680500</v>
      </c>
      <c r="H59" s="495">
        <v>0</v>
      </c>
      <c r="I59" s="495">
        <f>G59-H59</f>
        <v>680500</v>
      </c>
      <c r="J59" s="879">
        <f t="shared" si="39"/>
        <v>0</v>
      </c>
      <c r="K59" s="879"/>
      <c r="L59" s="551"/>
      <c r="M59" s="495">
        <f t="shared" si="40"/>
        <v>0</v>
      </c>
      <c r="N59" s="879">
        <f>IF(F59=$N$2,E59,0)</f>
        <v>0</v>
      </c>
      <c r="O59" s="280">
        <v>4</v>
      </c>
    </row>
    <row r="60" spans="1:15">
      <c r="A60" s="587" t="s">
        <v>1956</v>
      </c>
      <c r="B60" s="963">
        <v>454</v>
      </c>
      <c r="C60" s="1027">
        <v>4184510</v>
      </c>
      <c r="D60" s="1028" t="s">
        <v>1957</v>
      </c>
      <c r="E60" s="527">
        <v>210231.64</v>
      </c>
      <c r="F60" s="527" t="s">
        <v>1859</v>
      </c>
      <c r="G60" s="879">
        <f t="shared" ref="G60:G66" si="41">IF(F60=$G$2,E60,0)</f>
        <v>0</v>
      </c>
      <c r="H60" s="495">
        <v>0</v>
      </c>
      <c r="I60" s="495">
        <f>G60-H60</f>
        <v>0</v>
      </c>
      <c r="J60" s="879">
        <f t="shared" si="39"/>
        <v>210231.64</v>
      </c>
      <c r="K60" s="885" t="s">
        <v>1890</v>
      </c>
      <c r="L60" s="527">
        <v>36262.43</v>
      </c>
      <c r="M60" s="495">
        <f>J60-L60</f>
        <v>173969.21000000002</v>
      </c>
      <c r="N60" s="879">
        <f>IF(F60=$N$2,E60,0)</f>
        <v>0</v>
      </c>
      <c r="O60" s="280">
        <v>2</v>
      </c>
    </row>
    <row r="61" spans="1:15">
      <c r="A61" s="498" t="s">
        <v>1958</v>
      </c>
      <c r="B61" s="963">
        <v>454</v>
      </c>
      <c r="C61" s="1027">
        <v>4184512</v>
      </c>
      <c r="D61" s="1028" t="s">
        <v>1959</v>
      </c>
      <c r="E61" s="527"/>
      <c r="F61" s="527" t="s">
        <v>1859</v>
      </c>
      <c r="G61" s="879">
        <f t="shared" si="41"/>
        <v>0</v>
      </c>
      <c r="H61" s="495">
        <v>0</v>
      </c>
      <c r="I61" s="495">
        <f t="shared" ref="I61:I63" si="42">G61-H61</f>
        <v>0</v>
      </c>
      <c r="J61" s="879">
        <f t="shared" si="39"/>
        <v>0</v>
      </c>
      <c r="K61" s="885" t="s">
        <v>1890</v>
      </c>
      <c r="L61" s="527"/>
      <c r="M61" s="495">
        <f>J61-L61</f>
        <v>0</v>
      </c>
      <c r="N61" s="879">
        <f t="shared" ref="N61:N66" si="43">IF(F61=$N$2,E61,0)</f>
        <v>0</v>
      </c>
      <c r="O61" s="280">
        <v>2</v>
      </c>
    </row>
    <row r="62" spans="1:15">
      <c r="A62" s="498" t="s">
        <v>1960</v>
      </c>
      <c r="B62" s="963">
        <v>454</v>
      </c>
      <c r="C62" s="1027">
        <v>4184514</v>
      </c>
      <c r="D62" s="1028" t="s">
        <v>1961</v>
      </c>
      <c r="E62" s="527"/>
      <c r="F62" s="527" t="s">
        <v>1859</v>
      </c>
      <c r="G62" s="879">
        <f t="shared" si="41"/>
        <v>0</v>
      </c>
      <c r="H62" s="495">
        <v>0</v>
      </c>
      <c r="I62" s="495">
        <f t="shared" si="42"/>
        <v>0</v>
      </c>
      <c r="J62" s="879">
        <f t="shared" si="39"/>
        <v>0</v>
      </c>
      <c r="K62" s="885" t="s">
        <v>1890</v>
      </c>
      <c r="L62" s="527"/>
      <c r="M62" s="495">
        <f>J62-L62</f>
        <v>0</v>
      </c>
      <c r="N62" s="879">
        <f t="shared" si="43"/>
        <v>0</v>
      </c>
      <c r="O62" s="280">
        <v>2</v>
      </c>
    </row>
    <row r="63" spans="1:15">
      <c r="A63" s="498" t="s">
        <v>1962</v>
      </c>
      <c r="B63" s="963">
        <v>454</v>
      </c>
      <c r="C63" s="1027">
        <v>4184516</v>
      </c>
      <c r="D63" s="1028" t="s">
        <v>1963</v>
      </c>
      <c r="E63" s="527">
        <v>5755.43</v>
      </c>
      <c r="F63" s="527" t="s">
        <v>1859</v>
      </c>
      <c r="G63" s="879">
        <f t="shared" si="41"/>
        <v>0</v>
      </c>
      <c r="H63" s="495">
        <v>0</v>
      </c>
      <c r="I63" s="495">
        <f t="shared" si="42"/>
        <v>0</v>
      </c>
      <c r="J63" s="879">
        <f t="shared" si="39"/>
        <v>5755.43</v>
      </c>
      <c r="K63" s="885" t="s">
        <v>1890</v>
      </c>
      <c r="L63" s="527">
        <v>807.65</v>
      </c>
      <c r="M63" s="495">
        <f t="shared" ref="M63:M81" si="44">J63-L63</f>
        <v>4947.7800000000007</v>
      </c>
      <c r="N63" s="879">
        <f t="shared" si="43"/>
        <v>0</v>
      </c>
      <c r="O63" s="280">
        <v>2</v>
      </c>
    </row>
    <row r="64" spans="1:15">
      <c r="A64" s="498" t="s">
        <v>1964</v>
      </c>
      <c r="B64" s="963">
        <v>454</v>
      </c>
      <c r="C64" s="1027">
        <v>4184518</v>
      </c>
      <c r="D64" s="1028" t="s">
        <v>1965</v>
      </c>
      <c r="E64" s="527">
        <v>499158.91</v>
      </c>
      <c r="F64" s="527" t="s">
        <v>1858</v>
      </c>
      <c r="G64" s="879">
        <f>IF(F64=$G$2,E64,0)</f>
        <v>499158.91</v>
      </c>
      <c r="H64" s="495">
        <v>0</v>
      </c>
      <c r="I64" s="495">
        <f>G64-H64</f>
        <v>499158.91</v>
      </c>
      <c r="J64" s="879">
        <f>IF(F64=$J$2,E64,0)</f>
        <v>0</v>
      </c>
      <c r="K64" s="879"/>
      <c r="L64" s="527"/>
      <c r="M64" s="495">
        <f t="shared" si="44"/>
        <v>0</v>
      </c>
      <c r="N64" s="879">
        <f t="shared" si="43"/>
        <v>0</v>
      </c>
      <c r="O64" s="280">
        <v>4</v>
      </c>
    </row>
    <row r="65" spans="1:15">
      <c r="A65" s="498" t="s">
        <v>1966</v>
      </c>
      <c r="B65" s="963">
        <v>454</v>
      </c>
      <c r="C65" s="1027">
        <v>4184810</v>
      </c>
      <c r="D65" s="1028" t="s">
        <v>1967</v>
      </c>
      <c r="E65" s="527">
        <v>66825.490000000005</v>
      </c>
      <c r="F65" s="527" t="s">
        <v>1860</v>
      </c>
      <c r="G65" s="879">
        <f>I65+H65</f>
        <v>4651.0541039999998</v>
      </c>
      <c r="H65" s="495">
        <f>E65*$D$302</f>
        <v>4651.0541039999998</v>
      </c>
      <c r="I65" s="495">
        <v>0</v>
      </c>
      <c r="J65" s="879">
        <f t="shared" si="39"/>
        <v>0</v>
      </c>
      <c r="K65" s="879"/>
      <c r="L65" s="527"/>
      <c r="M65" s="495">
        <f>J65-L65</f>
        <v>0</v>
      </c>
      <c r="N65" s="879">
        <f>IF(F65=$N$2,E65-H65,0)</f>
        <v>62174.435896000003</v>
      </c>
      <c r="O65" s="280" t="s">
        <v>1968</v>
      </c>
    </row>
    <row r="66" spans="1:15">
      <c r="A66" s="498" t="s">
        <v>1969</v>
      </c>
      <c r="B66" s="963">
        <v>454</v>
      </c>
      <c r="C66" s="1027">
        <v>4184815</v>
      </c>
      <c r="D66" s="1028" t="s">
        <v>1970</v>
      </c>
      <c r="E66" s="527"/>
      <c r="F66" s="527" t="s">
        <v>1858</v>
      </c>
      <c r="G66" s="879">
        <f t="shared" si="41"/>
        <v>0</v>
      </c>
      <c r="H66" s="495">
        <f>E66*$D$302</f>
        <v>0</v>
      </c>
      <c r="I66" s="495">
        <f>G66-H66</f>
        <v>0</v>
      </c>
      <c r="J66" s="879">
        <f t="shared" si="39"/>
        <v>0</v>
      </c>
      <c r="K66" s="879"/>
      <c r="L66" s="527"/>
      <c r="M66" s="495">
        <f t="shared" si="44"/>
        <v>0</v>
      </c>
      <c r="N66" s="879">
        <f t="shared" si="43"/>
        <v>0</v>
      </c>
      <c r="O66" s="280">
        <v>7</v>
      </c>
    </row>
    <row r="67" spans="1:15">
      <c r="A67" s="498" t="s">
        <v>1971</v>
      </c>
      <c r="B67" s="963">
        <v>454</v>
      </c>
      <c r="C67" s="1027">
        <v>4184820</v>
      </c>
      <c r="D67" s="1028" t="s">
        <v>1972</v>
      </c>
      <c r="E67" s="527">
        <v>992623.02</v>
      </c>
      <c r="F67" s="527" t="s">
        <v>1860</v>
      </c>
      <c r="G67" s="879">
        <f>I67+H67</f>
        <v>69086.562191999998</v>
      </c>
      <c r="H67" s="495">
        <f>E67*$D$302</f>
        <v>69086.562191999998</v>
      </c>
      <c r="I67" s="495">
        <v>0</v>
      </c>
      <c r="J67" s="879">
        <f>IF(F67=$J$2,E67,0)</f>
        <v>0</v>
      </c>
      <c r="K67" s="879"/>
      <c r="L67" s="527"/>
      <c r="M67" s="495">
        <f>J67-L67</f>
        <v>0</v>
      </c>
      <c r="N67" s="879">
        <f>IF(F67=$N$2,E67-H67,0)</f>
        <v>923536.45780800004</v>
      </c>
      <c r="O67" s="280" t="s">
        <v>1968</v>
      </c>
    </row>
    <row r="68" spans="1:15">
      <c r="A68" s="498" t="s">
        <v>1973</v>
      </c>
      <c r="B68" s="963">
        <v>454</v>
      </c>
      <c r="C68" s="1027">
        <v>4184825</v>
      </c>
      <c r="D68" s="1028" t="s">
        <v>1974</v>
      </c>
      <c r="E68" s="527"/>
      <c r="F68" s="527" t="s">
        <v>1858</v>
      </c>
      <c r="G68" s="879">
        <f>I68+H68</f>
        <v>0</v>
      </c>
      <c r="H68" s="495">
        <f>E68*$D$296</f>
        <v>0</v>
      </c>
      <c r="I68" s="495">
        <v>0</v>
      </c>
      <c r="J68" s="879">
        <f t="shared" si="39"/>
        <v>0</v>
      </c>
      <c r="K68" s="879"/>
      <c r="L68" s="527"/>
      <c r="M68" s="495">
        <f t="shared" si="44"/>
        <v>0</v>
      </c>
      <c r="N68" s="879">
        <f t="shared" ref="N68:N79" si="45">IF(F68=$N$2,E68,0)</f>
        <v>0</v>
      </c>
      <c r="O68" s="280">
        <v>7</v>
      </c>
    </row>
    <row r="69" spans="1:15">
      <c r="A69" s="498" t="s">
        <v>1975</v>
      </c>
      <c r="B69" s="963">
        <v>454</v>
      </c>
      <c r="C69" s="1027">
        <v>4194110</v>
      </c>
      <c r="D69" s="1028" t="s">
        <v>1976</v>
      </c>
      <c r="E69" s="527"/>
      <c r="F69" s="527" t="s">
        <v>1858</v>
      </c>
      <c r="G69" s="879">
        <f t="shared" ref="G69:G79" si="46">IF(F69=$G$2,E69,0)</f>
        <v>0</v>
      </c>
      <c r="H69" s="495">
        <v>0</v>
      </c>
      <c r="I69" s="495">
        <f t="shared" ref="I69:I74" si="47">G69-H69</f>
        <v>0</v>
      </c>
      <c r="J69" s="879">
        <f t="shared" ref="J69:J80" si="48">IF(F69=$J$2,E69,0)</f>
        <v>0</v>
      </c>
      <c r="K69" s="879"/>
      <c r="L69" s="527"/>
      <c r="M69" s="495">
        <f t="shared" si="44"/>
        <v>0</v>
      </c>
      <c r="N69" s="879">
        <f t="shared" si="45"/>
        <v>0</v>
      </c>
      <c r="O69" s="280">
        <v>1</v>
      </c>
    </row>
    <row r="70" spans="1:15">
      <c r="A70" s="498" t="s">
        <v>1977</v>
      </c>
      <c r="B70" s="963">
        <v>454</v>
      </c>
      <c r="C70" s="1027">
        <v>4194115</v>
      </c>
      <c r="D70" s="1028" t="s">
        <v>1978</v>
      </c>
      <c r="E70" s="527">
        <v>31781255.57</v>
      </c>
      <c r="F70" s="527" t="s">
        <v>1858</v>
      </c>
      <c r="G70" s="879">
        <f t="shared" si="46"/>
        <v>31781255.57</v>
      </c>
      <c r="H70" s="495">
        <v>0</v>
      </c>
      <c r="I70" s="495">
        <f>G70-H70</f>
        <v>31781255.57</v>
      </c>
      <c r="J70" s="879">
        <f t="shared" si="48"/>
        <v>0</v>
      </c>
      <c r="K70" s="879"/>
      <c r="L70" s="527"/>
      <c r="M70" s="495">
        <f t="shared" si="44"/>
        <v>0</v>
      </c>
      <c r="N70" s="879">
        <f t="shared" si="45"/>
        <v>0</v>
      </c>
      <c r="O70" s="280">
        <v>4</v>
      </c>
    </row>
    <row r="71" spans="1:15">
      <c r="A71" s="498" t="s">
        <v>1979</v>
      </c>
      <c r="B71" s="963">
        <v>454</v>
      </c>
      <c r="C71" s="1027">
        <v>4194120</v>
      </c>
      <c r="D71" s="1028" t="s">
        <v>1980</v>
      </c>
      <c r="E71" s="527">
        <v>5486086.2699999996</v>
      </c>
      <c r="F71" s="527" t="s">
        <v>1858</v>
      </c>
      <c r="G71" s="879">
        <f t="shared" si="46"/>
        <v>5486086.2699999996</v>
      </c>
      <c r="H71" s="495">
        <v>0</v>
      </c>
      <c r="I71" s="495">
        <f>G71-H71</f>
        <v>5486086.2699999996</v>
      </c>
      <c r="J71" s="879">
        <f t="shared" si="48"/>
        <v>0</v>
      </c>
      <c r="K71" s="879"/>
      <c r="L71" s="527"/>
      <c r="M71" s="495">
        <f t="shared" si="44"/>
        <v>0</v>
      </c>
      <c r="N71" s="879">
        <f t="shared" si="45"/>
        <v>0</v>
      </c>
      <c r="O71" s="280">
        <v>4</v>
      </c>
    </row>
    <row r="72" spans="1:15">
      <c r="A72" s="498" t="s">
        <v>1981</v>
      </c>
      <c r="B72" s="963">
        <v>454</v>
      </c>
      <c r="C72" s="1027">
        <v>4194130</v>
      </c>
      <c r="D72" s="1028" t="s">
        <v>1982</v>
      </c>
      <c r="E72" s="527"/>
      <c r="F72" s="527" t="s">
        <v>1858</v>
      </c>
      <c r="G72" s="879">
        <f t="shared" si="46"/>
        <v>0</v>
      </c>
      <c r="H72" s="495">
        <v>0</v>
      </c>
      <c r="I72" s="495">
        <f>G72-H72</f>
        <v>0</v>
      </c>
      <c r="J72" s="879">
        <f t="shared" si="48"/>
        <v>0</v>
      </c>
      <c r="K72" s="879"/>
      <c r="L72" s="527"/>
      <c r="M72" s="495">
        <f t="shared" si="44"/>
        <v>0</v>
      </c>
      <c r="N72" s="879">
        <f t="shared" si="45"/>
        <v>0</v>
      </c>
      <c r="O72" s="280">
        <v>4</v>
      </c>
    </row>
    <row r="73" spans="1:15">
      <c r="A73" s="498" t="s">
        <v>1983</v>
      </c>
      <c r="B73" s="963">
        <v>454</v>
      </c>
      <c r="C73" s="1027">
        <v>4194135</v>
      </c>
      <c r="D73" s="1028" t="s">
        <v>1984</v>
      </c>
      <c r="E73" s="527"/>
      <c r="F73" s="527" t="s">
        <v>1858</v>
      </c>
      <c r="G73" s="879">
        <f t="shared" si="46"/>
        <v>0</v>
      </c>
      <c r="H73" s="391"/>
      <c r="I73" s="495">
        <f>G73-H73</f>
        <v>0</v>
      </c>
      <c r="J73" s="879">
        <f t="shared" si="48"/>
        <v>0</v>
      </c>
      <c r="K73" s="879"/>
      <c r="L73" s="527"/>
      <c r="M73" s="495">
        <f t="shared" si="44"/>
        <v>0</v>
      </c>
      <c r="N73" s="879">
        <f t="shared" si="45"/>
        <v>0</v>
      </c>
      <c r="O73" s="280">
        <v>8</v>
      </c>
    </row>
    <row r="74" spans="1:15">
      <c r="A74" s="498" t="s">
        <v>1985</v>
      </c>
      <c r="B74" s="963">
        <v>454</v>
      </c>
      <c r="C74" s="1027">
        <v>4204515</v>
      </c>
      <c r="D74" s="1028" t="s">
        <v>1986</v>
      </c>
      <c r="E74" s="527">
        <v>29718256.579999998</v>
      </c>
      <c r="F74" s="527" t="s">
        <v>1859</v>
      </c>
      <c r="G74" s="879">
        <f t="shared" si="46"/>
        <v>0</v>
      </c>
      <c r="H74" s="495">
        <v>0</v>
      </c>
      <c r="I74" s="495">
        <f t="shared" si="47"/>
        <v>0</v>
      </c>
      <c r="J74" s="879">
        <f t="shared" si="48"/>
        <v>29718256.579999998</v>
      </c>
      <c r="K74" s="885" t="s">
        <v>1890</v>
      </c>
      <c r="L74" s="527">
        <v>4549169.9000000004</v>
      </c>
      <c r="M74" s="495">
        <f t="shared" ref="M74:M79" si="49">J74-L74</f>
        <v>25169086.68</v>
      </c>
      <c r="N74" s="879">
        <f t="shared" si="45"/>
        <v>0</v>
      </c>
      <c r="O74" s="280">
        <v>2</v>
      </c>
    </row>
    <row r="75" spans="1:15">
      <c r="A75" s="498" t="s">
        <v>1987</v>
      </c>
      <c r="B75" s="963">
        <v>454</v>
      </c>
      <c r="C75" s="1027">
        <v>4867020</v>
      </c>
      <c r="D75" s="1028" t="s">
        <v>1988</v>
      </c>
      <c r="E75" s="527">
        <v>-11722.92</v>
      </c>
      <c r="F75" s="527" t="s">
        <v>1858</v>
      </c>
      <c r="G75" s="879">
        <f t="shared" si="46"/>
        <v>-11722.92</v>
      </c>
      <c r="H75" s="495">
        <v>0</v>
      </c>
      <c r="I75" s="495">
        <f>G75-H75</f>
        <v>-11722.92</v>
      </c>
      <c r="J75" s="879">
        <f t="shared" si="48"/>
        <v>0</v>
      </c>
      <c r="K75" s="879"/>
      <c r="L75" s="527"/>
      <c r="M75" s="495">
        <f t="shared" si="49"/>
        <v>0</v>
      </c>
      <c r="N75" s="879">
        <f t="shared" si="45"/>
        <v>0</v>
      </c>
      <c r="O75" s="280">
        <v>4</v>
      </c>
    </row>
    <row r="76" spans="1:15">
      <c r="A76" s="498" t="s">
        <v>1989</v>
      </c>
      <c r="B76" s="963">
        <v>454</v>
      </c>
      <c r="C76" s="1027" t="s">
        <v>1990</v>
      </c>
      <c r="D76" s="1028" t="s">
        <v>1991</v>
      </c>
      <c r="E76" s="527"/>
      <c r="F76" s="527" t="s">
        <v>1858</v>
      </c>
      <c r="G76" s="879">
        <f t="shared" si="46"/>
        <v>0</v>
      </c>
      <c r="H76" s="495">
        <v>0</v>
      </c>
      <c r="I76" s="495">
        <f>G76-H76</f>
        <v>0</v>
      </c>
      <c r="J76" s="879">
        <f t="shared" si="48"/>
        <v>0</v>
      </c>
      <c r="K76" s="879"/>
      <c r="L76" s="527"/>
      <c r="M76" s="495">
        <f t="shared" si="49"/>
        <v>0</v>
      </c>
      <c r="N76" s="879">
        <f t="shared" si="45"/>
        <v>0</v>
      </c>
      <c r="O76" s="280">
        <v>1</v>
      </c>
    </row>
    <row r="77" spans="1:15">
      <c r="A77" s="498" t="s">
        <v>1992</v>
      </c>
      <c r="B77" s="963">
        <v>454</v>
      </c>
      <c r="C77" s="1027">
        <v>4206515</v>
      </c>
      <c r="D77" s="667" t="s">
        <v>1993</v>
      </c>
      <c r="E77" s="527">
        <v>1895657</v>
      </c>
      <c r="F77" s="527" t="s">
        <v>1859</v>
      </c>
      <c r="G77" s="879">
        <f t="shared" si="46"/>
        <v>0</v>
      </c>
      <c r="H77" s="495">
        <v>0</v>
      </c>
      <c r="I77" s="495">
        <f>G77-H77</f>
        <v>0</v>
      </c>
      <c r="J77" s="496">
        <f t="shared" si="48"/>
        <v>1895657</v>
      </c>
      <c r="K77" s="496" t="s">
        <v>1890</v>
      </c>
      <c r="L77" s="527">
        <v>1073479.53</v>
      </c>
      <c r="M77" s="495">
        <f t="shared" si="49"/>
        <v>822177.47</v>
      </c>
      <c r="N77" s="879">
        <f t="shared" si="45"/>
        <v>0</v>
      </c>
      <c r="O77" s="280">
        <v>2</v>
      </c>
    </row>
    <row r="78" spans="1:15">
      <c r="A78" s="498" t="s">
        <v>1994</v>
      </c>
      <c r="B78" s="963">
        <v>454</v>
      </c>
      <c r="C78" s="1027">
        <v>4184122</v>
      </c>
      <c r="D78" s="667" t="s">
        <v>1995</v>
      </c>
      <c r="E78" s="527"/>
      <c r="F78" s="527" t="s">
        <v>1858</v>
      </c>
      <c r="G78" s="879">
        <f t="shared" si="46"/>
        <v>0</v>
      </c>
      <c r="H78" s="495">
        <v>0</v>
      </c>
      <c r="I78" s="495">
        <f>G78-H78</f>
        <v>0</v>
      </c>
      <c r="J78" s="496">
        <f t="shared" si="48"/>
        <v>0</v>
      </c>
      <c r="K78" s="879"/>
      <c r="L78" s="551"/>
      <c r="M78" s="495">
        <f t="shared" si="49"/>
        <v>0</v>
      </c>
      <c r="N78" s="879">
        <f t="shared" si="45"/>
        <v>0</v>
      </c>
      <c r="O78" s="280">
        <v>4</v>
      </c>
    </row>
    <row r="79" spans="1:15">
      <c r="A79" s="498" t="s">
        <v>1996</v>
      </c>
      <c r="B79" s="963">
        <v>454</v>
      </c>
      <c r="C79" s="1027">
        <v>4184124</v>
      </c>
      <c r="D79" s="667" t="s">
        <v>1997</v>
      </c>
      <c r="E79" s="527">
        <v>274886.59999999998</v>
      </c>
      <c r="F79" s="527" t="s">
        <v>1858</v>
      </c>
      <c r="G79" s="879">
        <f t="shared" si="46"/>
        <v>274886.59999999998</v>
      </c>
      <c r="H79" s="495">
        <v>0</v>
      </c>
      <c r="I79" s="495">
        <f>G79-H79</f>
        <v>274886.59999999998</v>
      </c>
      <c r="J79" s="496">
        <f t="shared" si="48"/>
        <v>0</v>
      </c>
      <c r="K79" s="879"/>
      <c r="L79" s="551"/>
      <c r="M79" s="495">
        <f t="shared" si="49"/>
        <v>0</v>
      </c>
      <c r="N79" s="879">
        <f t="shared" si="45"/>
        <v>0</v>
      </c>
      <c r="O79" s="280">
        <v>4</v>
      </c>
    </row>
    <row r="80" spans="1:15">
      <c r="A80" s="498" t="s">
        <v>1998</v>
      </c>
      <c r="B80" s="963">
        <v>454</v>
      </c>
      <c r="C80" s="1027">
        <v>4184821</v>
      </c>
      <c r="D80" s="667" t="s">
        <v>1999</v>
      </c>
      <c r="E80" s="527">
        <v>74294.02</v>
      </c>
      <c r="F80" s="527" t="s">
        <v>1860</v>
      </c>
      <c r="G80" s="879">
        <f>I80+H80</f>
        <v>5170.8637920000001</v>
      </c>
      <c r="H80" s="495">
        <f>E80*$D$302</f>
        <v>5170.8637920000001</v>
      </c>
      <c r="I80" s="495">
        <v>0</v>
      </c>
      <c r="J80" s="879">
        <f t="shared" si="48"/>
        <v>0</v>
      </c>
      <c r="K80" s="879"/>
      <c r="L80" s="551"/>
      <c r="M80" s="495">
        <f t="shared" si="44"/>
        <v>0</v>
      </c>
      <c r="N80" s="879">
        <f>IF(F80=$N$2,E80-H80,0)</f>
        <v>69123.156208</v>
      </c>
      <c r="O80" s="280" t="s">
        <v>1968</v>
      </c>
    </row>
    <row r="81" spans="1:15">
      <c r="A81" s="498" t="s">
        <v>2000</v>
      </c>
      <c r="B81" s="963">
        <v>454</v>
      </c>
      <c r="C81" s="1027">
        <v>4184811</v>
      </c>
      <c r="D81" s="667" t="s">
        <v>2001</v>
      </c>
      <c r="E81" s="527">
        <v>893069.82</v>
      </c>
      <c r="F81" s="527" t="s">
        <v>1860</v>
      </c>
      <c r="G81" s="879">
        <f>I81+H81</f>
        <v>62157.659471999992</v>
      </c>
      <c r="H81" s="495">
        <f>E81*$D$302</f>
        <v>62157.659471999992</v>
      </c>
      <c r="I81" s="495">
        <v>0</v>
      </c>
      <c r="J81" s="496">
        <f t="shared" ref="J81" si="50">IF(F81=$J$2,E81,0)</f>
        <v>0</v>
      </c>
      <c r="K81" s="879"/>
      <c r="L81" s="551"/>
      <c r="M81" s="495">
        <f t="shared" si="44"/>
        <v>0</v>
      </c>
      <c r="N81" s="879">
        <f t="shared" ref="N81" si="51">IF(F81=$N$2,E81-H81,0)</f>
        <v>830912.16052799998</v>
      </c>
      <c r="O81" s="280" t="s">
        <v>1968</v>
      </c>
    </row>
    <row r="82" spans="1:15">
      <c r="A82" s="498" t="s">
        <v>2002</v>
      </c>
      <c r="B82" s="963">
        <v>454</v>
      </c>
      <c r="C82" s="1027">
        <v>4184515</v>
      </c>
      <c r="D82" s="667" t="s">
        <v>1910</v>
      </c>
      <c r="E82" s="527"/>
      <c r="F82" s="527" t="s">
        <v>1860</v>
      </c>
      <c r="G82" s="879">
        <f>IF(F82=$G$2,E82,0)</f>
        <v>0</v>
      </c>
      <c r="H82" s="495">
        <v>0</v>
      </c>
      <c r="I82" s="495">
        <f>G82-H82</f>
        <v>0</v>
      </c>
      <c r="J82" s="496">
        <f>IF(F82=$J$2,E82,0)</f>
        <v>0</v>
      </c>
      <c r="K82" s="879"/>
      <c r="L82" s="551"/>
      <c r="M82" s="495">
        <f>J82-L82</f>
        <v>0</v>
      </c>
      <c r="N82" s="879">
        <f>IF(F82=$N$2,E82-H82,0)</f>
        <v>0</v>
      </c>
      <c r="O82" s="280">
        <v>6</v>
      </c>
    </row>
    <row r="83" spans="1:15">
      <c r="A83" s="498" t="s">
        <v>2003</v>
      </c>
      <c r="B83" s="963">
        <v>454</v>
      </c>
      <c r="C83" s="1027">
        <v>4184126</v>
      </c>
      <c r="D83" s="746" t="s">
        <v>2004</v>
      </c>
      <c r="E83" s="527">
        <v>580799.31000000006</v>
      </c>
      <c r="F83" s="745" t="s">
        <v>1858</v>
      </c>
      <c r="G83" s="879">
        <f>IF(F83=$G$2,E83,0)</f>
        <v>580799.31000000006</v>
      </c>
      <c r="H83" s="495">
        <v>0</v>
      </c>
      <c r="I83" s="495">
        <f>G83-H83</f>
        <v>580799.31000000006</v>
      </c>
      <c r="J83" s="496">
        <f>IF(F83=$J$2,E83,0)</f>
        <v>0</v>
      </c>
      <c r="K83" s="879"/>
      <c r="L83" s="551"/>
      <c r="M83" s="495">
        <f t="shared" ref="M83:M87" si="52">J83-L83</f>
        <v>0</v>
      </c>
      <c r="N83" s="879">
        <f t="shared" ref="N83:N84" si="53">IF(F83=$N$2,E83-H83,0)</f>
        <v>0</v>
      </c>
      <c r="O83" s="280">
        <v>4</v>
      </c>
    </row>
    <row r="84" spans="1:15">
      <c r="A84" s="498" t="s">
        <v>2005</v>
      </c>
      <c r="B84" s="963">
        <v>454</v>
      </c>
      <c r="C84" s="1027">
        <v>4184526</v>
      </c>
      <c r="D84" s="746" t="s">
        <v>2006</v>
      </c>
      <c r="E84" s="527"/>
      <c r="F84" s="527" t="s">
        <v>1859</v>
      </c>
      <c r="G84" s="879">
        <f>IF(F84=$G$2,E84,0)</f>
        <v>0</v>
      </c>
      <c r="H84" s="495">
        <v>0</v>
      </c>
      <c r="I84" s="495">
        <f>G84-H84</f>
        <v>0</v>
      </c>
      <c r="J84" s="496">
        <f>IF(F84=$J$2,E84,0)</f>
        <v>0</v>
      </c>
      <c r="K84" s="879" t="s">
        <v>1890</v>
      </c>
      <c r="L84" s="551"/>
      <c r="M84" s="495">
        <f t="shared" si="52"/>
        <v>0</v>
      </c>
      <c r="N84" s="879">
        <f t="shared" si="53"/>
        <v>0</v>
      </c>
      <c r="O84" s="280">
        <v>2</v>
      </c>
    </row>
    <row r="85" spans="1:15">
      <c r="A85" s="498" t="s">
        <v>2007</v>
      </c>
      <c r="B85" s="963">
        <v>454</v>
      </c>
      <c r="C85" s="1027">
        <v>4197020</v>
      </c>
      <c r="D85" s="667" t="s">
        <v>2008</v>
      </c>
      <c r="E85" s="527"/>
      <c r="F85" s="527" t="s">
        <v>1858</v>
      </c>
      <c r="G85" s="496">
        <f t="shared" ref="G85:G87" si="54">IF(F85=$G$2,E85,0)</f>
        <v>0</v>
      </c>
      <c r="H85" s="495">
        <v>0</v>
      </c>
      <c r="I85" s="495">
        <f>G85-H85</f>
        <v>0</v>
      </c>
      <c r="J85" s="496">
        <f t="shared" ref="J85:J87" si="55">IF(F85=$J$2,E85,0)</f>
        <v>0</v>
      </c>
      <c r="K85" s="496"/>
      <c r="L85" s="551"/>
      <c r="M85" s="495">
        <f t="shared" si="52"/>
        <v>0</v>
      </c>
      <c r="N85" s="496">
        <f t="shared" ref="N85:N87" si="56">IF(F85=$N$2,E85,0)</f>
        <v>0</v>
      </c>
      <c r="O85" s="280">
        <v>4</v>
      </c>
    </row>
    <row r="86" spans="1:15">
      <c r="A86" s="498" t="s">
        <v>2009</v>
      </c>
      <c r="B86" s="963">
        <v>454</v>
      </c>
      <c r="C86" s="1027">
        <v>6120090</v>
      </c>
      <c r="D86" s="667" t="s">
        <v>2010</v>
      </c>
      <c r="E86" s="527"/>
      <c r="F86" s="527" t="s">
        <v>1859</v>
      </c>
      <c r="G86" s="496">
        <f t="shared" si="54"/>
        <v>0</v>
      </c>
      <c r="H86" s="495">
        <v>0</v>
      </c>
      <c r="I86" s="495">
        <f>G86-H86</f>
        <v>0</v>
      </c>
      <c r="J86" s="496">
        <f t="shared" si="55"/>
        <v>0</v>
      </c>
      <c r="K86" s="496" t="s">
        <v>1890</v>
      </c>
      <c r="L86" s="527"/>
      <c r="M86" s="495">
        <f>J86-L86</f>
        <v>0</v>
      </c>
      <c r="N86" s="496">
        <f t="shared" si="56"/>
        <v>0</v>
      </c>
      <c r="O86" s="280">
        <v>4</v>
      </c>
    </row>
    <row r="87" spans="1:15">
      <c r="A87" s="498" t="s">
        <v>2011</v>
      </c>
      <c r="B87" s="963">
        <v>454</v>
      </c>
      <c r="C87" s="1027">
        <v>6120085</v>
      </c>
      <c r="D87" s="667" t="s">
        <v>2012</v>
      </c>
      <c r="E87" s="527"/>
      <c r="F87" s="527" t="s">
        <v>1859</v>
      </c>
      <c r="G87" s="496">
        <f t="shared" si="54"/>
        <v>0</v>
      </c>
      <c r="H87" s="495">
        <v>0</v>
      </c>
      <c r="I87" s="495">
        <f t="shared" ref="I87" si="57">G87-H87</f>
        <v>0</v>
      </c>
      <c r="J87" s="496">
        <f t="shared" si="55"/>
        <v>0</v>
      </c>
      <c r="K87" s="496" t="s">
        <v>1890</v>
      </c>
      <c r="L87" s="527"/>
      <c r="M87" s="495">
        <f t="shared" si="52"/>
        <v>0</v>
      </c>
      <c r="N87" s="496">
        <f t="shared" si="56"/>
        <v>0</v>
      </c>
      <c r="O87" s="280">
        <v>4</v>
      </c>
    </row>
    <row r="88" spans="1:15">
      <c r="A88" s="577"/>
      <c r="B88" s="790"/>
      <c r="C88" s="790"/>
      <c r="D88" s="791"/>
      <c r="E88" s="527"/>
      <c r="F88" s="527"/>
      <c r="G88" s="527"/>
      <c r="H88" s="391"/>
      <c r="I88" s="391"/>
      <c r="J88" s="527"/>
      <c r="K88" s="799"/>
      <c r="L88" s="391"/>
      <c r="M88" s="527"/>
      <c r="N88" s="527"/>
      <c r="O88" s="579"/>
    </row>
    <row r="89" spans="1:15">
      <c r="A89" s="577"/>
      <c r="B89" s="790"/>
      <c r="C89" s="792"/>
      <c r="D89" s="791"/>
      <c r="E89" s="527"/>
      <c r="F89" s="527"/>
      <c r="G89" s="799"/>
      <c r="H89" s="800"/>
      <c r="I89" s="800"/>
      <c r="J89" s="799"/>
      <c r="K89" s="799"/>
      <c r="L89" s="800"/>
      <c r="M89" s="800"/>
      <c r="N89" s="799"/>
      <c r="O89" s="758"/>
    </row>
    <row r="90" spans="1:15" ht="13">
      <c r="A90" s="498">
        <v>11</v>
      </c>
      <c r="B90" s="1228" t="s">
        <v>2013</v>
      </c>
      <c r="C90" s="1221"/>
      <c r="D90" s="1222"/>
      <c r="E90" s="158">
        <f>SUM(E56:E89)</f>
        <v>84547446.269999981</v>
      </c>
      <c r="F90" s="165"/>
      <c r="G90" s="158">
        <f>SUM(G56:G87)</f>
        <v>50831799.409560002</v>
      </c>
      <c r="H90" s="158">
        <f>SUM(H56:H87)</f>
        <v>141066.13955999998</v>
      </c>
      <c r="I90" s="158">
        <f>SUM(I56:I87)</f>
        <v>50690733.270000003</v>
      </c>
      <c r="J90" s="158">
        <f>SUM(J56:J87)</f>
        <v>31829900.649999999</v>
      </c>
      <c r="K90" s="165"/>
      <c r="L90" s="158">
        <f>SUM(L56:L87)</f>
        <v>5659719.5100000007</v>
      </c>
      <c r="M90" s="158">
        <f>SUM(M56:M87)</f>
        <v>26170181.139999997</v>
      </c>
      <c r="N90" s="158">
        <f>SUM(N56:N87)</f>
        <v>1885746.2104400001</v>
      </c>
      <c r="O90" s="106"/>
    </row>
    <row r="91" spans="1:15" ht="24.75" customHeight="1">
      <c r="A91" s="498">
        <v>12</v>
      </c>
      <c r="B91" s="1223" t="s">
        <v>2014</v>
      </c>
      <c r="C91" s="1224"/>
      <c r="D91" s="1225"/>
      <c r="E91" s="576">
        <v>84547446</v>
      </c>
      <c r="F91" s="157"/>
      <c r="G91" s="170"/>
      <c r="H91" s="157"/>
      <c r="I91" s="157"/>
      <c r="J91" s="154"/>
      <c r="K91" s="157"/>
      <c r="L91" s="154"/>
      <c r="M91" s="154"/>
      <c r="N91" s="154"/>
      <c r="O91" s="2"/>
    </row>
    <row r="92" spans="1:15" ht="13">
      <c r="A92" s="4"/>
      <c r="B92" s="1"/>
      <c r="C92" s="109"/>
      <c r="D92" s="109"/>
      <c r="E92" s="154"/>
      <c r="F92" s="154"/>
      <c r="G92" s="154"/>
      <c r="H92" s="157"/>
      <c r="I92" s="157"/>
      <c r="J92" s="154"/>
      <c r="K92" s="157"/>
      <c r="L92" s="154"/>
      <c r="M92" s="154"/>
      <c r="N92" s="154"/>
      <c r="O92" s="2"/>
    </row>
    <row r="93" spans="1:15">
      <c r="A93" s="498" t="s">
        <v>2015</v>
      </c>
      <c r="B93" s="606">
        <v>456</v>
      </c>
      <c r="C93" s="1027">
        <v>4186114</v>
      </c>
      <c r="D93" s="1028" t="s">
        <v>2016</v>
      </c>
      <c r="E93" s="527">
        <v>609891.32999999996</v>
      </c>
      <c r="F93" s="762" t="s">
        <v>1858</v>
      </c>
      <c r="G93" s="768">
        <f t="shared" ref="G93:G101" si="58">IF(F93=$G$2,E93,0)</f>
        <v>609891.32999999996</v>
      </c>
      <c r="H93" s="769">
        <v>0</v>
      </c>
      <c r="I93" s="769">
        <f t="shared" ref="I93:I101" si="59">G93-H93</f>
        <v>609891.32999999996</v>
      </c>
      <c r="J93" s="768">
        <f t="shared" ref="J93:J108" si="60">IF(F93=$J$2,E93,0)</f>
        <v>0</v>
      </c>
      <c r="K93" s="768"/>
      <c r="L93" s="551"/>
      <c r="M93" s="769">
        <f t="shared" ref="M93:M108" si="61">J93-L93</f>
        <v>0</v>
      </c>
      <c r="N93" s="768">
        <f t="shared" ref="N93:N101" si="62">IF(F93=$N$2,E93,0)</f>
        <v>0</v>
      </c>
      <c r="O93" s="769">
        <v>1</v>
      </c>
    </row>
    <row r="94" spans="1:15">
      <c r="A94" s="498" t="s">
        <v>2017</v>
      </c>
      <c r="B94" s="606">
        <v>456</v>
      </c>
      <c r="C94" s="1027">
        <v>4186118</v>
      </c>
      <c r="D94" s="1029" t="s">
        <v>2018</v>
      </c>
      <c r="E94" s="527"/>
      <c r="F94" s="987" t="s">
        <v>1858</v>
      </c>
      <c r="G94" s="768">
        <f t="shared" si="58"/>
        <v>0</v>
      </c>
      <c r="H94" s="769">
        <v>0</v>
      </c>
      <c r="I94" s="769">
        <f t="shared" si="59"/>
        <v>0</v>
      </c>
      <c r="J94" s="768">
        <f t="shared" si="60"/>
        <v>0</v>
      </c>
      <c r="K94" s="768"/>
      <c r="L94" s="551"/>
      <c r="M94" s="769">
        <f t="shared" si="61"/>
        <v>0</v>
      </c>
      <c r="N94" s="768">
        <f t="shared" si="62"/>
        <v>0</v>
      </c>
      <c r="O94" s="769">
        <v>4</v>
      </c>
    </row>
    <row r="95" spans="1:15">
      <c r="A95" s="498" t="s">
        <v>2019</v>
      </c>
      <c r="B95" s="606">
        <v>456</v>
      </c>
      <c r="C95" s="1027">
        <v>4186120</v>
      </c>
      <c r="D95" s="1028" t="s">
        <v>2020</v>
      </c>
      <c r="E95" s="527">
        <v>241531.54</v>
      </c>
      <c r="F95" s="762" t="s">
        <v>1858</v>
      </c>
      <c r="G95" s="768">
        <f t="shared" si="58"/>
        <v>241531.54</v>
      </c>
      <c r="H95" s="769">
        <v>0</v>
      </c>
      <c r="I95" s="769">
        <f t="shared" si="59"/>
        <v>241531.54</v>
      </c>
      <c r="J95" s="768">
        <f t="shared" si="60"/>
        <v>0</v>
      </c>
      <c r="K95" s="768"/>
      <c r="L95" s="551"/>
      <c r="M95" s="769">
        <f t="shared" si="61"/>
        <v>0</v>
      </c>
      <c r="N95" s="768">
        <f t="shared" si="62"/>
        <v>0</v>
      </c>
      <c r="O95" s="769">
        <v>4</v>
      </c>
    </row>
    <row r="96" spans="1:15">
      <c r="A96" s="498" t="s">
        <v>2021</v>
      </c>
      <c r="B96" s="606">
        <v>456</v>
      </c>
      <c r="C96" s="1027">
        <v>4186122</v>
      </c>
      <c r="D96" s="1028" t="s">
        <v>2022</v>
      </c>
      <c r="E96" s="527"/>
      <c r="F96" s="762" t="s">
        <v>1858</v>
      </c>
      <c r="G96" s="768">
        <f t="shared" si="58"/>
        <v>0</v>
      </c>
      <c r="H96" s="769">
        <v>0</v>
      </c>
      <c r="I96" s="769">
        <f t="shared" si="59"/>
        <v>0</v>
      </c>
      <c r="J96" s="768">
        <f t="shared" si="60"/>
        <v>0</v>
      </c>
      <c r="K96" s="768"/>
      <c r="L96" s="551"/>
      <c r="M96" s="769">
        <f t="shared" si="61"/>
        <v>0</v>
      </c>
      <c r="N96" s="768">
        <f t="shared" si="62"/>
        <v>0</v>
      </c>
      <c r="O96" s="769">
        <v>3</v>
      </c>
    </row>
    <row r="97" spans="1:15">
      <c r="A97" s="498" t="s">
        <v>2023</v>
      </c>
      <c r="B97" s="606">
        <v>456</v>
      </c>
      <c r="C97" s="1027">
        <v>4186126</v>
      </c>
      <c r="D97" s="1028" t="s">
        <v>2024</v>
      </c>
      <c r="E97" s="527"/>
      <c r="F97" s="762" t="s">
        <v>1858</v>
      </c>
      <c r="G97" s="768">
        <f t="shared" si="58"/>
        <v>0</v>
      </c>
      <c r="H97" s="769">
        <v>0</v>
      </c>
      <c r="I97" s="769">
        <f t="shared" si="59"/>
        <v>0</v>
      </c>
      <c r="J97" s="768">
        <f t="shared" si="60"/>
        <v>0</v>
      </c>
      <c r="K97" s="768"/>
      <c r="L97" s="551"/>
      <c r="M97" s="769">
        <f t="shared" si="61"/>
        <v>0</v>
      </c>
      <c r="N97" s="768">
        <f t="shared" si="62"/>
        <v>0</v>
      </c>
      <c r="O97" s="769">
        <v>1</v>
      </c>
    </row>
    <row r="98" spans="1:15">
      <c r="A98" s="498" t="s">
        <v>2025</v>
      </c>
      <c r="B98" s="606">
        <v>456</v>
      </c>
      <c r="C98" s="1027">
        <v>4186128</v>
      </c>
      <c r="D98" s="1028" t="s">
        <v>2026</v>
      </c>
      <c r="E98" s="527"/>
      <c r="F98" s="762" t="s">
        <v>1858</v>
      </c>
      <c r="G98" s="768">
        <f t="shared" si="58"/>
        <v>0</v>
      </c>
      <c r="H98" s="769">
        <v>0</v>
      </c>
      <c r="I98" s="769">
        <f t="shared" si="59"/>
        <v>0</v>
      </c>
      <c r="J98" s="768">
        <f t="shared" si="60"/>
        <v>0</v>
      </c>
      <c r="K98" s="768"/>
      <c r="L98" s="551"/>
      <c r="M98" s="769">
        <f t="shared" si="61"/>
        <v>0</v>
      </c>
      <c r="N98" s="768">
        <f t="shared" si="62"/>
        <v>0</v>
      </c>
      <c r="O98" s="769">
        <v>1</v>
      </c>
    </row>
    <row r="99" spans="1:15">
      <c r="A99" s="498" t="s">
        <v>2027</v>
      </c>
      <c r="B99" s="606">
        <v>456</v>
      </c>
      <c r="C99" s="1027">
        <v>4186130</v>
      </c>
      <c r="D99" s="1028" t="s">
        <v>2028</v>
      </c>
      <c r="E99" s="527"/>
      <c r="F99" s="762" t="s">
        <v>1858</v>
      </c>
      <c r="G99" s="768">
        <f t="shared" si="58"/>
        <v>0</v>
      </c>
      <c r="H99" s="769">
        <v>0</v>
      </c>
      <c r="I99" s="769">
        <f t="shared" si="59"/>
        <v>0</v>
      </c>
      <c r="J99" s="768">
        <f t="shared" si="60"/>
        <v>0</v>
      </c>
      <c r="K99" s="768"/>
      <c r="L99" s="551"/>
      <c r="M99" s="769">
        <f t="shared" si="61"/>
        <v>0</v>
      </c>
      <c r="N99" s="768">
        <f t="shared" si="62"/>
        <v>0</v>
      </c>
      <c r="O99" s="769">
        <v>3</v>
      </c>
    </row>
    <row r="100" spans="1:15">
      <c r="A100" s="498" t="s">
        <v>2029</v>
      </c>
      <c r="B100" s="606">
        <v>456</v>
      </c>
      <c r="C100" s="1027">
        <v>4186142</v>
      </c>
      <c r="D100" s="1028" t="s">
        <v>2030</v>
      </c>
      <c r="E100" s="527">
        <v>13710.68</v>
      </c>
      <c r="F100" s="762" t="s">
        <v>1858</v>
      </c>
      <c r="G100" s="768">
        <f t="shared" si="58"/>
        <v>13710.68</v>
      </c>
      <c r="H100" s="769">
        <v>0</v>
      </c>
      <c r="I100" s="769">
        <f t="shared" si="59"/>
        <v>13710.68</v>
      </c>
      <c r="J100" s="768">
        <f t="shared" si="60"/>
        <v>0</v>
      </c>
      <c r="K100" s="768"/>
      <c r="L100" s="551"/>
      <c r="M100" s="769">
        <f t="shared" si="61"/>
        <v>0</v>
      </c>
      <c r="N100" s="768">
        <f t="shared" si="62"/>
        <v>0</v>
      </c>
      <c r="O100" s="769">
        <v>4</v>
      </c>
    </row>
    <row r="101" spans="1:15">
      <c r="A101" s="498" t="s">
        <v>2031</v>
      </c>
      <c r="B101" s="606">
        <v>456</v>
      </c>
      <c r="C101" s="1027">
        <v>4186150</v>
      </c>
      <c r="D101" s="1028" t="s">
        <v>2032</v>
      </c>
      <c r="E101" s="527"/>
      <c r="F101" s="762" t="s">
        <v>1858</v>
      </c>
      <c r="G101" s="768">
        <f t="shared" si="58"/>
        <v>0</v>
      </c>
      <c r="H101" s="769">
        <f>E101*$D$296</f>
        <v>0</v>
      </c>
      <c r="I101" s="769">
        <f t="shared" si="59"/>
        <v>0</v>
      </c>
      <c r="J101" s="768">
        <f t="shared" si="60"/>
        <v>0</v>
      </c>
      <c r="K101" s="768"/>
      <c r="L101" s="551"/>
      <c r="M101" s="769">
        <f t="shared" si="61"/>
        <v>0</v>
      </c>
      <c r="N101" s="768">
        <f t="shared" si="62"/>
        <v>0</v>
      </c>
      <c r="O101" s="769">
        <v>7</v>
      </c>
    </row>
    <row r="102" spans="1:15">
      <c r="A102" s="498" t="s">
        <v>2033</v>
      </c>
      <c r="B102" s="606">
        <v>456</v>
      </c>
      <c r="C102" s="1027">
        <v>4186155</v>
      </c>
      <c r="D102" s="1028" t="s">
        <v>2034</v>
      </c>
      <c r="E102" s="527">
        <v>7392.15</v>
      </c>
      <c r="F102" s="762" t="s">
        <v>1860</v>
      </c>
      <c r="G102" s="768">
        <f>I102+H102</f>
        <v>514.49363999999991</v>
      </c>
      <c r="H102" s="769">
        <f>E102*$D$302</f>
        <v>514.49363999999991</v>
      </c>
      <c r="I102" s="769">
        <v>0</v>
      </c>
      <c r="J102" s="768">
        <f t="shared" si="60"/>
        <v>0</v>
      </c>
      <c r="K102" s="768"/>
      <c r="L102" s="551"/>
      <c r="M102" s="769">
        <f t="shared" si="61"/>
        <v>0</v>
      </c>
      <c r="N102" s="768">
        <f>IF(F102=$N$2,E102-H102,0)</f>
        <v>6877.6563599999999</v>
      </c>
      <c r="O102" s="769" t="s">
        <v>1968</v>
      </c>
    </row>
    <row r="103" spans="1:15">
      <c r="A103" s="498" t="s">
        <v>2035</v>
      </c>
      <c r="B103" s="606">
        <v>456</v>
      </c>
      <c r="C103" s="1027">
        <v>4186162</v>
      </c>
      <c r="D103" s="1028" t="s">
        <v>2036</v>
      </c>
      <c r="E103" s="527"/>
      <c r="F103" s="762" t="s">
        <v>1858</v>
      </c>
      <c r="G103" s="768">
        <f t="shared" ref="G103:G142" si="63">IF(F103=$G$2,E103,0)</f>
        <v>0</v>
      </c>
      <c r="H103" s="769">
        <v>0</v>
      </c>
      <c r="I103" s="769">
        <f t="shared" ref="I103:I108" si="64">G103-H103</f>
        <v>0</v>
      </c>
      <c r="J103" s="768">
        <f t="shared" si="60"/>
        <v>0</v>
      </c>
      <c r="K103" s="768"/>
      <c r="L103" s="551"/>
      <c r="M103" s="769">
        <f t="shared" si="61"/>
        <v>0</v>
      </c>
      <c r="N103" s="768">
        <f t="shared" ref="N103:N108" si="65">IF(F103=$N$2,E103,0)</f>
        <v>0</v>
      </c>
      <c r="O103" s="769">
        <v>4</v>
      </c>
    </row>
    <row r="104" spans="1:15">
      <c r="A104" s="498" t="s">
        <v>2037</v>
      </c>
      <c r="B104" s="606">
        <v>456</v>
      </c>
      <c r="C104" s="1027">
        <v>4186164</v>
      </c>
      <c r="D104" s="1028" t="s">
        <v>2038</v>
      </c>
      <c r="E104" s="527"/>
      <c r="F104" s="762" t="s">
        <v>1858</v>
      </c>
      <c r="G104" s="768">
        <f t="shared" si="63"/>
        <v>0</v>
      </c>
      <c r="H104" s="769">
        <v>0</v>
      </c>
      <c r="I104" s="769">
        <f t="shared" si="64"/>
        <v>0</v>
      </c>
      <c r="J104" s="768">
        <f t="shared" si="60"/>
        <v>0</v>
      </c>
      <c r="K104" s="768"/>
      <c r="L104" s="551"/>
      <c r="M104" s="769">
        <f t="shared" si="61"/>
        <v>0</v>
      </c>
      <c r="N104" s="768">
        <f t="shared" si="65"/>
        <v>0</v>
      </c>
      <c r="O104" s="769">
        <v>4</v>
      </c>
    </row>
    <row r="105" spans="1:15">
      <c r="A105" s="498" t="s">
        <v>2039</v>
      </c>
      <c r="B105" s="606">
        <v>456</v>
      </c>
      <c r="C105" s="1027">
        <v>4186166</v>
      </c>
      <c r="D105" s="1028" t="s">
        <v>2040</v>
      </c>
      <c r="E105" s="527"/>
      <c r="F105" s="762" t="s">
        <v>1858</v>
      </c>
      <c r="G105" s="768">
        <f t="shared" si="63"/>
        <v>0</v>
      </c>
      <c r="H105" s="769">
        <v>0</v>
      </c>
      <c r="I105" s="769">
        <f t="shared" si="64"/>
        <v>0</v>
      </c>
      <c r="J105" s="768">
        <f t="shared" si="60"/>
        <v>0</v>
      </c>
      <c r="K105" s="768"/>
      <c r="L105" s="551"/>
      <c r="M105" s="769">
        <f t="shared" si="61"/>
        <v>0</v>
      </c>
      <c r="N105" s="768">
        <f t="shared" si="65"/>
        <v>0</v>
      </c>
      <c r="O105" s="769">
        <v>4</v>
      </c>
    </row>
    <row r="106" spans="1:15">
      <c r="A106" s="498" t="s">
        <v>2041</v>
      </c>
      <c r="B106" s="606">
        <v>456</v>
      </c>
      <c r="C106" s="1027">
        <v>4186168</v>
      </c>
      <c r="D106" s="1028" t="s">
        <v>2042</v>
      </c>
      <c r="E106" s="527"/>
      <c r="F106" s="762" t="s">
        <v>1858</v>
      </c>
      <c r="G106" s="768">
        <f t="shared" si="63"/>
        <v>0</v>
      </c>
      <c r="H106" s="769">
        <v>0</v>
      </c>
      <c r="I106" s="769">
        <f t="shared" si="64"/>
        <v>0</v>
      </c>
      <c r="J106" s="768">
        <f t="shared" si="60"/>
        <v>0</v>
      </c>
      <c r="K106" s="768"/>
      <c r="L106" s="551"/>
      <c r="M106" s="769">
        <f t="shared" si="61"/>
        <v>0</v>
      </c>
      <c r="N106" s="768">
        <f t="shared" si="65"/>
        <v>0</v>
      </c>
      <c r="O106" s="769">
        <v>4</v>
      </c>
    </row>
    <row r="107" spans="1:15">
      <c r="A107" s="498" t="s">
        <v>2043</v>
      </c>
      <c r="B107" s="606">
        <v>456</v>
      </c>
      <c r="C107" s="1027">
        <v>4186170</v>
      </c>
      <c r="D107" s="1028" t="s">
        <v>2044</v>
      </c>
      <c r="E107" s="527"/>
      <c r="F107" s="762" t="s">
        <v>1858</v>
      </c>
      <c r="G107" s="768">
        <f t="shared" si="63"/>
        <v>0</v>
      </c>
      <c r="H107" s="769">
        <v>0</v>
      </c>
      <c r="I107" s="769">
        <f t="shared" si="64"/>
        <v>0</v>
      </c>
      <c r="J107" s="768">
        <f t="shared" si="60"/>
        <v>0</v>
      </c>
      <c r="K107" s="768"/>
      <c r="L107" s="551"/>
      <c r="M107" s="769">
        <f t="shared" si="61"/>
        <v>0</v>
      </c>
      <c r="N107" s="768">
        <f t="shared" si="65"/>
        <v>0</v>
      </c>
      <c r="O107" s="769">
        <v>4</v>
      </c>
    </row>
    <row r="108" spans="1:15">
      <c r="A108" s="498" t="s">
        <v>2045</v>
      </c>
      <c r="B108" s="606">
        <v>456</v>
      </c>
      <c r="C108" s="1027">
        <v>4186194</v>
      </c>
      <c r="D108" s="1028" t="s">
        <v>2046</v>
      </c>
      <c r="E108" s="527">
        <v>208656</v>
      </c>
      <c r="F108" s="762" t="s">
        <v>1858</v>
      </c>
      <c r="G108" s="768">
        <f t="shared" si="63"/>
        <v>208656</v>
      </c>
      <c r="H108" s="769">
        <v>0</v>
      </c>
      <c r="I108" s="769">
        <f t="shared" si="64"/>
        <v>208656</v>
      </c>
      <c r="J108" s="768">
        <f t="shared" si="60"/>
        <v>0</v>
      </c>
      <c r="K108" s="768"/>
      <c r="L108" s="551"/>
      <c r="M108" s="769">
        <f t="shared" si="61"/>
        <v>0</v>
      </c>
      <c r="N108" s="768">
        <f t="shared" si="65"/>
        <v>0</v>
      </c>
      <c r="O108" s="769">
        <v>4</v>
      </c>
    </row>
    <row r="109" spans="1:15">
      <c r="A109" s="498" t="s">
        <v>2047</v>
      </c>
      <c r="B109" s="606">
        <v>456</v>
      </c>
      <c r="C109" s="1027">
        <v>4186512</v>
      </c>
      <c r="D109" s="1028" t="s">
        <v>2048</v>
      </c>
      <c r="E109" s="527">
        <v>2540498.38</v>
      </c>
      <c r="F109" s="762" t="s">
        <v>1859</v>
      </c>
      <c r="G109" s="768">
        <f t="shared" si="63"/>
        <v>0</v>
      </c>
      <c r="H109" s="769">
        <v>0</v>
      </c>
      <c r="I109" s="769">
        <f t="shared" ref="I109:I119" si="66">G109-H109</f>
        <v>0</v>
      </c>
      <c r="J109" s="768">
        <f t="shared" ref="J109:J119" si="67">IF(F109=$J$2,E109,0)</f>
        <v>2540498.38</v>
      </c>
      <c r="K109" s="883" t="s">
        <v>1890</v>
      </c>
      <c r="L109" s="527">
        <v>1393296.1</v>
      </c>
      <c r="M109" s="769">
        <f t="shared" ref="M109:M119" si="68">J109-L109</f>
        <v>1147202.2799999998</v>
      </c>
      <c r="N109" s="768">
        <f t="shared" ref="N109:N119" si="69">IF(F109=$N$2,E109,0)</f>
        <v>0</v>
      </c>
      <c r="O109" s="769">
        <v>2</v>
      </c>
    </row>
    <row r="110" spans="1:15">
      <c r="A110" s="498" t="s">
        <v>2049</v>
      </c>
      <c r="B110" s="606">
        <v>456</v>
      </c>
      <c r="C110" s="1027">
        <v>4186514</v>
      </c>
      <c r="D110" s="1028" t="s">
        <v>2050</v>
      </c>
      <c r="E110" s="527">
        <v>275920</v>
      </c>
      <c r="F110" s="762" t="s">
        <v>1859</v>
      </c>
      <c r="G110" s="768">
        <f t="shared" si="63"/>
        <v>0</v>
      </c>
      <c r="H110" s="769">
        <v>0</v>
      </c>
      <c r="I110" s="769">
        <f t="shared" si="66"/>
        <v>0</v>
      </c>
      <c r="J110" s="768">
        <f t="shared" si="67"/>
        <v>275920</v>
      </c>
      <c r="K110" s="883" t="s">
        <v>1890</v>
      </c>
      <c r="L110" s="527">
        <v>43927.28</v>
      </c>
      <c r="M110" s="769">
        <f t="shared" si="68"/>
        <v>231992.72</v>
      </c>
      <c r="N110" s="768">
        <f t="shared" si="69"/>
        <v>0</v>
      </c>
      <c r="O110" s="769">
        <v>2</v>
      </c>
    </row>
    <row r="111" spans="1:15">
      <c r="A111" s="498" t="s">
        <v>2051</v>
      </c>
      <c r="B111" s="606">
        <v>456</v>
      </c>
      <c r="C111" s="1027">
        <v>4186518</v>
      </c>
      <c r="D111" s="1028" t="s">
        <v>2052</v>
      </c>
      <c r="E111" s="527"/>
      <c r="F111" s="762" t="s">
        <v>1859</v>
      </c>
      <c r="G111" s="768">
        <f t="shared" si="63"/>
        <v>0</v>
      </c>
      <c r="H111" s="769">
        <v>0</v>
      </c>
      <c r="I111" s="769">
        <f t="shared" si="66"/>
        <v>0</v>
      </c>
      <c r="J111" s="768">
        <f t="shared" si="67"/>
        <v>0</v>
      </c>
      <c r="K111" s="883" t="s">
        <v>1890</v>
      </c>
      <c r="L111" s="527"/>
      <c r="M111" s="769">
        <f t="shared" si="68"/>
        <v>0</v>
      </c>
      <c r="N111" s="768">
        <f t="shared" si="69"/>
        <v>0</v>
      </c>
      <c r="O111" s="769">
        <v>2</v>
      </c>
    </row>
    <row r="112" spans="1:15">
      <c r="A112" s="498" t="s">
        <v>2053</v>
      </c>
      <c r="B112" s="606">
        <v>456</v>
      </c>
      <c r="C112" s="1027">
        <v>4186524</v>
      </c>
      <c r="D112" s="1028" t="s">
        <v>2054</v>
      </c>
      <c r="E112" s="527"/>
      <c r="F112" s="762" t="s">
        <v>1859</v>
      </c>
      <c r="G112" s="768">
        <f t="shared" si="63"/>
        <v>0</v>
      </c>
      <c r="H112" s="769">
        <v>0</v>
      </c>
      <c r="I112" s="769">
        <f t="shared" si="66"/>
        <v>0</v>
      </c>
      <c r="J112" s="768">
        <f t="shared" si="67"/>
        <v>0</v>
      </c>
      <c r="K112" s="883" t="s">
        <v>1890</v>
      </c>
      <c r="L112" s="551"/>
      <c r="M112" s="769">
        <f t="shared" si="68"/>
        <v>0</v>
      </c>
      <c r="N112" s="768">
        <f t="shared" si="69"/>
        <v>0</v>
      </c>
      <c r="O112" s="769">
        <v>2</v>
      </c>
    </row>
    <row r="113" spans="1:15">
      <c r="A113" s="498" t="s">
        <v>2055</v>
      </c>
      <c r="B113" s="606">
        <v>456</v>
      </c>
      <c r="C113" s="1027">
        <v>4186528</v>
      </c>
      <c r="D113" s="1028" t="s">
        <v>2056</v>
      </c>
      <c r="E113" s="527"/>
      <c r="F113" s="762" t="s">
        <v>1859</v>
      </c>
      <c r="G113" s="768">
        <f t="shared" si="63"/>
        <v>0</v>
      </c>
      <c r="H113" s="769">
        <v>0</v>
      </c>
      <c r="I113" s="769">
        <f t="shared" si="66"/>
        <v>0</v>
      </c>
      <c r="J113" s="768">
        <f t="shared" si="67"/>
        <v>0</v>
      </c>
      <c r="K113" s="883" t="s">
        <v>1890</v>
      </c>
      <c r="L113" s="551"/>
      <c r="M113" s="769">
        <f t="shared" si="68"/>
        <v>0</v>
      </c>
      <c r="N113" s="768">
        <f t="shared" si="69"/>
        <v>0</v>
      </c>
      <c r="O113" s="769">
        <v>2</v>
      </c>
    </row>
    <row r="114" spans="1:15">
      <c r="A114" s="498" t="s">
        <v>2057</v>
      </c>
      <c r="B114" s="606">
        <v>456</v>
      </c>
      <c r="C114" s="1027">
        <v>4186530</v>
      </c>
      <c r="D114" s="1028" t="s">
        <v>2058</v>
      </c>
      <c r="E114" s="527"/>
      <c r="F114" s="762" t="s">
        <v>1859</v>
      </c>
      <c r="G114" s="768">
        <f t="shared" si="63"/>
        <v>0</v>
      </c>
      <c r="H114" s="769">
        <v>0</v>
      </c>
      <c r="I114" s="769">
        <f t="shared" si="66"/>
        <v>0</v>
      </c>
      <c r="J114" s="768">
        <f t="shared" si="67"/>
        <v>0</v>
      </c>
      <c r="K114" s="883" t="s">
        <v>1890</v>
      </c>
      <c r="L114" s="551"/>
      <c r="M114" s="769">
        <f t="shared" si="68"/>
        <v>0</v>
      </c>
      <c r="N114" s="768">
        <f t="shared" si="69"/>
        <v>0</v>
      </c>
      <c r="O114" s="769">
        <v>2</v>
      </c>
    </row>
    <row r="115" spans="1:15">
      <c r="A115" s="498" t="s">
        <v>2059</v>
      </c>
      <c r="B115" s="606">
        <v>456</v>
      </c>
      <c r="C115" s="1027">
        <v>4186716</v>
      </c>
      <c r="D115" s="1028" t="s">
        <v>2060</v>
      </c>
      <c r="E115" s="527"/>
      <c r="F115" s="762" t="s">
        <v>1859</v>
      </c>
      <c r="G115" s="768">
        <f t="shared" si="63"/>
        <v>0</v>
      </c>
      <c r="H115" s="769">
        <v>0</v>
      </c>
      <c r="I115" s="769">
        <f t="shared" si="66"/>
        <v>0</v>
      </c>
      <c r="J115" s="768">
        <f t="shared" si="67"/>
        <v>0</v>
      </c>
      <c r="K115" s="883" t="s">
        <v>1640</v>
      </c>
      <c r="L115" s="551"/>
      <c r="M115" s="769">
        <f t="shared" si="68"/>
        <v>0</v>
      </c>
      <c r="N115" s="768">
        <f t="shared" si="69"/>
        <v>0</v>
      </c>
      <c r="O115" s="769">
        <v>2</v>
      </c>
    </row>
    <row r="116" spans="1:15">
      <c r="A116" s="280" t="s">
        <v>2061</v>
      </c>
      <c r="B116" s="606">
        <v>456</v>
      </c>
      <c r="C116" s="1027">
        <v>4186718</v>
      </c>
      <c r="D116" s="1028" t="s">
        <v>2062</v>
      </c>
      <c r="E116" s="527"/>
      <c r="F116" s="762" t="s">
        <v>1859</v>
      </c>
      <c r="G116" s="768">
        <f t="shared" si="63"/>
        <v>0</v>
      </c>
      <c r="H116" s="769">
        <v>0</v>
      </c>
      <c r="I116" s="769">
        <f t="shared" si="66"/>
        <v>0</v>
      </c>
      <c r="J116" s="768">
        <f t="shared" si="67"/>
        <v>0</v>
      </c>
      <c r="K116" s="883" t="s">
        <v>1640</v>
      </c>
      <c r="L116" s="551"/>
      <c r="M116" s="769">
        <f t="shared" si="68"/>
        <v>0</v>
      </c>
      <c r="N116" s="768">
        <f t="shared" si="69"/>
        <v>0</v>
      </c>
      <c r="O116" s="769">
        <v>2</v>
      </c>
    </row>
    <row r="117" spans="1:15">
      <c r="A117" s="589" t="s">
        <v>2063</v>
      </c>
      <c r="B117" s="606">
        <v>456</v>
      </c>
      <c r="C117" s="1027">
        <v>4186720</v>
      </c>
      <c r="D117" s="1028" t="s">
        <v>2064</v>
      </c>
      <c r="E117" s="527"/>
      <c r="F117" s="762" t="s">
        <v>1859</v>
      </c>
      <c r="G117" s="768">
        <f t="shared" si="63"/>
        <v>0</v>
      </c>
      <c r="H117" s="769">
        <v>0</v>
      </c>
      <c r="I117" s="769">
        <f t="shared" si="66"/>
        <v>0</v>
      </c>
      <c r="J117" s="768">
        <f t="shared" si="67"/>
        <v>0</v>
      </c>
      <c r="K117" s="883" t="s">
        <v>1640</v>
      </c>
      <c r="L117" s="551"/>
      <c r="M117" s="769">
        <f t="shared" si="68"/>
        <v>0</v>
      </c>
      <c r="N117" s="768">
        <f t="shared" si="69"/>
        <v>0</v>
      </c>
      <c r="O117" s="769">
        <v>2</v>
      </c>
    </row>
    <row r="118" spans="1:15">
      <c r="A118" s="280" t="s">
        <v>2065</v>
      </c>
      <c r="B118" s="606">
        <v>456</v>
      </c>
      <c r="C118" s="1027">
        <v>4186722</v>
      </c>
      <c r="D118" s="1028" t="s">
        <v>2066</v>
      </c>
      <c r="E118" s="527"/>
      <c r="F118" s="762" t="s">
        <v>1859</v>
      </c>
      <c r="G118" s="768">
        <f t="shared" si="63"/>
        <v>0</v>
      </c>
      <c r="H118" s="769">
        <v>0</v>
      </c>
      <c r="I118" s="769">
        <f t="shared" si="66"/>
        <v>0</v>
      </c>
      <c r="J118" s="768">
        <f t="shared" si="67"/>
        <v>0</v>
      </c>
      <c r="K118" s="883" t="s">
        <v>1640</v>
      </c>
      <c r="L118" s="551"/>
      <c r="M118" s="769">
        <f t="shared" si="68"/>
        <v>0</v>
      </c>
      <c r="N118" s="768">
        <f t="shared" si="69"/>
        <v>0</v>
      </c>
      <c r="O118" s="769">
        <v>2</v>
      </c>
    </row>
    <row r="119" spans="1:15">
      <c r="A119" s="498" t="s">
        <v>2067</v>
      </c>
      <c r="B119" s="606">
        <v>456</v>
      </c>
      <c r="C119" s="1027">
        <v>4186730</v>
      </c>
      <c r="D119" s="1028" t="s">
        <v>2068</v>
      </c>
      <c r="E119" s="527"/>
      <c r="F119" s="762" t="s">
        <v>1859</v>
      </c>
      <c r="G119" s="768">
        <f t="shared" si="63"/>
        <v>0</v>
      </c>
      <c r="H119" s="769">
        <v>0</v>
      </c>
      <c r="I119" s="769">
        <f t="shared" si="66"/>
        <v>0</v>
      </c>
      <c r="J119" s="768">
        <f t="shared" si="67"/>
        <v>0</v>
      </c>
      <c r="K119" s="883" t="s">
        <v>1640</v>
      </c>
      <c r="L119" s="551"/>
      <c r="M119" s="769">
        <f t="shared" si="68"/>
        <v>0</v>
      </c>
      <c r="N119" s="768">
        <f t="shared" si="69"/>
        <v>0</v>
      </c>
      <c r="O119" s="769">
        <v>2</v>
      </c>
    </row>
    <row r="120" spans="1:15">
      <c r="A120" s="498" t="s">
        <v>2069</v>
      </c>
      <c r="B120" s="606">
        <v>456</v>
      </c>
      <c r="C120" s="1027">
        <v>4186815</v>
      </c>
      <c r="D120" s="1028" t="s">
        <v>2070</v>
      </c>
      <c r="E120" s="527">
        <v>179706.64</v>
      </c>
      <c r="F120" s="762" t="s">
        <v>1860</v>
      </c>
      <c r="G120" s="768">
        <f t="shared" si="63"/>
        <v>0</v>
      </c>
      <c r="H120" s="769">
        <v>0</v>
      </c>
      <c r="I120" s="769">
        <f t="shared" ref="I120:I142" si="70">G120-H120</f>
        <v>0</v>
      </c>
      <c r="J120" s="768">
        <f t="shared" ref="J120:J142" si="71">IF(F120=$J$2,E120,0)</f>
        <v>0</v>
      </c>
      <c r="K120" s="768"/>
      <c r="L120" s="551"/>
      <c r="M120" s="769">
        <f t="shared" ref="M120:M142" si="72">J120-L120</f>
        <v>0</v>
      </c>
      <c r="N120" s="768">
        <f t="shared" ref="N120:N127" si="73">IF(F120=$N$2,E120,0)</f>
        <v>179706.64</v>
      </c>
      <c r="O120" s="769">
        <v>6</v>
      </c>
    </row>
    <row r="121" spans="1:15">
      <c r="A121" s="498" t="s">
        <v>2071</v>
      </c>
      <c r="B121" s="606">
        <v>456</v>
      </c>
      <c r="C121" s="1027">
        <v>4186910</v>
      </c>
      <c r="D121" s="1028" t="s">
        <v>2072</v>
      </c>
      <c r="E121" s="527">
        <v>28860910.030000001</v>
      </c>
      <c r="F121" s="762" t="s">
        <v>1858</v>
      </c>
      <c r="G121" s="768">
        <f t="shared" si="63"/>
        <v>28860910.030000001</v>
      </c>
      <c r="H121" s="769">
        <v>0</v>
      </c>
      <c r="I121" s="769">
        <f t="shared" si="70"/>
        <v>28860910.030000001</v>
      </c>
      <c r="J121" s="768">
        <f t="shared" si="71"/>
        <v>0</v>
      </c>
      <c r="K121" s="768"/>
      <c r="L121" s="551"/>
      <c r="M121" s="769">
        <f t="shared" si="72"/>
        <v>0</v>
      </c>
      <c r="N121" s="768">
        <f t="shared" si="73"/>
        <v>0</v>
      </c>
      <c r="O121" s="769">
        <v>4</v>
      </c>
    </row>
    <row r="122" spans="1:15">
      <c r="A122" s="498" t="s">
        <v>2073</v>
      </c>
      <c r="B122" s="606">
        <v>456</v>
      </c>
      <c r="C122" s="1027">
        <v>4186912</v>
      </c>
      <c r="D122" s="1028" t="s">
        <v>2074</v>
      </c>
      <c r="E122" s="527">
        <v>422146333</v>
      </c>
      <c r="F122" s="762" t="s">
        <v>1860</v>
      </c>
      <c r="G122" s="768">
        <f t="shared" si="63"/>
        <v>0</v>
      </c>
      <c r="H122" s="769">
        <v>0</v>
      </c>
      <c r="I122" s="769">
        <f t="shared" si="70"/>
        <v>0</v>
      </c>
      <c r="J122" s="768">
        <f t="shared" si="71"/>
        <v>0</v>
      </c>
      <c r="K122" s="768"/>
      <c r="L122" s="551"/>
      <c r="M122" s="769">
        <f t="shared" si="72"/>
        <v>0</v>
      </c>
      <c r="N122" s="768">
        <f t="shared" si="73"/>
        <v>422146333</v>
      </c>
      <c r="O122" s="769">
        <v>6</v>
      </c>
    </row>
    <row r="123" spans="1:15">
      <c r="A123" s="498" t="s">
        <v>2075</v>
      </c>
      <c r="B123" s="606">
        <v>456</v>
      </c>
      <c r="C123" s="1027">
        <v>4186914</v>
      </c>
      <c r="D123" s="1028" t="s">
        <v>2076</v>
      </c>
      <c r="E123" s="527">
        <v>-14333045.560000001</v>
      </c>
      <c r="F123" s="762" t="s">
        <v>1860</v>
      </c>
      <c r="G123" s="768">
        <f t="shared" si="63"/>
        <v>0</v>
      </c>
      <c r="H123" s="769">
        <v>0</v>
      </c>
      <c r="I123" s="769">
        <f t="shared" si="70"/>
        <v>0</v>
      </c>
      <c r="J123" s="768">
        <f t="shared" si="71"/>
        <v>0</v>
      </c>
      <c r="K123" s="768"/>
      <c r="L123" s="551"/>
      <c r="M123" s="769">
        <f t="shared" si="72"/>
        <v>0</v>
      </c>
      <c r="N123" s="768">
        <f t="shared" si="73"/>
        <v>-14333045.560000001</v>
      </c>
      <c r="O123" s="769">
        <v>6</v>
      </c>
    </row>
    <row r="124" spans="1:15">
      <c r="A124" s="498" t="s">
        <v>2077</v>
      </c>
      <c r="B124" s="606">
        <v>456</v>
      </c>
      <c r="C124" s="1027">
        <v>4186916</v>
      </c>
      <c r="D124" s="1028" t="s">
        <v>2078</v>
      </c>
      <c r="E124" s="527">
        <v>-422146333</v>
      </c>
      <c r="F124" s="762" t="s">
        <v>1860</v>
      </c>
      <c r="G124" s="768">
        <f t="shared" si="63"/>
        <v>0</v>
      </c>
      <c r="H124" s="769">
        <v>0</v>
      </c>
      <c r="I124" s="769">
        <f t="shared" si="70"/>
        <v>0</v>
      </c>
      <c r="J124" s="768">
        <f t="shared" si="71"/>
        <v>0</v>
      </c>
      <c r="K124" s="768"/>
      <c r="L124" s="551"/>
      <c r="M124" s="769">
        <f t="shared" si="72"/>
        <v>0</v>
      </c>
      <c r="N124" s="768">
        <f t="shared" si="73"/>
        <v>-422146333</v>
      </c>
      <c r="O124" s="769">
        <v>6</v>
      </c>
    </row>
    <row r="125" spans="1:15">
      <c r="A125" s="498" t="s">
        <v>2079</v>
      </c>
      <c r="B125" s="606">
        <v>456</v>
      </c>
      <c r="C125" s="1027">
        <v>4186918</v>
      </c>
      <c r="D125" s="1028" t="s">
        <v>2080</v>
      </c>
      <c r="E125" s="527">
        <v>14333045.560000001</v>
      </c>
      <c r="F125" s="762" t="s">
        <v>1860</v>
      </c>
      <c r="G125" s="768">
        <f t="shared" si="63"/>
        <v>0</v>
      </c>
      <c r="H125" s="769">
        <v>0</v>
      </c>
      <c r="I125" s="769">
        <f t="shared" si="70"/>
        <v>0</v>
      </c>
      <c r="J125" s="768">
        <f t="shared" si="71"/>
        <v>0</v>
      </c>
      <c r="K125" s="768"/>
      <c r="L125" s="551"/>
      <c r="M125" s="769">
        <f t="shared" si="72"/>
        <v>0</v>
      </c>
      <c r="N125" s="768">
        <f t="shared" si="73"/>
        <v>14333045.560000001</v>
      </c>
      <c r="O125" s="769">
        <v>6</v>
      </c>
    </row>
    <row r="126" spans="1:15">
      <c r="A126" s="498" t="s">
        <v>2081</v>
      </c>
      <c r="B126" s="606">
        <v>456</v>
      </c>
      <c r="C126" s="1027">
        <v>4186920</v>
      </c>
      <c r="D126" s="1028" t="s">
        <v>2082</v>
      </c>
      <c r="E126" s="527">
        <v>28932056.890000001</v>
      </c>
      <c r="F126" s="762" t="s">
        <v>1860</v>
      </c>
      <c r="G126" s="768">
        <f t="shared" si="63"/>
        <v>0</v>
      </c>
      <c r="H126" s="769">
        <v>0</v>
      </c>
      <c r="I126" s="769">
        <f t="shared" si="70"/>
        <v>0</v>
      </c>
      <c r="J126" s="768">
        <f t="shared" si="71"/>
        <v>0</v>
      </c>
      <c r="K126" s="768"/>
      <c r="L126" s="551"/>
      <c r="M126" s="769">
        <f t="shared" si="72"/>
        <v>0</v>
      </c>
      <c r="N126" s="768">
        <f t="shared" si="73"/>
        <v>28932056.890000001</v>
      </c>
      <c r="O126" s="769">
        <v>6</v>
      </c>
    </row>
    <row r="127" spans="1:15">
      <c r="A127" s="498" t="s">
        <v>2083</v>
      </c>
      <c r="B127" s="606">
        <v>456</v>
      </c>
      <c r="C127" s="1027">
        <v>4186922</v>
      </c>
      <c r="D127" s="1028" t="s">
        <v>2084</v>
      </c>
      <c r="E127" s="527">
        <v>-28932056.890000001</v>
      </c>
      <c r="F127" s="762" t="s">
        <v>1860</v>
      </c>
      <c r="G127" s="768">
        <f t="shared" si="63"/>
        <v>0</v>
      </c>
      <c r="H127" s="769">
        <v>0</v>
      </c>
      <c r="I127" s="769">
        <f t="shared" si="70"/>
        <v>0</v>
      </c>
      <c r="J127" s="768">
        <f t="shared" si="71"/>
        <v>0</v>
      </c>
      <c r="K127" s="768"/>
      <c r="L127" s="551"/>
      <c r="M127" s="769">
        <f t="shared" si="72"/>
        <v>0</v>
      </c>
      <c r="N127" s="768">
        <f t="shared" si="73"/>
        <v>-28932056.890000001</v>
      </c>
      <c r="O127" s="769">
        <v>6</v>
      </c>
    </row>
    <row r="128" spans="1:15">
      <c r="A128" s="498" t="s">
        <v>2085</v>
      </c>
      <c r="B128" s="606">
        <v>456</v>
      </c>
      <c r="C128" s="1027">
        <v>4188712</v>
      </c>
      <c r="D128" s="1028" t="s">
        <v>2086</v>
      </c>
      <c r="E128" s="527"/>
      <c r="F128" s="762" t="s">
        <v>1859</v>
      </c>
      <c r="G128" s="768">
        <f t="shared" si="63"/>
        <v>0</v>
      </c>
      <c r="H128" s="769">
        <v>0</v>
      </c>
      <c r="I128" s="769">
        <f t="shared" si="70"/>
        <v>0</v>
      </c>
      <c r="J128" s="768">
        <f t="shared" si="71"/>
        <v>0</v>
      </c>
      <c r="K128" s="883" t="s">
        <v>1640</v>
      </c>
      <c r="L128" s="551"/>
      <c r="M128" s="769">
        <f t="shared" si="72"/>
        <v>0</v>
      </c>
      <c r="N128" s="768">
        <f t="shared" ref="N128:N129" si="74">IF(F128=$N$2,E128,0)</f>
        <v>0</v>
      </c>
      <c r="O128" s="769">
        <v>2</v>
      </c>
    </row>
    <row r="129" spans="1:15">
      <c r="A129" s="498" t="s">
        <v>2087</v>
      </c>
      <c r="B129" s="606">
        <v>456</v>
      </c>
      <c r="C129" s="1027">
        <v>4188714</v>
      </c>
      <c r="D129" s="1028" t="s">
        <v>2088</v>
      </c>
      <c r="E129" s="527"/>
      <c r="F129" s="762" t="s">
        <v>1859</v>
      </c>
      <c r="G129" s="768">
        <f t="shared" si="63"/>
        <v>0</v>
      </c>
      <c r="H129" s="769">
        <v>0</v>
      </c>
      <c r="I129" s="769">
        <f t="shared" si="70"/>
        <v>0</v>
      </c>
      <c r="J129" s="768">
        <f t="shared" si="71"/>
        <v>0</v>
      </c>
      <c r="K129" s="883" t="s">
        <v>1640</v>
      </c>
      <c r="L129" s="551"/>
      <c r="M129" s="769">
        <f t="shared" si="72"/>
        <v>0</v>
      </c>
      <c r="N129" s="768">
        <f t="shared" si="74"/>
        <v>0</v>
      </c>
      <c r="O129" s="769">
        <v>2</v>
      </c>
    </row>
    <row r="130" spans="1:15">
      <c r="A130" s="498" t="s">
        <v>2089</v>
      </c>
      <c r="B130" s="606">
        <v>456</v>
      </c>
      <c r="C130" s="1027">
        <v>4196105</v>
      </c>
      <c r="D130" s="1028" t="s">
        <v>2090</v>
      </c>
      <c r="E130" s="527">
        <v>333029.82</v>
      </c>
      <c r="F130" s="762" t="s">
        <v>1858</v>
      </c>
      <c r="G130" s="768">
        <f t="shared" si="63"/>
        <v>333029.82</v>
      </c>
      <c r="H130" s="769">
        <v>0</v>
      </c>
      <c r="I130" s="769">
        <f t="shared" si="70"/>
        <v>333029.82</v>
      </c>
      <c r="J130" s="768">
        <f t="shared" si="71"/>
        <v>0</v>
      </c>
      <c r="K130" s="768"/>
      <c r="L130" s="551"/>
      <c r="M130" s="769">
        <f t="shared" si="72"/>
        <v>0</v>
      </c>
      <c r="N130" s="768">
        <f t="shared" ref="N130:N145" si="75">IF(F130=$N$2,E130,0)</f>
        <v>0</v>
      </c>
      <c r="O130" s="769">
        <v>1</v>
      </c>
    </row>
    <row r="131" spans="1:15">
      <c r="A131" s="498" t="s">
        <v>2091</v>
      </c>
      <c r="B131" s="606">
        <v>456</v>
      </c>
      <c r="C131" s="1027">
        <v>4196158</v>
      </c>
      <c r="D131" s="1028" t="s">
        <v>2092</v>
      </c>
      <c r="E131" s="527">
        <v>11127387.58</v>
      </c>
      <c r="F131" s="762" t="s">
        <v>1858</v>
      </c>
      <c r="G131" s="768">
        <f t="shared" si="63"/>
        <v>11127387.58</v>
      </c>
      <c r="H131" s="769">
        <v>0</v>
      </c>
      <c r="I131" s="769">
        <f t="shared" si="70"/>
        <v>11127387.58</v>
      </c>
      <c r="J131" s="768">
        <f t="shared" si="71"/>
        <v>0</v>
      </c>
      <c r="K131" s="768"/>
      <c r="L131" s="551"/>
      <c r="M131" s="769">
        <f t="shared" si="72"/>
        <v>0</v>
      </c>
      <c r="N131" s="768">
        <f t="shared" si="75"/>
        <v>0</v>
      </c>
      <c r="O131" s="769">
        <v>4</v>
      </c>
    </row>
    <row r="132" spans="1:15">
      <c r="A132" s="498" t="s">
        <v>2093</v>
      </c>
      <c r="B132" s="606">
        <v>456</v>
      </c>
      <c r="C132" s="1027">
        <v>4196162</v>
      </c>
      <c r="D132" s="1028" t="s">
        <v>2094</v>
      </c>
      <c r="E132" s="527"/>
      <c r="F132" s="762" t="s">
        <v>1858</v>
      </c>
      <c r="G132" s="768">
        <f t="shared" si="63"/>
        <v>0</v>
      </c>
      <c r="H132" s="769">
        <v>0</v>
      </c>
      <c r="I132" s="769">
        <f t="shared" si="70"/>
        <v>0</v>
      </c>
      <c r="J132" s="768">
        <f t="shared" si="71"/>
        <v>0</v>
      </c>
      <c r="K132" s="768"/>
      <c r="L132" s="551"/>
      <c r="M132" s="769">
        <f t="shared" si="72"/>
        <v>0</v>
      </c>
      <c r="N132" s="768">
        <f t="shared" si="75"/>
        <v>0</v>
      </c>
      <c r="O132" s="769">
        <v>4</v>
      </c>
    </row>
    <row r="133" spans="1:15">
      <c r="A133" s="498" t="s">
        <v>2095</v>
      </c>
      <c r="B133" s="606">
        <v>456</v>
      </c>
      <c r="C133" s="1027">
        <v>4196166</v>
      </c>
      <c r="D133" s="1028" t="s">
        <v>2096</v>
      </c>
      <c r="E133" s="527"/>
      <c r="F133" s="762" t="s">
        <v>1858</v>
      </c>
      <c r="G133" s="768">
        <f t="shared" si="63"/>
        <v>0</v>
      </c>
      <c r="H133" s="769">
        <v>0</v>
      </c>
      <c r="I133" s="769">
        <f t="shared" si="70"/>
        <v>0</v>
      </c>
      <c r="J133" s="768">
        <f t="shared" si="71"/>
        <v>0</v>
      </c>
      <c r="K133" s="768"/>
      <c r="L133" s="551"/>
      <c r="M133" s="769">
        <f t="shared" si="72"/>
        <v>0</v>
      </c>
      <c r="N133" s="768">
        <f t="shared" si="75"/>
        <v>0</v>
      </c>
      <c r="O133" s="769">
        <v>4</v>
      </c>
    </row>
    <row r="134" spans="1:15">
      <c r="A134" s="498" t="s">
        <v>2097</v>
      </c>
      <c r="B134" s="606">
        <v>456</v>
      </c>
      <c r="C134" s="1027">
        <v>4196172</v>
      </c>
      <c r="D134" s="1028" t="s">
        <v>2098</v>
      </c>
      <c r="E134" s="527"/>
      <c r="F134" s="762" t="s">
        <v>1858</v>
      </c>
      <c r="G134" s="768">
        <f t="shared" si="63"/>
        <v>0</v>
      </c>
      <c r="H134" s="769">
        <v>0</v>
      </c>
      <c r="I134" s="769">
        <f t="shared" si="70"/>
        <v>0</v>
      </c>
      <c r="J134" s="768">
        <f t="shared" si="71"/>
        <v>0</v>
      </c>
      <c r="K134" s="768"/>
      <c r="L134" s="551"/>
      <c r="M134" s="769">
        <f t="shared" si="72"/>
        <v>0</v>
      </c>
      <c r="N134" s="768">
        <f t="shared" si="75"/>
        <v>0</v>
      </c>
      <c r="O134" s="769">
        <v>1</v>
      </c>
    </row>
    <row r="135" spans="1:15">
      <c r="A135" s="498" t="s">
        <v>2099</v>
      </c>
      <c r="B135" s="606">
        <v>456</v>
      </c>
      <c r="C135" s="1027">
        <v>4196174</v>
      </c>
      <c r="D135" s="1028" t="s">
        <v>2100</v>
      </c>
      <c r="E135" s="527"/>
      <c r="F135" s="762" t="s">
        <v>1858</v>
      </c>
      <c r="G135" s="768">
        <f t="shared" si="63"/>
        <v>0</v>
      </c>
      <c r="H135" s="769">
        <v>0</v>
      </c>
      <c r="I135" s="769">
        <f t="shared" si="70"/>
        <v>0</v>
      </c>
      <c r="J135" s="768">
        <f t="shared" si="71"/>
        <v>0</v>
      </c>
      <c r="K135" s="768"/>
      <c r="L135" s="551"/>
      <c r="M135" s="769">
        <f t="shared" si="72"/>
        <v>0</v>
      </c>
      <c r="N135" s="768">
        <f t="shared" si="75"/>
        <v>0</v>
      </c>
      <c r="O135" s="769">
        <v>4</v>
      </c>
    </row>
    <row r="136" spans="1:15">
      <c r="A136" s="498" t="s">
        <v>2101</v>
      </c>
      <c r="B136" s="606">
        <v>456</v>
      </c>
      <c r="C136" s="1027">
        <v>4196176</v>
      </c>
      <c r="D136" s="1028" t="s">
        <v>2102</v>
      </c>
      <c r="E136" s="527"/>
      <c r="F136" s="762" t="s">
        <v>1858</v>
      </c>
      <c r="G136" s="768">
        <f t="shared" si="63"/>
        <v>0</v>
      </c>
      <c r="H136" s="763"/>
      <c r="I136" s="769">
        <f t="shared" si="70"/>
        <v>0</v>
      </c>
      <c r="J136" s="768">
        <f t="shared" si="71"/>
        <v>0</v>
      </c>
      <c r="K136" s="768"/>
      <c r="L136" s="551"/>
      <c r="M136" s="769">
        <f t="shared" si="72"/>
        <v>0</v>
      </c>
      <c r="N136" s="768">
        <f t="shared" si="75"/>
        <v>0</v>
      </c>
      <c r="O136" s="769">
        <v>8</v>
      </c>
    </row>
    <row r="137" spans="1:15">
      <c r="A137" s="498" t="s">
        <v>2103</v>
      </c>
      <c r="B137" s="606">
        <v>456</v>
      </c>
      <c r="C137" s="1027">
        <v>4196178</v>
      </c>
      <c r="D137" s="1028" t="s">
        <v>2104</v>
      </c>
      <c r="E137" s="527"/>
      <c r="F137" s="762" t="s">
        <v>1858</v>
      </c>
      <c r="G137" s="768">
        <f t="shared" si="63"/>
        <v>0</v>
      </c>
      <c r="H137" s="769">
        <v>0</v>
      </c>
      <c r="I137" s="769">
        <f t="shared" si="70"/>
        <v>0</v>
      </c>
      <c r="J137" s="768">
        <f t="shared" si="71"/>
        <v>0</v>
      </c>
      <c r="K137" s="768"/>
      <c r="L137" s="551"/>
      <c r="M137" s="769">
        <f t="shared" si="72"/>
        <v>0</v>
      </c>
      <c r="N137" s="768">
        <f t="shared" si="75"/>
        <v>0</v>
      </c>
      <c r="O137" s="769">
        <v>4</v>
      </c>
    </row>
    <row r="138" spans="1:15">
      <c r="A138" s="498" t="s">
        <v>2105</v>
      </c>
      <c r="B138" s="606">
        <v>456</v>
      </c>
      <c r="C138" s="1027">
        <v>4196184</v>
      </c>
      <c r="D138" s="1028" t="s">
        <v>2106</v>
      </c>
      <c r="E138" s="527"/>
      <c r="F138" s="762" t="s">
        <v>1858</v>
      </c>
      <c r="G138" s="768">
        <f t="shared" si="63"/>
        <v>0</v>
      </c>
      <c r="H138" s="769">
        <v>0</v>
      </c>
      <c r="I138" s="769">
        <f t="shared" si="70"/>
        <v>0</v>
      </c>
      <c r="J138" s="768">
        <f t="shared" si="71"/>
        <v>0</v>
      </c>
      <c r="K138" s="768"/>
      <c r="L138" s="551"/>
      <c r="M138" s="769">
        <f t="shared" si="72"/>
        <v>0</v>
      </c>
      <c r="N138" s="768">
        <f t="shared" si="75"/>
        <v>0</v>
      </c>
      <c r="O138" s="769">
        <v>4</v>
      </c>
    </row>
    <row r="139" spans="1:15">
      <c r="A139" s="498" t="s">
        <v>2107</v>
      </c>
      <c r="B139" s="606">
        <v>456</v>
      </c>
      <c r="C139" s="1027">
        <v>4196188</v>
      </c>
      <c r="D139" s="1028" t="s">
        <v>2108</v>
      </c>
      <c r="E139" s="527">
        <v>2883135.64</v>
      </c>
      <c r="F139" s="762" t="s">
        <v>1858</v>
      </c>
      <c r="G139" s="768">
        <f t="shared" si="63"/>
        <v>2883135.64</v>
      </c>
      <c r="H139" s="769">
        <v>0</v>
      </c>
      <c r="I139" s="769">
        <f t="shared" si="70"/>
        <v>2883135.64</v>
      </c>
      <c r="J139" s="768">
        <f t="shared" si="71"/>
        <v>0</v>
      </c>
      <c r="K139" s="768"/>
      <c r="L139" s="551"/>
      <c r="M139" s="769">
        <f t="shared" si="72"/>
        <v>0</v>
      </c>
      <c r="N139" s="768">
        <f t="shared" si="75"/>
        <v>0</v>
      </c>
      <c r="O139" s="769">
        <v>6</v>
      </c>
    </row>
    <row r="140" spans="1:15">
      <c r="A140" s="498" t="s">
        <v>2109</v>
      </c>
      <c r="B140" s="606">
        <v>456</v>
      </c>
      <c r="C140" s="1027" t="s">
        <v>1990</v>
      </c>
      <c r="D140" s="1028" t="s">
        <v>1991</v>
      </c>
      <c r="E140" s="527"/>
      <c r="F140" s="762" t="s">
        <v>1858</v>
      </c>
      <c r="G140" s="768">
        <f t="shared" si="63"/>
        <v>0</v>
      </c>
      <c r="H140" s="769">
        <v>0</v>
      </c>
      <c r="I140" s="769">
        <f t="shared" si="70"/>
        <v>0</v>
      </c>
      <c r="J140" s="768">
        <f t="shared" si="71"/>
        <v>0</v>
      </c>
      <c r="K140" s="768"/>
      <c r="L140" s="551"/>
      <c r="M140" s="769">
        <f t="shared" si="72"/>
        <v>0</v>
      </c>
      <c r="N140" s="768">
        <f t="shared" si="75"/>
        <v>0</v>
      </c>
      <c r="O140" s="769">
        <v>1</v>
      </c>
    </row>
    <row r="141" spans="1:15">
      <c r="A141" s="498" t="s">
        <v>2110</v>
      </c>
      <c r="B141" s="606">
        <v>456</v>
      </c>
      <c r="C141" s="1027">
        <v>4186911</v>
      </c>
      <c r="D141" s="667" t="s">
        <v>2111</v>
      </c>
      <c r="E141" s="527">
        <v>13685728.07</v>
      </c>
      <c r="F141" s="762" t="s">
        <v>1860</v>
      </c>
      <c r="G141" s="768">
        <f t="shared" si="63"/>
        <v>0</v>
      </c>
      <c r="H141" s="769">
        <v>0</v>
      </c>
      <c r="I141" s="769">
        <f t="shared" si="70"/>
        <v>0</v>
      </c>
      <c r="J141" s="768">
        <f t="shared" si="71"/>
        <v>0</v>
      </c>
      <c r="K141" s="768"/>
      <c r="L141" s="551"/>
      <c r="M141" s="769">
        <f t="shared" si="72"/>
        <v>0</v>
      </c>
      <c r="N141" s="768">
        <f t="shared" si="75"/>
        <v>13685728.07</v>
      </c>
      <c r="O141" s="769">
        <v>6</v>
      </c>
    </row>
    <row r="142" spans="1:15">
      <c r="A142" s="498" t="s">
        <v>2061</v>
      </c>
      <c r="B142" s="606">
        <v>456</v>
      </c>
      <c r="C142" s="1027">
        <v>4186925</v>
      </c>
      <c r="D142" s="667" t="s">
        <v>2112</v>
      </c>
      <c r="E142" s="527">
        <v>635585209.20000005</v>
      </c>
      <c r="F142" s="762" t="s">
        <v>1860</v>
      </c>
      <c r="G142" s="768">
        <f t="shared" si="63"/>
        <v>0</v>
      </c>
      <c r="H142" s="769">
        <v>0</v>
      </c>
      <c r="I142" s="769">
        <f t="shared" si="70"/>
        <v>0</v>
      </c>
      <c r="J142" s="768">
        <f t="shared" si="71"/>
        <v>0</v>
      </c>
      <c r="K142" s="768"/>
      <c r="L142" s="551"/>
      <c r="M142" s="769">
        <f t="shared" si="72"/>
        <v>0</v>
      </c>
      <c r="N142" s="768">
        <f t="shared" si="75"/>
        <v>635585209.20000005</v>
      </c>
      <c r="O142" s="769">
        <v>6</v>
      </c>
    </row>
    <row r="143" spans="1:15">
      <c r="A143" s="498" t="s">
        <v>2063</v>
      </c>
      <c r="B143" s="606">
        <v>456</v>
      </c>
      <c r="C143" s="1027">
        <v>4186132</v>
      </c>
      <c r="D143" s="667" t="s">
        <v>2113</v>
      </c>
      <c r="E143" s="527">
        <v>527554.21</v>
      </c>
      <c r="F143" s="762" t="s">
        <v>1858</v>
      </c>
      <c r="G143" s="768">
        <f t="shared" ref="G143:G148" si="76">IF(F143=$G$2,E143,0)</f>
        <v>527554.21</v>
      </c>
      <c r="H143" s="769">
        <v>0</v>
      </c>
      <c r="I143" s="769">
        <f t="shared" ref="I143:I148" si="77">G143-H143</f>
        <v>527554.21</v>
      </c>
      <c r="J143" s="768">
        <f t="shared" ref="J143:J148" si="78">IF(F143=$J$2,E143,0)</f>
        <v>0</v>
      </c>
      <c r="K143" s="768"/>
      <c r="L143" s="551"/>
      <c r="M143" s="769">
        <f t="shared" ref="M143:M148" si="79">J143-L143</f>
        <v>0</v>
      </c>
      <c r="N143" s="768">
        <f t="shared" si="75"/>
        <v>0</v>
      </c>
      <c r="O143" s="769">
        <v>4</v>
      </c>
    </row>
    <row r="144" spans="1:15">
      <c r="A144" s="498" t="s">
        <v>2065</v>
      </c>
      <c r="B144" s="606">
        <v>456</v>
      </c>
      <c r="C144" s="1027">
        <v>4186116</v>
      </c>
      <c r="D144" s="667" t="s">
        <v>2114</v>
      </c>
      <c r="E144" s="527"/>
      <c r="F144" s="762" t="s">
        <v>1858</v>
      </c>
      <c r="G144" s="768">
        <f t="shared" si="76"/>
        <v>0</v>
      </c>
      <c r="H144" s="769">
        <v>0</v>
      </c>
      <c r="I144" s="769">
        <f t="shared" si="77"/>
        <v>0</v>
      </c>
      <c r="J144" s="768">
        <f t="shared" si="78"/>
        <v>0</v>
      </c>
      <c r="K144" s="768"/>
      <c r="L144" s="551"/>
      <c r="M144" s="769">
        <f t="shared" si="79"/>
        <v>0</v>
      </c>
      <c r="N144" s="768">
        <f t="shared" si="75"/>
        <v>0</v>
      </c>
      <c r="O144" s="769">
        <v>4</v>
      </c>
    </row>
    <row r="145" spans="1:17">
      <c r="A145" s="498" t="s">
        <v>2115</v>
      </c>
      <c r="B145" s="606">
        <v>456</v>
      </c>
      <c r="C145" s="1027">
        <v>4186115</v>
      </c>
      <c r="D145" s="667" t="s">
        <v>2116</v>
      </c>
      <c r="E145" s="527"/>
      <c r="F145" s="762" t="s">
        <v>1858</v>
      </c>
      <c r="G145" s="768">
        <f t="shared" si="76"/>
        <v>0</v>
      </c>
      <c r="H145" s="769">
        <v>0</v>
      </c>
      <c r="I145" s="769">
        <f t="shared" si="77"/>
        <v>0</v>
      </c>
      <c r="J145" s="768">
        <f t="shared" si="78"/>
        <v>0</v>
      </c>
      <c r="K145" s="768"/>
      <c r="L145" s="551"/>
      <c r="M145" s="769">
        <f t="shared" si="79"/>
        <v>0</v>
      </c>
      <c r="N145" s="768">
        <f t="shared" si="75"/>
        <v>0</v>
      </c>
      <c r="O145" s="769">
        <v>4</v>
      </c>
    </row>
    <row r="146" spans="1:17">
      <c r="A146" s="498" t="s">
        <v>2117</v>
      </c>
      <c r="B146" s="606">
        <v>456</v>
      </c>
      <c r="C146" s="1027">
        <v>4186156</v>
      </c>
      <c r="D146" s="667" t="s">
        <v>2118</v>
      </c>
      <c r="E146" s="527">
        <v>98792.29</v>
      </c>
      <c r="F146" s="762" t="s">
        <v>1860</v>
      </c>
      <c r="G146" s="768">
        <f>H146+I146</f>
        <v>6875.9433839999992</v>
      </c>
      <c r="H146" s="769">
        <f>E146*D302</f>
        <v>6875.9433839999992</v>
      </c>
      <c r="I146" s="769">
        <v>0</v>
      </c>
      <c r="J146" s="768">
        <f t="shared" si="78"/>
        <v>0</v>
      </c>
      <c r="K146" s="768"/>
      <c r="L146" s="551"/>
      <c r="M146" s="769">
        <f>J146-L146</f>
        <v>0</v>
      </c>
      <c r="N146" s="768">
        <f>IF(F146=$N$2,E146-H146,0)</f>
        <v>91916.346615999995</v>
      </c>
      <c r="O146" s="769" t="s">
        <v>1968</v>
      </c>
    </row>
    <row r="147" spans="1:17">
      <c r="A147" s="498" t="s">
        <v>2119</v>
      </c>
      <c r="B147" s="606">
        <v>456</v>
      </c>
      <c r="C147" s="1027">
        <v>4188720</v>
      </c>
      <c r="D147" s="667" t="s">
        <v>2120</v>
      </c>
      <c r="E147" s="527">
        <v>36709306.299999997</v>
      </c>
      <c r="F147" s="762" t="s">
        <v>1858</v>
      </c>
      <c r="G147" s="768">
        <f t="shared" si="76"/>
        <v>36709306.299999997</v>
      </c>
      <c r="H147" s="769">
        <v>0</v>
      </c>
      <c r="I147" s="769">
        <f t="shared" si="77"/>
        <v>36709306.299999997</v>
      </c>
      <c r="J147" s="768">
        <f t="shared" si="78"/>
        <v>0</v>
      </c>
      <c r="K147" s="768"/>
      <c r="L147" s="551"/>
      <c r="M147" s="769">
        <f t="shared" si="79"/>
        <v>0</v>
      </c>
      <c r="N147" s="768">
        <f>IF(F147=$N$2,E147,0)</f>
        <v>0</v>
      </c>
      <c r="O147" s="769">
        <v>4</v>
      </c>
    </row>
    <row r="148" spans="1:17">
      <c r="A148" s="498" t="s">
        <v>2121</v>
      </c>
      <c r="B148" s="606">
        <v>456</v>
      </c>
      <c r="C148" s="1027">
        <v>4186128</v>
      </c>
      <c r="D148" s="667" t="s">
        <v>2122</v>
      </c>
      <c r="E148" s="527">
        <v>1448399.74</v>
      </c>
      <c r="F148" s="762" t="s">
        <v>1858</v>
      </c>
      <c r="G148" s="768">
        <f t="shared" si="76"/>
        <v>1448399.74</v>
      </c>
      <c r="H148" s="769">
        <f>G148</f>
        <v>1448399.74</v>
      </c>
      <c r="I148" s="769">
        <f t="shared" si="77"/>
        <v>0</v>
      </c>
      <c r="J148" s="768">
        <f t="shared" si="78"/>
        <v>0</v>
      </c>
      <c r="K148" s="768"/>
      <c r="L148" s="551"/>
      <c r="M148" s="769">
        <f t="shared" si="79"/>
        <v>0</v>
      </c>
      <c r="N148" s="768">
        <f>IF(F148=$N$2,E148,0)</f>
        <v>0</v>
      </c>
      <c r="O148" s="769">
        <v>5</v>
      </c>
    </row>
    <row r="149" spans="1:17">
      <c r="A149" s="498" t="s">
        <v>2123</v>
      </c>
      <c r="B149" s="606">
        <v>456</v>
      </c>
      <c r="C149" s="1027">
        <v>4186732</v>
      </c>
      <c r="D149" s="667" t="s">
        <v>2124</v>
      </c>
      <c r="E149" s="527"/>
      <c r="F149" s="762" t="s">
        <v>1859</v>
      </c>
      <c r="G149" s="768">
        <f>IF(F149=$G$2,E149,0)</f>
        <v>0</v>
      </c>
      <c r="H149" s="769">
        <v>0</v>
      </c>
      <c r="I149" s="769">
        <f t="shared" ref="I149" si="80">G149-H149</f>
        <v>0</v>
      </c>
      <c r="J149" s="768">
        <f t="shared" ref="J149" si="81">IF(F149=$J$2,E149,0)</f>
        <v>0</v>
      </c>
      <c r="K149" s="768" t="s">
        <v>1640</v>
      </c>
      <c r="L149" s="551"/>
      <c r="M149" s="769">
        <f t="shared" ref="M149" si="82">J149-L149</f>
        <v>0</v>
      </c>
      <c r="N149" s="768">
        <f>IF(F149=$N$2,E149,0)</f>
        <v>0</v>
      </c>
      <c r="O149" s="769">
        <v>2</v>
      </c>
    </row>
    <row r="150" spans="1:17">
      <c r="A150" s="498" t="s">
        <v>2125</v>
      </c>
      <c r="B150" s="606">
        <v>456</v>
      </c>
      <c r="C150" s="1027">
        <v>4171023</v>
      </c>
      <c r="D150" s="746" t="s">
        <v>2126</v>
      </c>
      <c r="E150" s="527">
        <v>34640076.689999998</v>
      </c>
      <c r="F150" s="762" t="s">
        <v>1860</v>
      </c>
      <c r="G150" s="768">
        <f t="shared" ref="G150:G165" si="83">IF(F150=$G$2,E150,0)</f>
        <v>0</v>
      </c>
      <c r="H150" s="769">
        <v>0</v>
      </c>
      <c r="I150" s="769">
        <f t="shared" ref="I150:I165" si="84">G150-H150</f>
        <v>0</v>
      </c>
      <c r="J150" s="768">
        <f t="shared" ref="J150:J165" si="85">IF(F150=$J$2,E150,0)</f>
        <v>0</v>
      </c>
      <c r="K150" s="768"/>
      <c r="L150" s="551"/>
      <c r="M150" s="769">
        <f t="shared" ref="M150:M165" si="86">J150-L150</f>
        <v>0</v>
      </c>
      <c r="N150" s="768">
        <f t="shared" ref="N150:N165" si="87">IF(F150=$N$2,E150,0)</f>
        <v>34640076.689999998</v>
      </c>
      <c r="O150" s="769">
        <v>6</v>
      </c>
    </row>
    <row r="151" spans="1:17">
      <c r="A151" s="498" t="s">
        <v>2127</v>
      </c>
      <c r="B151" s="606">
        <v>456</v>
      </c>
      <c r="C151" s="1027">
        <v>4186182</v>
      </c>
      <c r="D151" s="667" t="s">
        <v>2128</v>
      </c>
      <c r="E151" s="527">
        <v>30000</v>
      </c>
      <c r="F151" s="762" t="s">
        <v>1860</v>
      </c>
      <c r="G151" s="768">
        <f t="shared" si="83"/>
        <v>0</v>
      </c>
      <c r="H151" s="769">
        <v>0</v>
      </c>
      <c r="I151" s="769">
        <f t="shared" si="84"/>
        <v>0</v>
      </c>
      <c r="J151" s="768">
        <f t="shared" si="85"/>
        <v>0</v>
      </c>
      <c r="K151" s="768"/>
      <c r="L151" s="551"/>
      <c r="M151" s="769">
        <f t="shared" si="86"/>
        <v>0</v>
      </c>
      <c r="N151" s="768">
        <f t="shared" si="87"/>
        <v>30000</v>
      </c>
      <c r="O151" s="769">
        <v>6</v>
      </c>
    </row>
    <row r="152" spans="1:17" s="233" customFormat="1">
      <c r="A152" s="498" t="s">
        <v>2129</v>
      </c>
      <c r="B152" s="606">
        <v>456</v>
      </c>
      <c r="C152" s="1027">
        <v>4186119</v>
      </c>
      <c r="D152" s="667" t="s">
        <v>2130</v>
      </c>
      <c r="E152" s="527"/>
      <c r="F152" s="762" t="s">
        <v>1858</v>
      </c>
      <c r="G152" s="768">
        <f t="shared" si="83"/>
        <v>0</v>
      </c>
      <c r="H152" s="769">
        <v>0</v>
      </c>
      <c r="I152" s="769">
        <f t="shared" si="84"/>
        <v>0</v>
      </c>
      <c r="J152" s="768">
        <f t="shared" si="85"/>
        <v>0</v>
      </c>
      <c r="K152" s="768"/>
      <c r="L152" s="551"/>
      <c r="M152" s="769">
        <f t="shared" si="86"/>
        <v>0</v>
      </c>
      <c r="N152" s="768">
        <f t="shared" si="87"/>
        <v>0</v>
      </c>
      <c r="O152" s="769">
        <v>1</v>
      </c>
      <c r="Q152"/>
    </row>
    <row r="153" spans="1:17" s="233" customFormat="1">
      <c r="A153" s="498" t="s">
        <v>2131</v>
      </c>
      <c r="B153" s="606">
        <v>456</v>
      </c>
      <c r="C153" s="1027">
        <v>4186188</v>
      </c>
      <c r="D153" s="1025" t="s">
        <v>2132</v>
      </c>
      <c r="E153" s="527"/>
      <c r="F153" s="987" t="s">
        <v>1858</v>
      </c>
      <c r="G153" s="768">
        <f t="shared" si="83"/>
        <v>0</v>
      </c>
      <c r="H153" s="769">
        <v>0</v>
      </c>
      <c r="I153" s="769">
        <f t="shared" si="84"/>
        <v>0</v>
      </c>
      <c r="J153" s="768">
        <f t="shared" si="85"/>
        <v>0</v>
      </c>
      <c r="K153" s="768"/>
      <c r="L153" s="551"/>
      <c r="M153" s="769">
        <f t="shared" si="86"/>
        <v>0</v>
      </c>
      <c r="N153" s="768">
        <f t="shared" si="87"/>
        <v>0</v>
      </c>
      <c r="O153" s="769">
        <v>1</v>
      </c>
      <c r="Q153"/>
    </row>
    <row r="154" spans="1:17">
      <c r="A154" s="964" t="s">
        <v>2133</v>
      </c>
      <c r="B154" s="606">
        <v>456</v>
      </c>
      <c r="C154" s="1027">
        <v>4186115</v>
      </c>
      <c r="D154" s="667" t="s">
        <v>2134</v>
      </c>
      <c r="E154" s="527"/>
      <c r="F154" s="802" t="s">
        <v>1860</v>
      </c>
      <c r="G154" s="772">
        <f t="shared" si="83"/>
        <v>0</v>
      </c>
      <c r="H154" s="769">
        <v>0</v>
      </c>
      <c r="I154" s="769">
        <f t="shared" si="84"/>
        <v>0</v>
      </c>
      <c r="J154" s="772">
        <f t="shared" si="85"/>
        <v>0</v>
      </c>
      <c r="K154" s="772"/>
      <c r="L154" s="551"/>
      <c r="M154" s="769">
        <f t="shared" si="86"/>
        <v>0</v>
      </c>
      <c r="N154" s="772">
        <f t="shared" si="87"/>
        <v>0</v>
      </c>
      <c r="O154" s="769">
        <v>6</v>
      </c>
    </row>
    <row r="155" spans="1:17">
      <c r="A155" s="964" t="s">
        <v>2135</v>
      </c>
      <c r="B155" s="606">
        <v>456</v>
      </c>
      <c r="C155" s="1027">
        <v>4186182</v>
      </c>
      <c r="D155" s="667" t="s">
        <v>2136</v>
      </c>
      <c r="E155" s="527"/>
      <c r="F155" s="802" t="s">
        <v>1860</v>
      </c>
      <c r="G155" s="772">
        <f t="shared" si="83"/>
        <v>0</v>
      </c>
      <c r="H155" s="769">
        <v>0</v>
      </c>
      <c r="I155" s="769">
        <f t="shared" si="84"/>
        <v>0</v>
      </c>
      <c r="J155" s="772">
        <f t="shared" si="85"/>
        <v>0</v>
      </c>
      <c r="K155" s="772"/>
      <c r="L155" s="551"/>
      <c r="M155" s="769">
        <f t="shared" si="86"/>
        <v>0</v>
      </c>
      <c r="N155" s="772">
        <f t="shared" si="87"/>
        <v>0</v>
      </c>
      <c r="O155" s="769" t="s">
        <v>2137</v>
      </c>
    </row>
    <row r="156" spans="1:17">
      <c r="A156" s="964" t="s">
        <v>2138</v>
      </c>
      <c r="B156" s="606">
        <v>456</v>
      </c>
      <c r="C156" s="1027">
        <v>4186189</v>
      </c>
      <c r="D156" s="667" t="s">
        <v>2139</v>
      </c>
      <c r="E156" s="527">
        <v>998233.5</v>
      </c>
      <c r="F156" s="762" t="s">
        <v>1860</v>
      </c>
      <c r="G156" s="772">
        <f t="shared" si="83"/>
        <v>0</v>
      </c>
      <c r="H156" s="769">
        <v>0</v>
      </c>
      <c r="I156" s="769">
        <f t="shared" si="84"/>
        <v>0</v>
      </c>
      <c r="J156" s="772">
        <f t="shared" si="85"/>
        <v>0</v>
      </c>
      <c r="K156" s="772"/>
      <c r="L156" s="551"/>
      <c r="M156" s="769">
        <f t="shared" si="86"/>
        <v>0</v>
      </c>
      <c r="N156" s="772">
        <f t="shared" si="87"/>
        <v>998233.5</v>
      </c>
      <c r="O156" s="769" t="s">
        <v>2137</v>
      </c>
    </row>
    <row r="157" spans="1:17">
      <c r="A157" s="964" t="s">
        <v>2140</v>
      </c>
      <c r="B157" s="606">
        <v>456</v>
      </c>
      <c r="C157" s="1027">
        <v>4196201</v>
      </c>
      <c r="D157" s="667" t="s">
        <v>2141</v>
      </c>
      <c r="E157" s="527">
        <v>520822.32</v>
      </c>
      <c r="F157" s="762" t="s">
        <v>1858</v>
      </c>
      <c r="G157" s="772">
        <f t="shared" si="83"/>
        <v>520822.32</v>
      </c>
      <c r="H157" s="763">
        <f>G157</f>
        <v>520822.32</v>
      </c>
      <c r="I157" s="769">
        <f t="shared" si="84"/>
        <v>0</v>
      </c>
      <c r="J157" s="772">
        <f t="shared" si="85"/>
        <v>0</v>
      </c>
      <c r="K157" s="772"/>
      <c r="L157" s="551"/>
      <c r="M157" s="769">
        <f t="shared" si="86"/>
        <v>0</v>
      </c>
      <c r="N157" s="772">
        <f t="shared" si="87"/>
        <v>0</v>
      </c>
      <c r="O157" s="769">
        <v>8</v>
      </c>
    </row>
    <row r="158" spans="1:17">
      <c r="A158" s="964" t="s">
        <v>2142</v>
      </c>
      <c r="B158" s="606">
        <v>456</v>
      </c>
      <c r="C158" s="1027">
        <v>4196202</v>
      </c>
      <c r="D158" s="667" t="s">
        <v>2143</v>
      </c>
      <c r="E158" s="527">
        <v>1850419.16</v>
      </c>
      <c r="F158" s="762" t="s">
        <v>1858</v>
      </c>
      <c r="G158" s="772">
        <f t="shared" si="83"/>
        <v>1850419.16</v>
      </c>
      <c r="H158" s="763">
        <f>G158</f>
        <v>1850419.16</v>
      </c>
      <c r="I158" s="769">
        <f t="shared" si="84"/>
        <v>0</v>
      </c>
      <c r="J158" s="772">
        <f t="shared" si="85"/>
        <v>0</v>
      </c>
      <c r="K158" s="772"/>
      <c r="L158" s="551"/>
      <c r="M158" s="769">
        <f t="shared" si="86"/>
        <v>0</v>
      </c>
      <c r="N158" s="772">
        <f t="shared" si="87"/>
        <v>0</v>
      </c>
      <c r="O158" s="769">
        <v>8</v>
      </c>
    </row>
    <row r="159" spans="1:17">
      <c r="A159" s="964" t="s">
        <v>2144</v>
      </c>
      <c r="B159" s="606">
        <v>456</v>
      </c>
      <c r="C159" s="1027">
        <v>4196203</v>
      </c>
      <c r="D159" s="667" t="s">
        <v>2145</v>
      </c>
      <c r="E159" s="527">
        <v>16532867.92</v>
      </c>
      <c r="F159" s="762" t="s">
        <v>1858</v>
      </c>
      <c r="G159" s="772">
        <f t="shared" si="83"/>
        <v>16532867.92</v>
      </c>
      <c r="H159" s="769">
        <v>0</v>
      </c>
      <c r="I159" s="769">
        <f t="shared" si="84"/>
        <v>16532867.92</v>
      </c>
      <c r="J159" s="772">
        <f t="shared" si="85"/>
        <v>0</v>
      </c>
      <c r="K159" s="772"/>
      <c r="L159" s="551"/>
      <c r="M159" s="769">
        <f t="shared" si="86"/>
        <v>0</v>
      </c>
      <c r="N159" s="772">
        <f t="shared" si="87"/>
        <v>0</v>
      </c>
      <c r="O159" s="769">
        <v>4</v>
      </c>
    </row>
    <row r="160" spans="1:17">
      <c r="A160" s="588" t="s">
        <v>2146</v>
      </c>
      <c r="B160" s="606">
        <v>456</v>
      </c>
      <c r="C160" s="1027">
        <v>4196204</v>
      </c>
      <c r="D160" s="667" t="s">
        <v>2147</v>
      </c>
      <c r="E160" s="527">
        <v>2881452.1</v>
      </c>
      <c r="F160" s="762" t="s">
        <v>1858</v>
      </c>
      <c r="G160" s="772">
        <f t="shared" si="83"/>
        <v>2881452.1</v>
      </c>
      <c r="H160" s="763">
        <f>G160</f>
        <v>2881452.1</v>
      </c>
      <c r="I160" s="769">
        <f t="shared" si="84"/>
        <v>0</v>
      </c>
      <c r="J160" s="772">
        <f t="shared" si="85"/>
        <v>0</v>
      </c>
      <c r="K160" s="772"/>
      <c r="L160" s="551"/>
      <c r="M160" s="769">
        <f t="shared" si="86"/>
        <v>0</v>
      </c>
      <c r="N160" s="772">
        <f t="shared" si="87"/>
        <v>0</v>
      </c>
      <c r="O160" s="769">
        <v>8</v>
      </c>
    </row>
    <row r="161" spans="1:15">
      <c r="A161" s="498" t="s">
        <v>2148</v>
      </c>
      <c r="B161" s="606">
        <v>456</v>
      </c>
      <c r="C161" s="606">
        <v>4192113</v>
      </c>
      <c r="D161" s="281" t="s">
        <v>2149</v>
      </c>
      <c r="E161" s="802">
        <v>3398657.75</v>
      </c>
      <c r="F161" s="762" t="s">
        <v>1858</v>
      </c>
      <c r="G161" s="772">
        <f t="shared" si="83"/>
        <v>3398657.75</v>
      </c>
      <c r="H161" s="769">
        <v>0</v>
      </c>
      <c r="I161" s="769">
        <f t="shared" si="84"/>
        <v>3398657.75</v>
      </c>
      <c r="J161" s="772">
        <f t="shared" si="85"/>
        <v>0</v>
      </c>
      <c r="K161" s="772"/>
      <c r="L161" s="763"/>
      <c r="M161" s="769">
        <f t="shared" si="86"/>
        <v>0</v>
      </c>
      <c r="N161" s="772">
        <f t="shared" si="87"/>
        <v>0</v>
      </c>
      <c r="O161" s="769">
        <v>8</v>
      </c>
    </row>
    <row r="162" spans="1:15">
      <c r="A162" s="498" t="s">
        <v>2150</v>
      </c>
      <c r="B162" s="606">
        <v>456</v>
      </c>
      <c r="C162" s="606">
        <v>4171023</v>
      </c>
      <c r="D162" s="281" t="s">
        <v>2151</v>
      </c>
      <c r="E162" s="527"/>
      <c r="F162" s="762" t="s">
        <v>1858</v>
      </c>
      <c r="G162" s="772">
        <f t="shared" si="83"/>
        <v>0</v>
      </c>
      <c r="H162" s="769">
        <v>0</v>
      </c>
      <c r="I162" s="769">
        <f t="shared" si="84"/>
        <v>0</v>
      </c>
      <c r="J162" s="772">
        <f t="shared" si="85"/>
        <v>0</v>
      </c>
      <c r="K162" s="772"/>
      <c r="L162" s="763"/>
      <c r="M162" s="769">
        <f t="shared" si="86"/>
        <v>0</v>
      </c>
      <c r="N162" s="772">
        <f t="shared" si="87"/>
        <v>0</v>
      </c>
      <c r="O162" s="769">
        <v>8</v>
      </c>
    </row>
    <row r="163" spans="1:15">
      <c r="A163" s="577" t="s">
        <v>3128</v>
      </c>
      <c r="B163" s="790">
        <v>456</v>
      </c>
      <c r="C163" s="790">
        <v>4192114</v>
      </c>
      <c r="D163" s="578" t="s">
        <v>3131</v>
      </c>
      <c r="E163" s="527">
        <v>460156.98</v>
      </c>
      <c r="F163" s="762" t="s">
        <v>1858</v>
      </c>
      <c r="G163" s="762">
        <f t="shared" si="83"/>
        <v>460156.98</v>
      </c>
      <c r="H163" s="763">
        <v>0</v>
      </c>
      <c r="I163" s="763">
        <f t="shared" si="84"/>
        <v>460156.98</v>
      </c>
      <c r="J163" s="762">
        <f t="shared" si="85"/>
        <v>0</v>
      </c>
      <c r="K163" s="762"/>
      <c r="L163" s="763"/>
      <c r="M163" s="763">
        <f t="shared" si="86"/>
        <v>0</v>
      </c>
      <c r="N163" s="762">
        <f t="shared" si="87"/>
        <v>0</v>
      </c>
      <c r="O163" s="763">
        <v>1</v>
      </c>
    </row>
    <row r="164" spans="1:15">
      <c r="A164" s="577" t="s">
        <v>3129</v>
      </c>
      <c r="B164" s="790">
        <v>456</v>
      </c>
      <c r="C164" s="790">
        <v>4196106</v>
      </c>
      <c r="D164" s="578" t="s">
        <v>3132</v>
      </c>
      <c r="E164" s="527">
        <v>75992.7</v>
      </c>
      <c r="F164" s="762" t="s">
        <v>1858</v>
      </c>
      <c r="G164" s="762">
        <f t="shared" si="83"/>
        <v>75992.7</v>
      </c>
      <c r="H164" s="763">
        <v>0</v>
      </c>
      <c r="I164" s="763">
        <f t="shared" si="84"/>
        <v>75992.7</v>
      </c>
      <c r="J164" s="762">
        <f t="shared" si="85"/>
        <v>0</v>
      </c>
      <c r="K164" s="762"/>
      <c r="L164" s="763"/>
      <c r="M164" s="763">
        <f t="shared" si="86"/>
        <v>0</v>
      </c>
      <c r="N164" s="762">
        <f t="shared" si="87"/>
        <v>0</v>
      </c>
      <c r="O164" s="763">
        <v>1</v>
      </c>
    </row>
    <row r="165" spans="1:15">
      <c r="A165" s="577" t="s">
        <v>3130</v>
      </c>
      <c r="B165" s="790">
        <v>456</v>
      </c>
      <c r="C165" s="790">
        <v>4186529</v>
      </c>
      <c r="D165" s="578" t="s">
        <v>3133</v>
      </c>
      <c r="E165" s="527">
        <v>422193</v>
      </c>
      <c r="F165" s="762" t="s">
        <v>1859</v>
      </c>
      <c r="G165" s="762">
        <f t="shared" si="83"/>
        <v>0</v>
      </c>
      <c r="H165" s="763">
        <v>0</v>
      </c>
      <c r="I165" s="763">
        <f t="shared" si="84"/>
        <v>0</v>
      </c>
      <c r="J165" s="762">
        <f t="shared" si="85"/>
        <v>422193</v>
      </c>
      <c r="K165" s="762" t="s">
        <v>1890</v>
      </c>
      <c r="L165" s="763"/>
      <c r="M165" s="763">
        <f t="shared" si="86"/>
        <v>422193</v>
      </c>
      <c r="N165" s="762">
        <f t="shared" si="87"/>
        <v>0</v>
      </c>
      <c r="O165" s="763">
        <v>2</v>
      </c>
    </row>
    <row r="166" spans="1:15">
      <c r="A166" s="577"/>
      <c r="B166" s="790"/>
      <c r="C166" s="790"/>
      <c r="D166" s="578"/>
      <c r="E166" s="527"/>
      <c r="F166" s="762"/>
      <c r="G166" s="762"/>
      <c r="H166" s="763"/>
      <c r="I166" s="763"/>
      <c r="J166" s="762"/>
      <c r="K166" s="762"/>
      <c r="L166" s="763"/>
      <c r="M166" s="763"/>
      <c r="N166" s="762"/>
      <c r="O166" s="763"/>
    </row>
    <row r="167" spans="1:15">
      <c r="A167" s="577"/>
      <c r="B167" s="790"/>
      <c r="C167" s="792"/>
      <c r="D167" s="578"/>
      <c r="E167" s="1187"/>
      <c r="F167" s="527"/>
      <c r="G167" s="882"/>
      <c r="H167" s="391"/>
      <c r="I167" s="391"/>
      <c r="J167" s="551"/>
      <c r="K167" s="551"/>
      <c r="L167" s="391"/>
      <c r="M167" s="391"/>
      <c r="N167" s="551"/>
      <c r="O167" s="579"/>
    </row>
    <row r="168" spans="1:15" ht="13">
      <c r="A168" s="498">
        <v>13</v>
      </c>
      <c r="B168" s="1228" t="s">
        <v>2152</v>
      </c>
      <c r="C168" s="1221"/>
      <c r="D168" s="1222"/>
      <c r="E168" s="158">
        <f>SUM(E93:E167)</f>
        <v>797147631.72000003</v>
      </c>
      <c r="F168" s="165"/>
      <c r="G168" s="158">
        <f>SUM(G93:G167)</f>
        <v>108691272.23702398</v>
      </c>
      <c r="H168" s="158">
        <f>SUM(H93:H167)</f>
        <v>6708483.7570239995</v>
      </c>
      <c r="I168" s="158">
        <f>SUM(I93:I167)</f>
        <v>101982788.48</v>
      </c>
      <c r="J168" s="158">
        <f>SUM(J93:J167)</f>
        <v>3238611.38</v>
      </c>
      <c r="K168" s="165"/>
      <c r="L168" s="158">
        <f>SUM(L93:L167)</f>
        <v>1437223.3800000001</v>
      </c>
      <c r="M168" s="158">
        <f>SUM(M93:M167)</f>
        <v>1801387.9999999998</v>
      </c>
      <c r="N168" s="158">
        <f>SUM(N93:N167)</f>
        <v>685217748.10297608</v>
      </c>
      <c r="O168" s="106"/>
    </row>
    <row r="169" spans="1:15" ht="25.5" customHeight="1">
      <c r="A169" s="498">
        <v>14</v>
      </c>
      <c r="B169" s="1223" t="s">
        <v>2153</v>
      </c>
      <c r="C169" s="1224"/>
      <c r="D169" s="1225"/>
      <c r="E169" s="576">
        <v>797147632</v>
      </c>
      <c r="F169" s="157"/>
      <c r="G169" s="170"/>
      <c r="H169" s="157"/>
      <c r="I169" s="157"/>
      <c r="J169" s="170"/>
      <c r="K169" s="157"/>
      <c r="L169" s="154"/>
      <c r="M169" s="154"/>
      <c r="N169" s="154"/>
      <c r="O169" s="2"/>
    </row>
    <row r="170" spans="1:15" ht="13">
      <c r="A170" s="4"/>
      <c r="B170" s="1"/>
      <c r="C170" s="109"/>
      <c r="D170" s="109"/>
      <c r="E170" s="154"/>
      <c r="F170" s="154"/>
      <c r="G170" s="154"/>
      <c r="H170" s="157"/>
      <c r="I170" s="157"/>
      <c r="J170" s="154"/>
      <c r="K170" s="157"/>
      <c r="L170" s="154"/>
      <c r="M170" s="154"/>
      <c r="N170" s="154"/>
      <c r="O170" s="2"/>
    </row>
    <row r="171" spans="1:15">
      <c r="A171" s="498" t="s">
        <v>2154</v>
      </c>
      <c r="B171" s="606">
        <v>456.1</v>
      </c>
      <c r="C171" s="1027">
        <v>4188112</v>
      </c>
      <c r="D171" s="497" t="s">
        <v>2155</v>
      </c>
      <c r="E171" s="1107"/>
      <c r="F171" s="762" t="s">
        <v>1858</v>
      </c>
      <c r="G171" s="768">
        <f t="shared" ref="G171:G183" si="88">IF(F171=$G$2,E171,0)</f>
        <v>0</v>
      </c>
      <c r="H171" s="769">
        <f>G171</f>
        <v>0</v>
      </c>
      <c r="I171" s="769">
        <f t="shared" ref="I171:I190" si="89">G171-H171</f>
        <v>0</v>
      </c>
      <c r="J171" s="768">
        <f t="shared" ref="J171:J184" si="90">IF(F171=$J$2,E171,0)</f>
        <v>0</v>
      </c>
      <c r="K171" s="883"/>
      <c r="L171" s="551"/>
      <c r="M171" s="769">
        <f>J171-L171</f>
        <v>0</v>
      </c>
      <c r="N171" s="768">
        <f t="shared" ref="N171:N190" si="91">IF(F171=$N$2,E171,0)</f>
        <v>0</v>
      </c>
      <c r="O171" s="769">
        <v>5</v>
      </c>
    </row>
    <row r="172" spans="1:15">
      <c r="A172" s="498" t="s">
        <v>2156</v>
      </c>
      <c r="B172" s="606">
        <v>456.1</v>
      </c>
      <c r="C172" s="1027">
        <v>4188114</v>
      </c>
      <c r="D172" s="497" t="s">
        <v>2157</v>
      </c>
      <c r="E172" s="527">
        <v>898962.96</v>
      </c>
      <c r="F172" s="762" t="s">
        <v>1858</v>
      </c>
      <c r="G172" s="768">
        <f t="shared" si="88"/>
        <v>898962.96</v>
      </c>
      <c r="H172" s="769">
        <v>0</v>
      </c>
      <c r="I172" s="769">
        <f t="shared" si="89"/>
        <v>898962.96</v>
      </c>
      <c r="J172" s="768">
        <f t="shared" si="90"/>
        <v>0</v>
      </c>
      <c r="K172" s="883"/>
      <c r="L172" s="551"/>
      <c r="M172" s="769">
        <f>J172-L172</f>
        <v>0</v>
      </c>
      <c r="N172" s="768">
        <f t="shared" si="91"/>
        <v>0</v>
      </c>
      <c r="O172" s="769">
        <v>4</v>
      </c>
    </row>
    <row r="173" spans="1:15">
      <c r="A173" s="498" t="s">
        <v>2158</v>
      </c>
      <c r="B173" s="606">
        <v>456.1</v>
      </c>
      <c r="C173" s="1027">
        <v>4188116</v>
      </c>
      <c r="D173" s="497" t="s">
        <v>2159</v>
      </c>
      <c r="E173" s="527">
        <v>296028</v>
      </c>
      <c r="F173" s="762" t="s">
        <v>1858</v>
      </c>
      <c r="G173" s="768">
        <f t="shared" si="88"/>
        <v>296028</v>
      </c>
      <c r="H173" s="769">
        <v>0</v>
      </c>
      <c r="I173" s="769">
        <f t="shared" si="89"/>
        <v>296028</v>
      </c>
      <c r="J173" s="768">
        <f t="shared" si="90"/>
        <v>0</v>
      </c>
      <c r="K173" s="883"/>
      <c r="L173" s="551"/>
      <c r="M173" s="769">
        <f>J173-L173</f>
        <v>0</v>
      </c>
      <c r="N173" s="768">
        <f t="shared" si="91"/>
        <v>0</v>
      </c>
      <c r="O173" s="769">
        <v>4</v>
      </c>
    </row>
    <row r="174" spans="1:15">
      <c r="A174" s="498" t="s">
        <v>2160</v>
      </c>
      <c r="B174" s="606">
        <v>456.1</v>
      </c>
      <c r="C174" s="1027">
        <v>4188812</v>
      </c>
      <c r="D174" s="497" t="s">
        <v>2161</v>
      </c>
      <c r="E174" s="527">
        <v>783431.68000000005</v>
      </c>
      <c r="F174" s="762" t="s">
        <v>1860</v>
      </c>
      <c r="G174" s="768">
        <f t="shared" si="88"/>
        <v>0</v>
      </c>
      <c r="H174" s="769">
        <v>0</v>
      </c>
      <c r="I174" s="769">
        <f t="shared" si="89"/>
        <v>0</v>
      </c>
      <c r="J174" s="768">
        <f t="shared" si="90"/>
        <v>0</v>
      </c>
      <c r="K174" s="883"/>
      <c r="L174" s="551"/>
      <c r="M174" s="769">
        <f>J174-L174</f>
        <v>0</v>
      </c>
      <c r="N174" s="768">
        <f t="shared" si="91"/>
        <v>783431.68000000005</v>
      </c>
      <c r="O174" s="769">
        <v>6</v>
      </c>
    </row>
    <row r="175" spans="1:15">
      <c r="A175" s="498" t="s">
        <v>2162</v>
      </c>
      <c r="B175" s="606">
        <v>456.1</v>
      </c>
      <c r="C175" s="1027">
        <v>4188814</v>
      </c>
      <c r="D175" s="497" t="s">
        <v>2163</v>
      </c>
      <c r="E175" s="527">
        <v>170944598.19999999</v>
      </c>
      <c r="F175" s="762" t="s">
        <v>1860</v>
      </c>
      <c r="G175" s="768">
        <f t="shared" si="88"/>
        <v>0</v>
      </c>
      <c r="H175" s="769">
        <v>0</v>
      </c>
      <c r="I175" s="769">
        <f t="shared" si="89"/>
        <v>0</v>
      </c>
      <c r="J175" s="768">
        <f t="shared" si="90"/>
        <v>0</v>
      </c>
      <c r="K175" s="883"/>
      <c r="L175" s="551"/>
      <c r="M175" s="769">
        <f>J175-L175</f>
        <v>0</v>
      </c>
      <c r="N175" s="768">
        <f t="shared" si="91"/>
        <v>170944598.19999999</v>
      </c>
      <c r="O175" s="769">
        <v>6</v>
      </c>
    </row>
    <row r="176" spans="1:15">
      <c r="A176" s="498" t="s">
        <v>2164</v>
      </c>
      <c r="B176" s="606">
        <v>456.1</v>
      </c>
      <c r="C176" s="1027">
        <v>4188816</v>
      </c>
      <c r="D176" s="497" t="s">
        <v>2165</v>
      </c>
      <c r="E176" s="527"/>
      <c r="F176" s="762" t="s">
        <v>1860</v>
      </c>
      <c r="G176" s="768">
        <f t="shared" si="88"/>
        <v>0</v>
      </c>
      <c r="H176" s="769">
        <v>0</v>
      </c>
      <c r="I176" s="769">
        <f t="shared" si="89"/>
        <v>0</v>
      </c>
      <c r="J176" s="768">
        <f t="shared" si="90"/>
        <v>0</v>
      </c>
      <c r="K176" s="883"/>
      <c r="L176" s="551"/>
      <c r="M176" s="769">
        <f t="shared" ref="M176" si="92">J176-L176</f>
        <v>0</v>
      </c>
      <c r="N176" s="768">
        <f t="shared" si="91"/>
        <v>0</v>
      </c>
      <c r="O176" s="769">
        <v>6</v>
      </c>
    </row>
    <row r="177" spans="1:15">
      <c r="A177" s="498" t="s">
        <v>2166</v>
      </c>
      <c r="B177" s="606">
        <v>456.1</v>
      </c>
      <c r="C177" s="1027">
        <v>4198110</v>
      </c>
      <c r="D177" s="497" t="s">
        <v>2167</v>
      </c>
      <c r="E177" s="527">
        <v>42024960</v>
      </c>
      <c r="F177" s="762" t="s">
        <v>1858</v>
      </c>
      <c r="G177" s="768">
        <f t="shared" si="88"/>
        <v>42024960</v>
      </c>
      <c r="H177" s="769">
        <f>G177</f>
        <v>42024960</v>
      </c>
      <c r="I177" s="769">
        <f t="shared" si="89"/>
        <v>0</v>
      </c>
      <c r="J177" s="768">
        <f t="shared" si="90"/>
        <v>0</v>
      </c>
      <c r="K177" s="883"/>
      <c r="L177" s="551"/>
      <c r="M177" s="769">
        <f t="shared" ref="M177:M190" si="93">J177-L177</f>
        <v>0</v>
      </c>
      <c r="N177" s="768">
        <f t="shared" si="91"/>
        <v>0</v>
      </c>
      <c r="O177" s="769">
        <v>5</v>
      </c>
    </row>
    <row r="178" spans="1:15">
      <c r="A178" s="498" t="s">
        <v>2168</v>
      </c>
      <c r="B178" s="606">
        <v>456.1</v>
      </c>
      <c r="C178" s="1027">
        <v>4198112</v>
      </c>
      <c r="D178" s="497" t="s">
        <v>2169</v>
      </c>
      <c r="E178" s="527">
        <v>10869713.140000001</v>
      </c>
      <c r="F178" s="762" t="s">
        <v>1858</v>
      </c>
      <c r="G178" s="768">
        <f t="shared" si="88"/>
        <v>10869713.140000001</v>
      </c>
      <c r="H178" s="769">
        <v>0</v>
      </c>
      <c r="I178" s="769">
        <f t="shared" si="89"/>
        <v>10869713.140000001</v>
      </c>
      <c r="J178" s="768">
        <f t="shared" si="90"/>
        <v>0</v>
      </c>
      <c r="K178" s="883"/>
      <c r="L178" s="551"/>
      <c r="M178" s="769">
        <f t="shared" si="93"/>
        <v>0</v>
      </c>
      <c r="N178" s="768">
        <f t="shared" si="91"/>
        <v>0</v>
      </c>
      <c r="O178" s="769">
        <v>4</v>
      </c>
    </row>
    <row r="179" spans="1:15">
      <c r="A179" s="498" t="s">
        <v>2170</v>
      </c>
      <c r="B179" s="606">
        <v>456.1</v>
      </c>
      <c r="C179" s="1027">
        <v>4198114</v>
      </c>
      <c r="D179" s="497" t="s">
        <v>2171</v>
      </c>
      <c r="E179" s="527"/>
      <c r="F179" s="762" t="s">
        <v>1858</v>
      </c>
      <c r="G179" s="768">
        <f t="shared" si="88"/>
        <v>0</v>
      </c>
      <c r="H179" s="769">
        <v>0</v>
      </c>
      <c r="I179" s="769">
        <f t="shared" si="89"/>
        <v>0</v>
      </c>
      <c r="J179" s="768">
        <f t="shared" si="90"/>
        <v>0</v>
      </c>
      <c r="K179" s="883"/>
      <c r="L179" s="551"/>
      <c r="M179" s="769">
        <f t="shared" si="93"/>
        <v>0</v>
      </c>
      <c r="N179" s="768">
        <f t="shared" si="91"/>
        <v>0</v>
      </c>
      <c r="O179" s="769">
        <v>4</v>
      </c>
    </row>
    <row r="180" spans="1:15">
      <c r="A180" s="498" t="s">
        <v>2172</v>
      </c>
      <c r="B180" s="606">
        <v>456.1</v>
      </c>
      <c r="C180" s="1027">
        <v>4198116</v>
      </c>
      <c r="D180" s="497" t="s">
        <v>2173</v>
      </c>
      <c r="E180" s="527"/>
      <c r="F180" s="762" t="s">
        <v>1858</v>
      </c>
      <c r="G180" s="768">
        <f t="shared" si="88"/>
        <v>0</v>
      </c>
      <c r="H180" s="769">
        <v>0</v>
      </c>
      <c r="I180" s="769">
        <f t="shared" si="89"/>
        <v>0</v>
      </c>
      <c r="J180" s="768">
        <f t="shared" si="90"/>
        <v>0</v>
      </c>
      <c r="K180" s="883"/>
      <c r="L180" s="551"/>
      <c r="M180" s="769">
        <f t="shared" si="93"/>
        <v>0</v>
      </c>
      <c r="N180" s="768">
        <f t="shared" si="91"/>
        <v>0</v>
      </c>
      <c r="O180" s="769">
        <v>4</v>
      </c>
    </row>
    <row r="181" spans="1:15">
      <c r="A181" s="498" t="s">
        <v>2174</v>
      </c>
      <c r="B181" s="606">
        <v>456.1</v>
      </c>
      <c r="C181" s="1027">
        <v>4198118</v>
      </c>
      <c r="D181" s="497" t="s">
        <v>2175</v>
      </c>
      <c r="E181" s="527">
        <v>402147.6</v>
      </c>
      <c r="F181" s="762" t="s">
        <v>1858</v>
      </c>
      <c r="G181" s="768">
        <f t="shared" si="88"/>
        <v>402147.6</v>
      </c>
      <c r="H181" s="769">
        <v>0</v>
      </c>
      <c r="I181" s="769">
        <f t="shared" si="89"/>
        <v>402147.6</v>
      </c>
      <c r="J181" s="768">
        <f t="shared" si="90"/>
        <v>0</v>
      </c>
      <c r="K181" s="883"/>
      <c r="L181" s="551"/>
      <c r="M181" s="769">
        <f t="shared" si="93"/>
        <v>0</v>
      </c>
      <c r="N181" s="768">
        <f t="shared" si="91"/>
        <v>0</v>
      </c>
      <c r="O181" s="769">
        <v>4</v>
      </c>
    </row>
    <row r="182" spans="1:15">
      <c r="A182" s="498" t="s">
        <v>2176</v>
      </c>
      <c r="B182" s="606">
        <v>456.1</v>
      </c>
      <c r="C182" s="1027">
        <v>4198120</v>
      </c>
      <c r="D182" s="497" t="s">
        <v>2177</v>
      </c>
      <c r="E182" s="527"/>
      <c r="F182" s="762" t="s">
        <v>1858</v>
      </c>
      <c r="G182" s="768">
        <f t="shared" si="88"/>
        <v>0</v>
      </c>
      <c r="H182" s="769">
        <v>0</v>
      </c>
      <c r="I182" s="769">
        <f t="shared" si="89"/>
        <v>0</v>
      </c>
      <c r="J182" s="768">
        <f t="shared" si="90"/>
        <v>0</v>
      </c>
      <c r="K182" s="883"/>
      <c r="L182" s="551"/>
      <c r="M182" s="769">
        <f t="shared" si="93"/>
        <v>0</v>
      </c>
      <c r="N182" s="768">
        <f t="shared" si="91"/>
        <v>0</v>
      </c>
      <c r="O182" s="769">
        <v>4</v>
      </c>
    </row>
    <row r="183" spans="1:15">
      <c r="A183" s="498" t="s">
        <v>2178</v>
      </c>
      <c r="B183" s="606">
        <v>456.1</v>
      </c>
      <c r="C183" s="1027">
        <v>4198122</v>
      </c>
      <c r="D183" s="497" t="s">
        <v>2179</v>
      </c>
      <c r="E183" s="527"/>
      <c r="F183" s="762" t="s">
        <v>1858</v>
      </c>
      <c r="G183" s="768">
        <f t="shared" si="88"/>
        <v>0</v>
      </c>
      <c r="H183" s="769">
        <v>0</v>
      </c>
      <c r="I183" s="769">
        <f t="shared" si="89"/>
        <v>0</v>
      </c>
      <c r="J183" s="768">
        <f t="shared" si="90"/>
        <v>0</v>
      </c>
      <c r="K183" s="883"/>
      <c r="L183" s="551"/>
      <c r="M183" s="769">
        <f t="shared" si="93"/>
        <v>0</v>
      </c>
      <c r="N183" s="768">
        <f t="shared" si="91"/>
        <v>0</v>
      </c>
      <c r="O183" s="769">
        <v>4</v>
      </c>
    </row>
    <row r="184" spans="1:15">
      <c r="A184" s="498" t="s">
        <v>2180</v>
      </c>
      <c r="B184" s="606">
        <v>456.1</v>
      </c>
      <c r="C184" s="1027">
        <v>4198124</v>
      </c>
      <c r="D184" s="497" t="s">
        <v>2181</v>
      </c>
      <c r="E184" s="527">
        <v>651331.07999999996</v>
      </c>
      <c r="F184" s="762" t="s">
        <v>1858</v>
      </c>
      <c r="G184" s="768">
        <f t="shared" ref="G184" si="94">IF(F184=$G$2,E184,0)</f>
        <v>651331.07999999996</v>
      </c>
      <c r="H184" s="769">
        <v>0</v>
      </c>
      <c r="I184" s="769">
        <f t="shared" si="89"/>
        <v>651331.07999999996</v>
      </c>
      <c r="J184" s="768">
        <f t="shared" si="90"/>
        <v>0</v>
      </c>
      <c r="K184" s="883"/>
      <c r="L184" s="551"/>
      <c r="M184" s="769">
        <f t="shared" si="93"/>
        <v>0</v>
      </c>
      <c r="N184" s="768">
        <f t="shared" si="91"/>
        <v>0</v>
      </c>
      <c r="O184" s="769">
        <v>4</v>
      </c>
    </row>
    <row r="185" spans="1:15">
      <c r="A185" s="498" t="s">
        <v>2182</v>
      </c>
      <c r="B185" s="606">
        <v>456.1</v>
      </c>
      <c r="C185" s="1027">
        <v>4198126</v>
      </c>
      <c r="D185" s="497" t="s">
        <v>2183</v>
      </c>
      <c r="E185" s="527">
        <v>207840.12</v>
      </c>
      <c r="F185" s="762" t="s">
        <v>1858</v>
      </c>
      <c r="G185" s="768">
        <f t="shared" ref="G185:G190" si="95">IF(F185=$G$2,E185,0)</f>
        <v>207840.12</v>
      </c>
      <c r="H185" s="769">
        <v>0</v>
      </c>
      <c r="I185" s="769">
        <f t="shared" si="89"/>
        <v>207840.12</v>
      </c>
      <c r="J185" s="768">
        <f t="shared" ref="J185" si="96">IF(F185=$J$2,E185,0)</f>
        <v>0</v>
      </c>
      <c r="K185" s="883"/>
      <c r="L185" s="551"/>
      <c r="M185" s="769">
        <f t="shared" si="93"/>
        <v>0</v>
      </c>
      <c r="N185" s="768">
        <f t="shared" si="91"/>
        <v>0</v>
      </c>
      <c r="O185" s="769">
        <v>4</v>
      </c>
    </row>
    <row r="186" spans="1:15">
      <c r="A186" s="498" t="s">
        <v>2184</v>
      </c>
      <c r="B186" s="606">
        <v>456.1</v>
      </c>
      <c r="C186" s="1027">
        <v>4198130</v>
      </c>
      <c r="D186" s="497" t="s">
        <v>2185</v>
      </c>
      <c r="E186" s="527">
        <v>42492</v>
      </c>
      <c r="F186" s="762" t="s">
        <v>1858</v>
      </c>
      <c r="G186" s="768">
        <f t="shared" si="95"/>
        <v>42492</v>
      </c>
      <c r="H186" s="769">
        <v>0</v>
      </c>
      <c r="I186" s="769">
        <f t="shared" si="89"/>
        <v>42492</v>
      </c>
      <c r="J186" s="768">
        <f>IF(F186=$J$2,E186,0)</f>
        <v>0</v>
      </c>
      <c r="K186" s="883"/>
      <c r="L186" s="551"/>
      <c r="M186" s="769">
        <f t="shared" si="93"/>
        <v>0</v>
      </c>
      <c r="N186" s="768">
        <f t="shared" si="91"/>
        <v>0</v>
      </c>
      <c r="O186" s="769">
        <v>4</v>
      </c>
    </row>
    <row r="187" spans="1:15">
      <c r="A187" s="498" t="s">
        <v>2186</v>
      </c>
      <c r="B187" s="606">
        <v>456.1</v>
      </c>
      <c r="C187" s="1027">
        <v>4198910</v>
      </c>
      <c r="D187" s="497" t="s">
        <v>2187</v>
      </c>
      <c r="E187" s="527">
        <v>139914.9</v>
      </c>
      <c r="F187" s="762" t="s">
        <v>1860</v>
      </c>
      <c r="G187" s="768">
        <f>IF(F187=$G$2,E187,0)</f>
        <v>0</v>
      </c>
      <c r="H187" s="769">
        <v>0</v>
      </c>
      <c r="I187" s="769">
        <f t="shared" si="89"/>
        <v>0</v>
      </c>
      <c r="J187" s="768">
        <f>IF(F187=$J$2,E187,0)</f>
        <v>0</v>
      </c>
      <c r="K187" s="883"/>
      <c r="L187" s="551"/>
      <c r="M187" s="769">
        <f t="shared" si="93"/>
        <v>0</v>
      </c>
      <c r="N187" s="768">
        <f>IF(F187=$N$2,E187,0)</f>
        <v>139914.9</v>
      </c>
      <c r="O187" s="769">
        <v>6</v>
      </c>
    </row>
    <row r="188" spans="1:15">
      <c r="A188" s="498" t="s">
        <v>2188</v>
      </c>
      <c r="B188" s="606">
        <v>456.1</v>
      </c>
      <c r="C188" s="1027">
        <v>4198132</v>
      </c>
      <c r="D188" s="497" t="s">
        <v>2189</v>
      </c>
      <c r="E188" s="527"/>
      <c r="F188" s="762" t="s">
        <v>1858</v>
      </c>
      <c r="G188" s="768">
        <f>IF(F188=$G$2,E188,0)</f>
        <v>0</v>
      </c>
      <c r="H188" s="769">
        <v>0</v>
      </c>
      <c r="I188" s="769">
        <f t="shared" si="89"/>
        <v>0</v>
      </c>
      <c r="J188" s="768">
        <f>IF(F188=$J$2,E188,0)</f>
        <v>0</v>
      </c>
      <c r="K188" s="771"/>
      <c r="L188" s="551"/>
      <c r="M188" s="769">
        <f t="shared" si="93"/>
        <v>0</v>
      </c>
      <c r="N188" s="768">
        <f>IF(F188=$N$2,E188,0)</f>
        <v>0</v>
      </c>
      <c r="O188" s="769">
        <v>4</v>
      </c>
    </row>
    <row r="189" spans="1:15">
      <c r="A189" s="498" t="s">
        <v>2190</v>
      </c>
      <c r="B189" s="606">
        <v>456.1</v>
      </c>
      <c r="C189" s="1027">
        <v>4198134</v>
      </c>
      <c r="D189" s="497" t="s">
        <v>2191</v>
      </c>
      <c r="E189" s="527">
        <v>148490</v>
      </c>
      <c r="F189" s="762" t="s">
        <v>1858</v>
      </c>
      <c r="G189" s="768">
        <f t="shared" si="95"/>
        <v>148490</v>
      </c>
      <c r="H189" s="769">
        <v>0</v>
      </c>
      <c r="I189" s="769">
        <f t="shared" si="89"/>
        <v>148490</v>
      </c>
      <c r="J189" s="768">
        <f>IF(F189=$J$2,E189,0)</f>
        <v>0</v>
      </c>
      <c r="K189" s="771"/>
      <c r="L189" s="551"/>
      <c r="M189" s="769">
        <f t="shared" si="93"/>
        <v>0</v>
      </c>
      <c r="N189" s="768">
        <f t="shared" si="91"/>
        <v>0</v>
      </c>
      <c r="O189" s="769">
        <v>4</v>
      </c>
    </row>
    <row r="190" spans="1:15">
      <c r="A190" s="498" t="s">
        <v>2192</v>
      </c>
      <c r="B190" s="606">
        <v>456.1</v>
      </c>
      <c r="C190" s="1027">
        <v>4188716</v>
      </c>
      <c r="D190" s="281" t="s">
        <v>2193</v>
      </c>
      <c r="E190" s="527">
        <v>4238490</v>
      </c>
      <c r="F190" s="770" t="s">
        <v>1860</v>
      </c>
      <c r="G190" s="768">
        <f t="shared" si="95"/>
        <v>0</v>
      </c>
      <c r="H190" s="769">
        <v>0</v>
      </c>
      <c r="I190" s="769">
        <f t="shared" si="89"/>
        <v>0</v>
      </c>
      <c r="J190" s="768">
        <f>IF(F190=$J$2,E190,0)</f>
        <v>0</v>
      </c>
      <c r="K190" s="771"/>
      <c r="L190" s="551"/>
      <c r="M190" s="769">
        <f t="shared" si="93"/>
        <v>0</v>
      </c>
      <c r="N190" s="768">
        <f t="shared" si="91"/>
        <v>4238490</v>
      </c>
      <c r="O190" s="769">
        <v>6</v>
      </c>
    </row>
    <row r="191" spans="1:15">
      <c r="A191" s="498" t="s">
        <v>2194</v>
      </c>
      <c r="B191" s="742">
        <v>456.1</v>
      </c>
      <c r="C191" s="1027">
        <v>4198910</v>
      </c>
      <c r="D191" s="743" t="s">
        <v>2195</v>
      </c>
      <c r="E191" s="527"/>
      <c r="F191" s="770" t="s">
        <v>1860</v>
      </c>
      <c r="G191" s="772">
        <f t="shared" ref="G191:G196" si="97">IF(F191=$G$2,E191,0)</f>
        <v>0</v>
      </c>
      <c r="H191" s="769">
        <v>0</v>
      </c>
      <c r="I191" s="769">
        <f t="shared" ref="I191:I196" si="98">G191-H191</f>
        <v>0</v>
      </c>
      <c r="J191" s="772">
        <f t="shared" ref="J191:J196" si="99">IF(F191=$J$2,E191,0)</f>
        <v>0</v>
      </c>
      <c r="K191" s="771"/>
      <c r="L191" s="551"/>
      <c r="M191" s="769">
        <f t="shared" ref="M191:M196" si="100">J191-L191</f>
        <v>0</v>
      </c>
      <c r="N191" s="768">
        <f t="shared" ref="N191:N196" si="101">IF(F191=$N$2,E191,0)</f>
        <v>0</v>
      </c>
      <c r="O191" s="769">
        <v>6</v>
      </c>
    </row>
    <row r="192" spans="1:15">
      <c r="A192" s="498" t="s">
        <v>2196</v>
      </c>
      <c r="B192" s="742">
        <v>456.1</v>
      </c>
      <c r="C192" s="1027">
        <v>4171022</v>
      </c>
      <c r="D192" s="743" t="s">
        <v>2197</v>
      </c>
      <c r="E192" s="527"/>
      <c r="F192" s="770" t="s">
        <v>1860</v>
      </c>
      <c r="G192" s="772">
        <f t="shared" si="97"/>
        <v>0</v>
      </c>
      <c r="H192" s="769">
        <v>0</v>
      </c>
      <c r="I192" s="769">
        <f t="shared" si="98"/>
        <v>0</v>
      </c>
      <c r="J192" s="772">
        <f t="shared" si="99"/>
        <v>0</v>
      </c>
      <c r="K192" s="771"/>
      <c r="L192" s="551"/>
      <c r="M192" s="769">
        <f t="shared" si="100"/>
        <v>0</v>
      </c>
      <c r="N192" s="768">
        <f t="shared" si="101"/>
        <v>0</v>
      </c>
      <c r="O192" s="769">
        <v>6</v>
      </c>
    </row>
    <row r="193" spans="1:17" s="233" customFormat="1">
      <c r="A193" s="498" t="s">
        <v>2198</v>
      </c>
      <c r="B193" s="606">
        <v>456.1</v>
      </c>
      <c r="C193" s="1027">
        <v>4171032</v>
      </c>
      <c r="D193" s="281" t="s">
        <v>2199</v>
      </c>
      <c r="E193" s="527">
        <v>10012680</v>
      </c>
      <c r="F193" s="770" t="s">
        <v>1860</v>
      </c>
      <c r="G193" s="772">
        <f t="shared" si="97"/>
        <v>0</v>
      </c>
      <c r="H193" s="769">
        <v>0</v>
      </c>
      <c r="I193" s="769">
        <f t="shared" si="98"/>
        <v>0</v>
      </c>
      <c r="J193" s="772">
        <f t="shared" si="99"/>
        <v>0</v>
      </c>
      <c r="K193" s="771"/>
      <c r="L193" s="551"/>
      <c r="M193" s="769">
        <f t="shared" si="100"/>
        <v>0</v>
      </c>
      <c r="N193" s="768">
        <f t="shared" si="101"/>
        <v>10012680</v>
      </c>
      <c r="O193" s="769">
        <v>6</v>
      </c>
      <c r="Q193"/>
    </row>
    <row r="194" spans="1:17" s="233" customFormat="1">
      <c r="A194" s="498" t="s">
        <v>2200</v>
      </c>
      <c r="B194" s="606">
        <v>456.1</v>
      </c>
      <c r="C194" s="1027">
        <v>4198915</v>
      </c>
      <c r="D194" s="281" t="s">
        <v>2201</v>
      </c>
      <c r="E194" s="527"/>
      <c r="F194" s="770" t="s">
        <v>1860</v>
      </c>
      <c r="G194" s="772">
        <f t="shared" si="97"/>
        <v>0</v>
      </c>
      <c r="H194" s="769">
        <v>0</v>
      </c>
      <c r="I194" s="769">
        <f t="shared" si="98"/>
        <v>0</v>
      </c>
      <c r="J194" s="772">
        <f t="shared" si="99"/>
        <v>0</v>
      </c>
      <c r="K194" s="771"/>
      <c r="L194" s="551"/>
      <c r="M194" s="769">
        <f t="shared" si="100"/>
        <v>0</v>
      </c>
      <c r="N194" s="772">
        <f t="shared" si="101"/>
        <v>0</v>
      </c>
      <c r="O194" s="769">
        <v>6</v>
      </c>
      <c r="Q194"/>
    </row>
    <row r="195" spans="1:17" s="233" customFormat="1">
      <c r="A195" s="498" t="s">
        <v>2202</v>
      </c>
      <c r="B195" s="606">
        <v>456.1</v>
      </c>
      <c r="C195" s="606">
        <v>4198135</v>
      </c>
      <c r="D195" s="497" t="s">
        <v>2203</v>
      </c>
      <c r="E195" s="770">
        <v>116919.88</v>
      </c>
      <c r="F195" s="770" t="s">
        <v>1858</v>
      </c>
      <c r="G195" s="772">
        <f t="shared" si="97"/>
        <v>116919.88</v>
      </c>
      <c r="H195" s="769">
        <v>0</v>
      </c>
      <c r="I195" s="769">
        <f t="shared" si="98"/>
        <v>116919.88</v>
      </c>
      <c r="J195" s="772">
        <f t="shared" si="99"/>
        <v>0</v>
      </c>
      <c r="K195" s="771"/>
      <c r="L195" s="551"/>
      <c r="M195" s="769">
        <f t="shared" si="100"/>
        <v>0</v>
      </c>
      <c r="N195" s="768">
        <f t="shared" si="101"/>
        <v>0</v>
      </c>
      <c r="O195" s="769">
        <v>4</v>
      </c>
      <c r="Q195"/>
    </row>
    <row r="196" spans="1:17" s="233" customFormat="1">
      <c r="A196" s="498" t="s">
        <v>2204</v>
      </c>
      <c r="B196" s="606">
        <v>456.1</v>
      </c>
      <c r="C196" s="606">
        <v>4198136</v>
      </c>
      <c r="D196" s="497" t="s">
        <v>2205</v>
      </c>
      <c r="E196" s="770">
        <v>151426.88</v>
      </c>
      <c r="F196" s="770" t="s">
        <v>1858</v>
      </c>
      <c r="G196" s="772">
        <f t="shared" si="97"/>
        <v>151426.88</v>
      </c>
      <c r="H196" s="769">
        <v>0</v>
      </c>
      <c r="I196" s="769">
        <f t="shared" si="98"/>
        <v>151426.88</v>
      </c>
      <c r="J196" s="772">
        <f t="shared" si="99"/>
        <v>0</v>
      </c>
      <c r="K196" s="771"/>
      <c r="L196" s="763"/>
      <c r="M196" s="769">
        <f t="shared" si="100"/>
        <v>0</v>
      </c>
      <c r="N196" s="772">
        <f t="shared" si="101"/>
        <v>0</v>
      </c>
      <c r="O196" s="769">
        <v>4</v>
      </c>
      <c r="Q196"/>
    </row>
    <row r="197" spans="1:17" s="233" customFormat="1">
      <c r="A197" s="577"/>
      <c r="B197" s="790"/>
      <c r="C197" s="790"/>
      <c r="D197" s="792"/>
      <c r="E197" s="770"/>
      <c r="F197" s="770"/>
      <c r="G197" s="762"/>
      <c r="H197" s="763"/>
      <c r="I197" s="763"/>
      <c r="J197" s="762"/>
      <c r="K197" s="770"/>
      <c r="L197" s="763"/>
      <c r="M197" s="763"/>
      <c r="N197" s="762"/>
      <c r="O197" s="763"/>
      <c r="Q197"/>
    </row>
    <row r="198" spans="1:17">
      <c r="A198" s="577"/>
      <c r="B198" s="790"/>
      <c r="C198" s="792"/>
      <c r="D198" s="578"/>
      <c r="E198" s="886"/>
      <c r="F198" s="886"/>
      <c r="G198" s="882"/>
      <c r="H198" s="391"/>
      <c r="I198" s="391"/>
      <c r="J198" s="551"/>
      <c r="K198" s="886"/>
      <c r="L198" s="391"/>
      <c r="M198" s="391"/>
      <c r="N198" s="551"/>
      <c r="O198" s="579"/>
    </row>
    <row r="199" spans="1:17" ht="13">
      <c r="A199" s="498">
        <v>16</v>
      </c>
      <c r="B199" s="1228" t="s">
        <v>2206</v>
      </c>
      <c r="C199" s="1221"/>
      <c r="D199" s="1222"/>
      <c r="E199" s="158">
        <f>SUM(E171:E198)</f>
        <v>241929426.43999997</v>
      </c>
      <c r="F199" s="165"/>
      <c r="G199" s="158">
        <f>SUM(G171:G198)</f>
        <v>55810311.660000004</v>
      </c>
      <c r="H199" s="158">
        <f>SUM(H171:H198)</f>
        <v>42024960</v>
      </c>
      <c r="I199" s="158">
        <f>SUM(I171:I198)</f>
        <v>13785351.660000002</v>
      </c>
      <c r="J199" s="158">
        <f>SUM(J171:J198)</f>
        <v>0</v>
      </c>
      <c r="K199" s="165"/>
      <c r="L199" s="158">
        <f>SUM(L171:L198)</f>
        <v>0</v>
      </c>
      <c r="M199" s="158">
        <f>SUM(M171:M198)</f>
        <v>0</v>
      </c>
      <c r="N199" s="158">
        <f>SUM(N171:N198)</f>
        <v>186119114.78</v>
      </c>
      <c r="O199" s="106"/>
    </row>
    <row r="200" spans="1:17" ht="25.5" customHeight="1">
      <c r="A200" s="498">
        <v>17</v>
      </c>
      <c r="B200" s="1223" t="s">
        <v>2207</v>
      </c>
      <c r="C200" s="1224"/>
      <c r="D200" s="1225"/>
      <c r="E200" s="576">
        <v>241929426</v>
      </c>
      <c r="F200" s="157"/>
      <c r="G200" s="167"/>
      <c r="H200" s="157"/>
      <c r="I200" s="159"/>
      <c r="J200" s="152"/>
      <c r="K200" s="159"/>
      <c r="L200" s="152"/>
      <c r="M200" s="152"/>
      <c r="N200" s="152"/>
      <c r="O200" s="2"/>
    </row>
    <row r="201" spans="1:17" ht="13">
      <c r="A201" s="4"/>
      <c r="B201" s="1"/>
      <c r="C201" s="109"/>
      <c r="D201" s="109"/>
      <c r="E201" s="152"/>
      <c r="F201" s="152"/>
      <c r="G201" s="152"/>
      <c r="H201" s="159"/>
      <c r="I201" s="159"/>
      <c r="J201" s="152"/>
      <c r="K201" s="159"/>
      <c r="L201" s="152"/>
      <c r="M201" s="152"/>
      <c r="N201" s="152"/>
      <c r="O201" s="2"/>
    </row>
    <row r="202" spans="1:17" ht="13">
      <c r="A202" s="4"/>
      <c r="B202" s="1"/>
      <c r="C202" s="109"/>
      <c r="D202" s="109"/>
      <c r="E202" s="152"/>
      <c r="F202" s="152"/>
      <c r="G202" s="152"/>
      <c r="H202" s="159"/>
      <c r="I202" s="159"/>
      <c r="J202" s="152"/>
      <c r="K202" s="159"/>
      <c r="L202" s="152"/>
      <c r="M202" s="152"/>
      <c r="N202" s="152"/>
      <c r="O202" s="2"/>
    </row>
    <row r="203" spans="1:17" ht="13">
      <c r="A203" s="577"/>
      <c r="B203" s="759"/>
      <c r="C203" s="173"/>
      <c r="D203" s="173"/>
      <c r="E203" s="174"/>
      <c r="F203" s="174"/>
      <c r="G203" s="174"/>
      <c r="H203" s="174"/>
      <c r="I203" s="174"/>
      <c r="J203" s="174"/>
      <c r="K203" s="174"/>
      <c r="L203" s="174"/>
      <c r="M203" s="174"/>
      <c r="N203" s="174"/>
      <c r="O203" s="579"/>
    </row>
    <row r="204" spans="1:17" ht="13">
      <c r="A204" s="577"/>
      <c r="B204" s="175"/>
      <c r="C204" s="173"/>
      <c r="D204" s="173"/>
      <c r="E204" s="174"/>
      <c r="F204" s="174"/>
      <c r="G204" s="174"/>
      <c r="H204" s="174"/>
      <c r="I204" s="174"/>
      <c r="J204" s="174"/>
      <c r="K204" s="174"/>
      <c r="L204" s="174"/>
      <c r="M204" s="174"/>
      <c r="N204" s="174"/>
      <c r="O204" s="579"/>
    </row>
    <row r="205" spans="1:17" ht="13">
      <c r="A205" s="498">
        <v>19</v>
      </c>
      <c r="B205" s="1228" t="s">
        <v>2208</v>
      </c>
      <c r="C205" s="1221"/>
      <c r="D205" s="1222"/>
      <c r="E205" s="153">
        <f>SUM(E203:E204)</f>
        <v>0</v>
      </c>
      <c r="F205" s="179"/>
      <c r="G205" s="153">
        <f>SUM(G203:G204)</f>
        <v>0</v>
      </c>
      <c r="H205" s="153">
        <f>SUM(H203:H204)</f>
        <v>0</v>
      </c>
      <c r="I205" s="153">
        <f>SUM(I203:I204)</f>
        <v>0</v>
      </c>
      <c r="J205" s="153">
        <f>SUM(J203:J204)</f>
        <v>0</v>
      </c>
      <c r="K205" s="165"/>
      <c r="L205" s="153">
        <f>SUM(L203:L204)</f>
        <v>0</v>
      </c>
      <c r="M205" s="153">
        <f>SUM(M203:M204)</f>
        <v>0</v>
      </c>
      <c r="N205" s="153">
        <f>SUM(N203:N204)</f>
        <v>0</v>
      </c>
      <c r="O205" s="153"/>
    </row>
    <row r="206" spans="1:17" ht="26.25" customHeight="1">
      <c r="A206" s="498">
        <v>20</v>
      </c>
      <c r="B206" s="1240" t="s">
        <v>2209</v>
      </c>
      <c r="C206" s="1241"/>
      <c r="D206" s="1242"/>
      <c r="E206" s="156">
        <v>0</v>
      </c>
      <c r="F206" s="152"/>
      <c r="G206" s="154"/>
      <c r="H206" s="157"/>
      <c r="I206" s="157"/>
      <c r="J206" s="154"/>
      <c r="K206" s="157"/>
      <c r="L206" s="154"/>
      <c r="M206" s="154"/>
      <c r="N206" s="154"/>
      <c r="O206" s="110"/>
    </row>
    <row r="207" spans="1:17" ht="13">
      <c r="A207" s="4"/>
      <c r="B207" s="1"/>
      <c r="C207" s="109"/>
      <c r="D207" s="109"/>
      <c r="E207" s="152"/>
      <c r="F207" s="152"/>
      <c r="G207" s="154"/>
      <c r="H207" s="157"/>
      <c r="I207" s="157"/>
      <c r="J207" s="154"/>
      <c r="K207" s="157"/>
      <c r="L207" s="154"/>
      <c r="M207" s="154"/>
      <c r="N207" s="154"/>
      <c r="O207" s="110"/>
    </row>
    <row r="208" spans="1:17" ht="13">
      <c r="A208" s="577"/>
      <c r="B208" s="759"/>
      <c r="C208" s="173"/>
      <c r="D208" s="173"/>
      <c r="E208" s="174"/>
      <c r="F208" s="174"/>
      <c r="G208" s="156"/>
      <c r="H208" s="156"/>
      <c r="I208" s="156"/>
      <c r="J208" s="156"/>
      <c r="K208" s="156"/>
      <c r="L208" s="156"/>
      <c r="M208" s="156"/>
      <c r="N208" s="156"/>
      <c r="O208" s="391"/>
    </row>
    <row r="209" spans="1:15" ht="13">
      <c r="A209" s="577"/>
      <c r="B209" s="175"/>
      <c r="C209" s="173"/>
      <c r="D209" s="173"/>
      <c r="E209" s="174"/>
      <c r="F209" s="174"/>
      <c r="G209" s="156"/>
      <c r="H209" s="156"/>
      <c r="I209" s="156"/>
      <c r="J209" s="156"/>
      <c r="K209" s="156"/>
      <c r="L209" s="156"/>
      <c r="M209" s="156"/>
      <c r="N209" s="156"/>
      <c r="O209" s="391"/>
    </row>
    <row r="210" spans="1:15" ht="13">
      <c r="A210" s="498">
        <v>22</v>
      </c>
      <c r="B210" s="1228" t="s">
        <v>2210</v>
      </c>
      <c r="C210" s="1221"/>
      <c r="D210" s="1222"/>
      <c r="E210" s="153">
        <f>SUM(E208:E209)</f>
        <v>0</v>
      </c>
      <c r="F210" s="179"/>
      <c r="G210" s="153">
        <f>SUM(G208:G209)</f>
        <v>0</v>
      </c>
      <c r="H210" s="153">
        <f>SUM(H208:H209)</f>
        <v>0</v>
      </c>
      <c r="I210" s="153">
        <f>SUM(I208:I209)</f>
        <v>0</v>
      </c>
      <c r="J210" s="153">
        <f>SUM(J208:J209)</f>
        <v>0</v>
      </c>
      <c r="K210" s="165"/>
      <c r="L210" s="153">
        <f>SUM(L208:L209)</f>
        <v>0</v>
      </c>
      <c r="M210" s="153">
        <f>SUM(M208:M209)</f>
        <v>0</v>
      </c>
      <c r="N210" s="153">
        <f>SUM(N208:N209)</f>
        <v>0</v>
      </c>
      <c r="O210" s="153"/>
    </row>
    <row r="211" spans="1:15" ht="26.25" customHeight="1">
      <c r="A211" s="498">
        <v>23</v>
      </c>
      <c r="B211" s="1240" t="s">
        <v>2211</v>
      </c>
      <c r="C211" s="1241"/>
      <c r="D211" s="1242"/>
      <c r="E211" s="156">
        <v>0</v>
      </c>
      <c r="F211" s="152"/>
      <c r="G211" s="152"/>
      <c r="H211" s="159"/>
      <c r="I211" s="159"/>
      <c r="J211" s="152"/>
      <c r="K211" s="159"/>
      <c r="L211" s="152"/>
      <c r="M211" s="152"/>
      <c r="N211" s="152"/>
      <c r="O211" s="2"/>
    </row>
    <row r="212" spans="1:15" ht="13">
      <c r="A212" s="4"/>
      <c r="B212" s="1"/>
      <c r="C212" s="109"/>
      <c r="D212" s="109"/>
      <c r="E212" s="152"/>
      <c r="F212" s="152"/>
      <c r="G212" s="152"/>
      <c r="H212" s="159"/>
      <c r="I212" s="159"/>
      <c r="J212" s="152"/>
      <c r="K212" s="159"/>
      <c r="L212" s="152"/>
      <c r="M212" s="152"/>
      <c r="N212" s="152"/>
      <c r="O212" s="2"/>
    </row>
    <row r="213" spans="1:15" ht="13">
      <c r="A213" s="4"/>
      <c r="B213" s="1" t="s">
        <v>2212</v>
      </c>
      <c r="C213" s="109"/>
      <c r="D213" s="109"/>
      <c r="E213" s="756"/>
      <c r="F213" s="152"/>
      <c r="G213" s="152"/>
      <c r="H213" s="159"/>
      <c r="I213" s="159"/>
      <c r="J213" s="152"/>
      <c r="K213" s="159"/>
      <c r="L213" s="152"/>
      <c r="M213" s="152"/>
      <c r="N213" s="152"/>
      <c r="O213" s="2"/>
    </row>
    <row r="214" spans="1:15">
      <c r="A214" s="498" t="s">
        <v>2213</v>
      </c>
      <c r="B214" s="605">
        <v>417</v>
      </c>
      <c r="C214" s="1027">
        <v>4863130</v>
      </c>
      <c r="D214" s="281" t="s">
        <v>2214</v>
      </c>
      <c r="E214" s="527">
        <v>588293.96</v>
      </c>
      <c r="F214" s="527" t="s">
        <v>1859</v>
      </c>
      <c r="G214" s="879">
        <f t="shared" ref="G214:G226" si="102">IF(F214=$G$2,E214,0)</f>
        <v>0</v>
      </c>
      <c r="H214" s="495">
        <v>0</v>
      </c>
      <c r="I214" s="495">
        <f t="shared" ref="I214:I228" si="103">G214-H214</f>
        <v>0</v>
      </c>
      <c r="J214" s="879">
        <f t="shared" ref="J214:J226" si="104">IF(F214=$J$2,E214,0)</f>
        <v>588293.96</v>
      </c>
      <c r="K214" s="280" t="s">
        <v>1890</v>
      </c>
      <c r="L214" s="527">
        <v>99938.64</v>
      </c>
      <c r="M214" s="879">
        <f t="shared" ref="M214:M230" si="105">J214-L214</f>
        <v>488355.31999999995</v>
      </c>
      <c r="N214" s="879">
        <f>IF(F214=$N$2,E214,0)</f>
        <v>0</v>
      </c>
      <c r="O214" s="280">
        <v>2</v>
      </c>
    </row>
    <row r="215" spans="1:15">
      <c r="A215" s="498" t="s">
        <v>2215</v>
      </c>
      <c r="B215" s="605">
        <v>417</v>
      </c>
      <c r="C215" s="1027">
        <v>4862110</v>
      </c>
      <c r="D215" s="281" t="s">
        <v>2216</v>
      </c>
      <c r="E215" s="527">
        <v>7681603.6500000004</v>
      </c>
      <c r="F215" s="527" t="s">
        <v>1859</v>
      </c>
      <c r="G215" s="879">
        <f t="shared" si="102"/>
        <v>0</v>
      </c>
      <c r="H215" s="495">
        <v>0</v>
      </c>
      <c r="I215" s="495">
        <f t="shared" si="103"/>
        <v>0</v>
      </c>
      <c r="J215" s="879">
        <f t="shared" si="104"/>
        <v>7681603.6500000004</v>
      </c>
      <c r="K215" s="280" t="s">
        <v>1640</v>
      </c>
      <c r="L215" s="527">
        <v>1460503.04</v>
      </c>
      <c r="M215" s="879">
        <f t="shared" si="105"/>
        <v>6221100.6100000003</v>
      </c>
      <c r="N215" s="879">
        <f t="shared" ref="N215:N226" si="106">IF(F215=$N$2,E215,0)</f>
        <v>0</v>
      </c>
      <c r="O215" s="280">
        <v>2</v>
      </c>
    </row>
    <row r="216" spans="1:15">
      <c r="A216" s="498" t="s">
        <v>2217</v>
      </c>
      <c r="B216" s="605">
        <v>417</v>
      </c>
      <c r="C216" s="1027">
        <v>4862115</v>
      </c>
      <c r="D216" s="281" t="s">
        <v>2218</v>
      </c>
      <c r="E216" s="527">
        <v>0</v>
      </c>
      <c r="F216" s="527" t="s">
        <v>1859</v>
      </c>
      <c r="G216" s="879">
        <f t="shared" si="102"/>
        <v>0</v>
      </c>
      <c r="H216" s="495">
        <v>0</v>
      </c>
      <c r="I216" s="495">
        <f t="shared" si="103"/>
        <v>0</v>
      </c>
      <c r="J216" s="879">
        <f t="shared" si="104"/>
        <v>0</v>
      </c>
      <c r="K216" s="280" t="s">
        <v>1640</v>
      </c>
      <c r="L216" s="527"/>
      <c r="M216" s="879">
        <f t="shared" si="105"/>
        <v>0</v>
      </c>
      <c r="N216" s="879">
        <f t="shared" si="106"/>
        <v>0</v>
      </c>
      <c r="O216" s="280">
        <v>2</v>
      </c>
    </row>
    <row r="217" spans="1:15">
      <c r="A217" s="498" t="s">
        <v>2219</v>
      </c>
      <c r="B217" s="605">
        <v>417</v>
      </c>
      <c r="C217" s="1027">
        <v>4862120</v>
      </c>
      <c r="D217" s="281" t="s">
        <v>2220</v>
      </c>
      <c r="E217" s="527">
        <v>67906.98</v>
      </c>
      <c r="F217" s="527" t="s">
        <v>1859</v>
      </c>
      <c r="G217" s="879">
        <f t="shared" si="102"/>
        <v>0</v>
      </c>
      <c r="H217" s="495">
        <v>0</v>
      </c>
      <c r="I217" s="495">
        <f t="shared" si="103"/>
        <v>0</v>
      </c>
      <c r="J217" s="879">
        <f t="shared" si="104"/>
        <v>67906.98</v>
      </c>
      <c r="K217" s="280" t="s">
        <v>1640</v>
      </c>
      <c r="L217" s="527">
        <v>12209.77</v>
      </c>
      <c r="M217" s="879">
        <f t="shared" si="105"/>
        <v>55697.209999999992</v>
      </c>
      <c r="N217" s="879">
        <f t="shared" si="106"/>
        <v>0</v>
      </c>
      <c r="O217" s="280">
        <v>2</v>
      </c>
    </row>
    <row r="218" spans="1:15">
      <c r="A218" s="498" t="s">
        <v>2221</v>
      </c>
      <c r="B218" s="605">
        <v>417</v>
      </c>
      <c r="C218" s="1027">
        <v>4862135</v>
      </c>
      <c r="D218" s="281" t="s">
        <v>2222</v>
      </c>
      <c r="E218" s="527">
        <v>8572382.75</v>
      </c>
      <c r="F218" s="527" t="s">
        <v>1859</v>
      </c>
      <c r="G218" s="879">
        <f t="shared" si="102"/>
        <v>0</v>
      </c>
      <c r="H218" s="495">
        <v>0</v>
      </c>
      <c r="I218" s="495">
        <f t="shared" si="103"/>
        <v>0</v>
      </c>
      <c r="J218" s="879">
        <f t="shared" si="104"/>
        <v>8572382.75</v>
      </c>
      <c r="K218" s="280" t="s">
        <v>1640</v>
      </c>
      <c r="L218" s="527">
        <v>1390233.54</v>
      </c>
      <c r="M218" s="879">
        <f t="shared" si="105"/>
        <v>7182149.21</v>
      </c>
      <c r="N218" s="879">
        <f t="shared" si="106"/>
        <v>0</v>
      </c>
      <c r="O218" s="280">
        <v>2</v>
      </c>
    </row>
    <row r="219" spans="1:15">
      <c r="A219" s="498" t="s">
        <v>2223</v>
      </c>
      <c r="B219" s="605">
        <v>417</v>
      </c>
      <c r="C219" s="1027">
        <v>4864115</v>
      </c>
      <c r="D219" s="281" t="s">
        <v>2224</v>
      </c>
      <c r="E219" s="527">
        <v>0</v>
      </c>
      <c r="F219" s="527" t="s">
        <v>1859</v>
      </c>
      <c r="G219" s="879">
        <f t="shared" si="102"/>
        <v>0</v>
      </c>
      <c r="H219" s="495">
        <v>0</v>
      </c>
      <c r="I219" s="495">
        <f t="shared" si="103"/>
        <v>0</v>
      </c>
      <c r="J219" s="879">
        <f t="shared" si="104"/>
        <v>0</v>
      </c>
      <c r="K219" s="280" t="s">
        <v>1640</v>
      </c>
      <c r="L219" s="527"/>
      <c r="M219" s="879">
        <f t="shared" si="105"/>
        <v>0</v>
      </c>
      <c r="N219" s="879">
        <f t="shared" si="106"/>
        <v>0</v>
      </c>
      <c r="O219" s="280">
        <v>2</v>
      </c>
    </row>
    <row r="220" spans="1:15">
      <c r="A220" s="498" t="s">
        <v>2225</v>
      </c>
      <c r="B220" s="605">
        <v>417</v>
      </c>
      <c r="C220" s="1027">
        <v>4862125</v>
      </c>
      <c r="D220" s="281" t="s">
        <v>2226</v>
      </c>
      <c r="E220" s="527">
        <v>16724906.689999999</v>
      </c>
      <c r="F220" s="527" t="s">
        <v>1859</v>
      </c>
      <c r="G220" s="879">
        <f t="shared" si="102"/>
        <v>0</v>
      </c>
      <c r="H220" s="495">
        <v>0</v>
      </c>
      <c r="I220" s="495">
        <f t="shared" si="103"/>
        <v>0</v>
      </c>
      <c r="J220" s="879">
        <f t="shared" si="104"/>
        <v>16724906.689999999</v>
      </c>
      <c r="K220" s="280" t="s">
        <v>1640</v>
      </c>
      <c r="L220" s="527">
        <v>2990057.63</v>
      </c>
      <c r="M220" s="879">
        <f t="shared" si="105"/>
        <v>13734849.059999999</v>
      </c>
      <c r="N220" s="879">
        <f t="shared" si="106"/>
        <v>0</v>
      </c>
      <c r="O220" s="280">
        <v>2</v>
      </c>
    </row>
    <row r="221" spans="1:15">
      <c r="A221" s="498" t="s">
        <v>2227</v>
      </c>
      <c r="B221" s="605">
        <v>417</v>
      </c>
      <c r="C221" s="1027">
        <v>4862130</v>
      </c>
      <c r="D221" s="281" t="s">
        <v>2228</v>
      </c>
      <c r="E221" s="527">
        <v>8990002.8499999996</v>
      </c>
      <c r="F221" s="527" t="s">
        <v>1859</v>
      </c>
      <c r="G221" s="879">
        <f t="shared" si="102"/>
        <v>0</v>
      </c>
      <c r="H221" s="495">
        <v>0</v>
      </c>
      <c r="I221" s="495">
        <f t="shared" si="103"/>
        <v>0</v>
      </c>
      <c r="J221" s="879">
        <f t="shared" si="104"/>
        <v>8990002.8499999996</v>
      </c>
      <c r="K221" s="280" t="s">
        <v>1640</v>
      </c>
      <c r="L221" s="527">
        <v>1588014.76</v>
      </c>
      <c r="M221" s="879">
        <f t="shared" si="105"/>
        <v>7401988.0899999999</v>
      </c>
      <c r="N221" s="879">
        <f t="shared" si="106"/>
        <v>0</v>
      </c>
      <c r="O221" s="280">
        <v>2</v>
      </c>
    </row>
    <row r="222" spans="1:15">
      <c r="A222" s="498" t="s">
        <v>2229</v>
      </c>
      <c r="B222" s="605">
        <v>417</v>
      </c>
      <c r="C222" s="1027">
        <v>4863120</v>
      </c>
      <c r="D222" s="281" t="s">
        <v>2230</v>
      </c>
      <c r="E222" s="527">
        <v>353860.75</v>
      </c>
      <c r="F222" s="527" t="s">
        <v>1859</v>
      </c>
      <c r="G222" s="879">
        <f t="shared" si="102"/>
        <v>0</v>
      </c>
      <c r="H222" s="495">
        <v>0</v>
      </c>
      <c r="I222" s="495">
        <f t="shared" si="103"/>
        <v>0</v>
      </c>
      <c r="J222" s="879">
        <f t="shared" si="104"/>
        <v>353860.75</v>
      </c>
      <c r="K222" s="280" t="s">
        <v>1890</v>
      </c>
      <c r="L222" s="527">
        <v>47161.37</v>
      </c>
      <c r="M222" s="879">
        <f t="shared" si="105"/>
        <v>306699.38</v>
      </c>
      <c r="N222" s="879">
        <f t="shared" si="106"/>
        <v>0</v>
      </c>
      <c r="O222" s="280">
        <v>2</v>
      </c>
    </row>
    <row r="223" spans="1:15">
      <c r="A223" s="498" t="s">
        <v>2231</v>
      </c>
      <c r="B223" s="605">
        <v>417</v>
      </c>
      <c r="C223" s="1027">
        <v>4863110</v>
      </c>
      <c r="D223" s="281" t="s">
        <v>2232</v>
      </c>
      <c r="E223" s="527">
        <v>5123788.96</v>
      </c>
      <c r="F223" s="527" t="s">
        <v>1859</v>
      </c>
      <c r="G223" s="879">
        <f t="shared" si="102"/>
        <v>0</v>
      </c>
      <c r="H223" s="495">
        <v>0</v>
      </c>
      <c r="I223" s="495">
        <f t="shared" si="103"/>
        <v>0</v>
      </c>
      <c r="J223" s="879">
        <f t="shared" si="104"/>
        <v>5123788.96</v>
      </c>
      <c r="K223" s="280" t="s">
        <v>1890</v>
      </c>
      <c r="L223" s="527">
        <v>837389.95</v>
      </c>
      <c r="M223" s="879">
        <f t="shared" si="105"/>
        <v>4286399.01</v>
      </c>
      <c r="N223" s="879">
        <f t="shared" si="106"/>
        <v>0</v>
      </c>
      <c r="O223" s="280">
        <v>2</v>
      </c>
    </row>
    <row r="224" spans="1:15">
      <c r="A224" s="498" t="s">
        <v>2233</v>
      </c>
      <c r="B224" s="605">
        <v>417</v>
      </c>
      <c r="C224" s="1027">
        <v>4863115</v>
      </c>
      <c r="D224" s="281" t="s">
        <v>2234</v>
      </c>
      <c r="E224" s="527">
        <v>1736586.64</v>
      </c>
      <c r="F224" s="527" t="s">
        <v>1859</v>
      </c>
      <c r="G224" s="879">
        <f t="shared" si="102"/>
        <v>0</v>
      </c>
      <c r="H224" s="495">
        <v>0</v>
      </c>
      <c r="I224" s="495">
        <f t="shared" si="103"/>
        <v>0</v>
      </c>
      <c r="J224" s="879">
        <f t="shared" si="104"/>
        <v>1736586.64</v>
      </c>
      <c r="K224" s="280" t="s">
        <v>1890</v>
      </c>
      <c r="L224" s="527">
        <v>296011.63</v>
      </c>
      <c r="M224" s="879">
        <f t="shared" si="105"/>
        <v>1440575.0099999998</v>
      </c>
      <c r="N224" s="879">
        <f t="shared" si="106"/>
        <v>0</v>
      </c>
      <c r="O224" s="280">
        <v>2</v>
      </c>
    </row>
    <row r="225" spans="1:17">
      <c r="A225" s="498" t="s">
        <v>2235</v>
      </c>
      <c r="B225" s="605">
        <v>417</v>
      </c>
      <c r="C225" s="1027">
        <v>4863125</v>
      </c>
      <c r="D225" s="281" t="s">
        <v>2236</v>
      </c>
      <c r="E225" s="527">
        <v>1594419.7</v>
      </c>
      <c r="F225" s="527" t="s">
        <v>1859</v>
      </c>
      <c r="G225" s="879">
        <f t="shared" si="102"/>
        <v>0</v>
      </c>
      <c r="H225" s="495">
        <v>0</v>
      </c>
      <c r="I225" s="495">
        <f t="shared" si="103"/>
        <v>0</v>
      </c>
      <c r="J225" s="879">
        <f t="shared" si="104"/>
        <v>1594419.7</v>
      </c>
      <c r="K225" s="280" t="s">
        <v>1890</v>
      </c>
      <c r="L225" s="527">
        <v>286849.55</v>
      </c>
      <c r="M225" s="879">
        <f t="shared" si="105"/>
        <v>1307570.1499999999</v>
      </c>
      <c r="N225" s="879">
        <f t="shared" si="106"/>
        <v>0</v>
      </c>
      <c r="O225" s="280">
        <v>2</v>
      </c>
    </row>
    <row r="226" spans="1:17">
      <c r="A226" s="498" t="s">
        <v>2237</v>
      </c>
      <c r="B226" s="605">
        <v>417</v>
      </c>
      <c r="C226" s="1027">
        <v>4864120</v>
      </c>
      <c r="D226" s="281" t="s">
        <v>2238</v>
      </c>
      <c r="E226" s="527">
        <v>129836.85</v>
      </c>
      <c r="F226" s="527" t="s">
        <v>1859</v>
      </c>
      <c r="G226" s="879">
        <f t="shared" si="102"/>
        <v>0</v>
      </c>
      <c r="H226" s="495">
        <v>0</v>
      </c>
      <c r="I226" s="495">
        <f t="shared" si="103"/>
        <v>0</v>
      </c>
      <c r="J226" s="879">
        <f t="shared" si="104"/>
        <v>129836.85</v>
      </c>
      <c r="K226" s="280" t="s">
        <v>1640</v>
      </c>
      <c r="L226" s="527">
        <v>36717.72</v>
      </c>
      <c r="M226" s="879">
        <f t="shared" si="105"/>
        <v>93119.13</v>
      </c>
      <c r="N226" s="879">
        <f t="shared" si="106"/>
        <v>0</v>
      </c>
      <c r="O226" s="280">
        <v>2</v>
      </c>
    </row>
    <row r="227" spans="1:17">
      <c r="A227" s="498" t="s">
        <v>2239</v>
      </c>
      <c r="B227" s="605">
        <v>417</v>
      </c>
      <c r="C227" s="1027">
        <v>4864116</v>
      </c>
      <c r="D227" s="281" t="s">
        <v>2240</v>
      </c>
      <c r="E227" s="527">
        <v>1157922.52</v>
      </c>
      <c r="F227" s="527" t="s">
        <v>1859</v>
      </c>
      <c r="G227" s="879">
        <f>IF(F227=$G$2,E227,0)</f>
        <v>0</v>
      </c>
      <c r="H227" s="495">
        <v>0</v>
      </c>
      <c r="I227" s="495">
        <f t="shared" si="103"/>
        <v>0</v>
      </c>
      <c r="J227" s="879">
        <f>IF(F227=$J$2,E227,0)</f>
        <v>1157922.52</v>
      </c>
      <c r="K227" s="280" t="s">
        <v>1640</v>
      </c>
      <c r="L227" s="527">
        <v>142468</v>
      </c>
      <c r="M227" s="879">
        <f t="shared" si="105"/>
        <v>1015454.52</v>
      </c>
      <c r="N227" s="879">
        <f>IF(F227=$N$2,E227,0)</f>
        <v>0</v>
      </c>
      <c r="O227" s="280">
        <v>2</v>
      </c>
    </row>
    <row r="228" spans="1:17">
      <c r="A228" s="498" t="s">
        <v>2241</v>
      </c>
      <c r="B228" s="605">
        <v>417</v>
      </c>
      <c r="C228" s="1027">
        <v>4864121</v>
      </c>
      <c r="D228" s="281" t="s">
        <v>2242</v>
      </c>
      <c r="E228" s="527">
        <v>15775.88</v>
      </c>
      <c r="F228" s="527" t="s">
        <v>1859</v>
      </c>
      <c r="G228" s="879">
        <f>IF(F228=$G$2,E228,0)</f>
        <v>0</v>
      </c>
      <c r="H228" s="495">
        <v>0</v>
      </c>
      <c r="I228" s="495">
        <f t="shared" si="103"/>
        <v>0</v>
      </c>
      <c r="J228" s="879">
        <f>IF(F228=$J$2,E228,0)</f>
        <v>15775.88</v>
      </c>
      <c r="K228" s="280" t="s">
        <v>1640</v>
      </c>
      <c r="L228" s="527">
        <v>2578.7800000000002</v>
      </c>
      <c r="M228" s="879">
        <f t="shared" si="105"/>
        <v>13197.099999999999</v>
      </c>
      <c r="N228" s="879">
        <f>IF(F228=$N$2,E228,0)</f>
        <v>0</v>
      </c>
      <c r="O228" s="280">
        <v>2</v>
      </c>
    </row>
    <row r="229" spans="1:17">
      <c r="A229" s="498" t="s">
        <v>2243</v>
      </c>
      <c r="B229" s="742">
        <v>417</v>
      </c>
      <c r="C229" s="1027">
        <v>4864117</v>
      </c>
      <c r="D229" s="743" t="s">
        <v>2244</v>
      </c>
      <c r="E229" s="527">
        <v>549301.01808489999</v>
      </c>
      <c r="F229" s="527" t="s">
        <v>1859</v>
      </c>
      <c r="G229" s="879">
        <f t="shared" ref="G229:G230" si="107">IF(F229=$G$2,E229,0)</f>
        <v>0</v>
      </c>
      <c r="H229" s="495">
        <v>0</v>
      </c>
      <c r="I229" s="495">
        <f t="shared" ref="I229:I230" si="108">G229-H229</f>
        <v>0</v>
      </c>
      <c r="J229" s="879">
        <f t="shared" ref="J229:J230" si="109">IF(F229=$J$2,E229,0)</f>
        <v>549301.01808489999</v>
      </c>
      <c r="K229" s="280" t="s">
        <v>1640</v>
      </c>
      <c r="L229" s="527">
        <v>98908.65</v>
      </c>
      <c r="M229" s="879">
        <f t="shared" si="105"/>
        <v>450392.36808489996</v>
      </c>
      <c r="N229" s="879">
        <f t="shared" ref="N229:N230" si="110">IF(F229=$N$2,E229,0)</f>
        <v>0</v>
      </c>
      <c r="O229" s="280">
        <v>2</v>
      </c>
    </row>
    <row r="230" spans="1:17">
      <c r="A230" s="498" t="s">
        <v>2245</v>
      </c>
      <c r="B230" s="742">
        <v>417</v>
      </c>
      <c r="C230" s="1027">
        <v>4864122</v>
      </c>
      <c r="D230" s="743" t="s">
        <v>2246</v>
      </c>
      <c r="E230" s="527">
        <v>45823.360000000001</v>
      </c>
      <c r="F230" s="527" t="s">
        <v>1859</v>
      </c>
      <c r="G230" s="879">
        <f t="shared" si="107"/>
        <v>0</v>
      </c>
      <c r="H230" s="495">
        <v>0</v>
      </c>
      <c r="I230" s="495">
        <f t="shared" si="108"/>
        <v>0</v>
      </c>
      <c r="J230" s="879">
        <f t="shared" si="109"/>
        <v>45823.360000000001</v>
      </c>
      <c r="K230" s="280" t="s">
        <v>1640</v>
      </c>
      <c r="L230" s="527">
        <v>14485.16</v>
      </c>
      <c r="M230" s="879">
        <f t="shared" si="105"/>
        <v>31338.2</v>
      </c>
      <c r="N230" s="879">
        <f t="shared" si="110"/>
        <v>0</v>
      </c>
      <c r="O230" s="280">
        <v>2</v>
      </c>
    </row>
    <row r="231" spans="1:17" s="233" customFormat="1">
      <c r="A231" s="498" t="s">
        <v>2247</v>
      </c>
      <c r="B231" s="605">
        <v>417</v>
      </c>
      <c r="C231" s="1027">
        <v>4864200</v>
      </c>
      <c r="D231" s="281" t="s">
        <v>2248</v>
      </c>
      <c r="E231" s="527">
        <v>106341</v>
      </c>
      <c r="F231" s="527" t="s">
        <v>1859</v>
      </c>
      <c r="G231" s="879">
        <f t="shared" ref="G231:G240" si="111">IF(F231=$G$2,E231,0)</f>
        <v>0</v>
      </c>
      <c r="H231" s="495">
        <v>0</v>
      </c>
      <c r="I231" s="495">
        <f t="shared" ref="I231:I240" si="112">G231-H231</f>
        <v>0</v>
      </c>
      <c r="J231" s="879">
        <f t="shared" ref="J231:J240" si="113">IF(F231=$J$2,E231,0)</f>
        <v>106341</v>
      </c>
      <c r="K231" s="280" t="s">
        <v>1640</v>
      </c>
      <c r="L231" s="527">
        <v>18165.16</v>
      </c>
      <c r="M231" s="879">
        <f t="shared" ref="M231:M240" si="114">J231-L231</f>
        <v>88175.84</v>
      </c>
      <c r="N231" s="879">
        <f t="shared" ref="N231:N240" si="115">IF(F231=$N$2,E231,0)</f>
        <v>0</v>
      </c>
      <c r="O231" s="280">
        <v>2</v>
      </c>
      <c r="Q231"/>
    </row>
    <row r="232" spans="1:17" s="233" customFormat="1">
      <c r="A232" s="498" t="s">
        <v>2249</v>
      </c>
      <c r="B232" s="605">
        <v>417</v>
      </c>
      <c r="C232" s="1027">
        <v>4864201</v>
      </c>
      <c r="D232" s="281" t="s">
        <v>2250</v>
      </c>
      <c r="E232" s="527">
        <v>0</v>
      </c>
      <c r="F232" s="527" t="s">
        <v>1859</v>
      </c>
      <c r="G232" s="879">
        <f t="shared" si="111"/>
        <v>0</v>
      </c>
      <c r="H232" s="495">
        <v>0</v>
      </c>
      <c r="I232" s="495">
        <f t="shared" si="112"/>
        <v>0</v>
      </c>
      <c r="J232" s="879">
        <f t="shared" si="113"/>
        <v>0</v>
      </c>
      <c r="K232" s="280" t="s">
        <v>1640</v>
      </c>
      <c r="L232" s="527"/>
      <c r="M232" s="879">
        <f t="shared" si="114"/>
        <v>0</v>
      </c>
      <c r="N232" s="879">
        <f t="shared" si="115"/>
        <v>0</v>
      </c>
      <c r="O232" s="280">
        <v>2</v>
      </c>
      <c r="Q232"/>
    </row>
    <row r="233" spans="1:17" s="233" customFormat="1">
      <c r="A233" s="498" t="s">
        <v>2251</v>
      </c>
      <c r="B233" s="605">
        <v>417</v>
      </c>
      <c r="C233" s="1027">
        <v>4864202</v>
      </c>
      <c r="D233" s="281" t="s">
        <v>2252</v>
      </c>
      <c r="E233" s="527">
        <v>68598</v>
      </c>
      <c r="F233" s="527" t="s">
        <v>1859</v>
      </c>
      <c r="G233" s="879">
        <f t="shared" si="111"/>
        <v>0</v>
      </c>
      <c r="H233" s="495">
        <v>0</v>
      </c>
      <c r="I233" s="495">
        <f t="shared" si="112"/>
        <v>0</v>
      </c>
      <c r="J233" s="879">
        <f t="shared" si="113"/>
        <v>68598</v>
      </c>
      <c r="K233" s="280" t="s">
        <v>1640</v>
      </c>
      <c r="L233" s="527">
        <v>5402</v>
      </c>
      <c r="M233" s="879">
        <f t="shared" si="114"/>
        <v>63196</v>
      </c>
      <c r="N233" s="879">
        <f t="shared" si="115"/>
        <v>0</v>
      </c>
      <c r="O233" s="280">
        <v>2</v>
      </c>
      <c r="Q233"/>
    </row>
    <row r="234" spans="1:17" s="233" customFormat="1">
      <c r="A234" s="498" t="s">
        <v>2253</v>
      </c>
      <c r="B234" s="605">
        <v>417</v>
      </c>
      <c r="C234" s="1027">
        <v>4864203</v>
      </c>
      <c r="D234" s="281" t="s">
        <v>2254</v>
      </c>
      <c r="E234" s="527">
        <v>10101</v>
      </c>
      <c r="F234" s="527" t="s">
        <v>1859</v>
      </c>
      <c r="G234" s="879">
        <f t="shared" si="111"/>
        <v>0</v>
      </c>
      <c r="H234" s="495">
        <v>0</v>
      </c>
      <c r="I234" s="495">
        <f t="shared" si="112"/>
        <v>0</v>
      </c>
      <c r="J234" s="879">
        <f t="shared" si="113"/>
        <v>10101</v>
      </c>
      <c r="K234" s="280" t="s">
        <v>1640</v>
      </c>
      <c r="L234" s="527">
        <v>999</v>
      </c>
      <c r="M234" s="879">
        <f t="shared" si="114"/>
        <v>9102</v>
      </c>
      <c r="N234" s="879">
        <f t="shared" si="115"/>
        <v>0</v>
      </c>
      <c r="O234" s="280">
        <v>2</v>
      </c>
      <c r="Q234"/>
    </row>
    <row r="235" spans="1:17" s="233" customFormat="1">
      <c r="A235" s="498" t="s">
        <v>2255</v>
      </c>
      <c r="B235" s="605">
        <v>417</v>
      </c>
      <c r="C235" s="1027">
        <v>4862105</v>
      </c>
      <c r="D235" s="281" t="s">
        <v>2256</v>
      </c>
      <c r="E235" s="527">
        <v>0</v>
      </c>
      <c r="F235" s="527" t="s">
        <v>1859</v>
      </c>
      <c r="G235" s="879">
        <f t="shared" si="111"/>
        <v>0</v>
      </c>
      <c r="H235" s="495">
        <v>0</v>
      </c>
      <c r="I235" s="495">
        <f t="shared" si="112"/>
        <v>0</v>
      </c>
      <c r="J235" s="879">
        <f t="shared" si="113"/>
        <v>0</v>
      </c>
      <c r="K235" s="280" t="s">
        <v>1640</v>
      </c>
      <c r="L235" s="527"/>
      <c r="M235" s="879">
        <f t="shared" si="114"/>
        <v>0</v>
      </c>
      <c r="N235" s="879">
        <f t="shared" si="115"/>
        <v>0</v>
      </c>
      <c r="O235" s="280">
        <v>2</v>
      </c>
      <c r="Q235"/>
    </row>
    <row r="236" spans="1:17" s="233" customFormat="1">
      <c r="A236" s="498" t="s">
        <v>2257</v>
      </c>
      <c r="B236" s="605">
        <v>417</v>
      </c>
      <c r="C236" s="1027">
        <v>4863135</v>
      </c>
      <c r="D236" s="281" t="s">
        <v>2258</v>
      </c>
      <c r="E236" s="527">
        <v>0</v>
      </c>
      <c r="F236" s="527" t="s">
        <v>1859</v>
      </c>
      <c r="G236" s="879">
        <f t="shared" si="111"/>
        <v>0</v>
      </c>
      <c r="H236" s="495">
        <v>0</v>
      </c>
      <c r="I236" s="495">
        <f t="shared" si="112"/>
        <v>0</v>
      </c>
      <c r="J236" s="879">
        <f t="shared" si="113"/>
        <v>0</v>
      </c>
      <c r="K236" s="280" t="s">
        <v>1890</v>
      </c>
      <c r="L236" s="527"/>
      <c r="M236" s="879">
        <f t="shared" si="114"/>
        <v>0</v>
      </c>
      <c r="N236" s="879">
        <f t="shared" si="115"/>
        <v>0</v>
      </c>
      <c r="O236" s="280">
        <v>2</v>
      </c>
      <c r="Q236"/>
    </row>
    <row r="237" spans="1:17" s="233" customFormat="1">
      <c r="A237" s="498" t="s">
        <v>2259</v>
      </c>
      <c r="B237" s="605">
        <v>417</v>
      </c>
      <c r="C237" s="1027">
        <v>4864123</v>
      </c>
      <c r="D237" s="281" t="s">
        <v>2260</v>
      </c>
      <c r="E237" s="527">
        <v>4524.93</v>
      </c>
      <c r="F237" s="527" t="s">
        <v>1859</v>
      </c>
      <c r="G237" s="879">
        <f t="shared" si="111"/>
        <v>0</v>
      </c>
      <c r="H237" s="495">
        <v>0</v>
      </c>
      <c r="I237" s="495">
        <f t="shared" si="112"/>
        <v>0</v>
      </c>
      <c r="J237" s="879">
        <f t="shared" si="113"/>
        <v>4524.93</v>
      </c>
      <c r="K237" s="280" t="s">
        <v>1640</v>
      </c>
      <c r="L237" s="527">
        <v>1769.61</v>
      </c>
      <c r="M237" s="879">
        <f t="shared" si="114"/>
        <v>2755.3200000000006</v>
      </c>
      <c r="N237" s="879">
        <f t="shared" si="115"/>
        <v>0</v>
      </c>
      <c r="O237" s="280">
        <v>2</v>
      </c>
      <c r="Q237"/>
    </row>
    <row r="238" spans="1:17" s="233" customFormat="1">
      <c r="A238" s="498" t="s">
        <v>2261</v>
      </c>
      <c r="B238" s="605">
        <v>417</v>
      </c>
      <c r="C238" s="1027">
        <v>4864124</v>
      </c>
      <c r="D238" s="281" t="s">
        <v>2262</v>
      </c>
      <c r="E238" s="527">
        <v>89563.61</v>
      </c>
      <c r="F238" s="527" t="s">
        <v>1859</v>
      </c>
      <c r="G238" s="879">
        <f t="shared" si="111"/>
        <v>0</v>
      </c>
      <c r="H238" s="495">
        <v>0</v>
      </c>
      <c r="I238" s="495">
        <f t="shared" si="112"/>
        <v>0</v>
      </c>
      <c r="J238" s="879">
        <f t="shared" si="113"/>
        <v>89563.61</v>
      </c>
      <c r="K238" s="280" t="s">
        <v>1640</v>
      </c>
      <c r="L238" s="527">
        <v>7548.38</v>
      </c>
      <c r="M238" s="879">
        <f t="shared" si="114"/>
        <v>82015.23</v>
      </c>
      <c r="N238" s="879">
        <f t="shared" si="115"/>
        <v>0</v>
      </c>
      <c r="O238" s="280">
        <v>2</v>
      </c>
      <c r="Q238"/>
    </row>
    <row r="239" spans="1:17" s="233" customFormat="1">
      <c r="A239" s="498" t="s">
        <v>2263</v>
      </c>
      <c r="B239" s="605">
        <v>417</v>
      </c>
      <c r="C239" s="1027">
        <v>4864125</v>
      </c>
      <c r="D239" s="281" t="s">
        <v>2260</v>
      </c>
      <c r="E239" s="527">
        <v>56062.28</v>
      </c>
      <c r="F239" s="527" t="s">
        <v>1859</v>
      </c>
      <c r="G239" s="879">
        <f t="shared" si="111"/>
        <v>0</v>
      </c>
      <c r="H239" s="495">
        <v>0</v>
      </c>
      <c r="I239" s="495">
        <f t="shared" si="112"/>
        <v>0</v>
      </c>
      <c r="J239" s="879">
        <f t="shared" si="113"/>
        <v>56062.28</v>
      </c>
      <c r="K239" s="280" t="s">
        <v>1640</v>
      </c>
      <c r="L239" s="527">
        <v>893.7</v>
      </c>
      <c r="M239" s="879">
        <f t="shared" si="114"/>
        <v>55168.58</v>
      </c>
      <c r="N239" s="879">
        <f t="shared" si="115"/>
        <v>0</v>
      </c>
      <c r="O239" s="280">
        <v>2</v>
      </c>
      <c r="Q239"/>
    </row>
    <row r="240" spans="1:17" s="233" customFormat="1">
      <c r="A240" s="577" t="s">
        <v>3135</v>
      </c>
      <c r="B240" s="759">
        <v>417</v>
      </c>
      <c r="C240" s="793">
        <v>4864115</v>
      </c>
      <c r="D240" s="578" t="s">
        <v>3136</v>
      </c>
      <c r="E240" s="527">
        <v>354905.52</v>
      </c>
      <c r="F240" s="527" t="s">
        <v>1859</v>
      </c>
      <c r="G240" s="527">
        <f t="shared" si="111"/>
        <v>0</v>
      </c>
      <c r="H240" s="391">
        <v>0</v>
      </c>
      <c r="I240" s="391">
        <f t="shared" si="112"/>
        <v>0</v>
      </c>
      <c r="J240" s="527">
        <f t="shared" si="113"/>
        <v>354905.52</v>
      </c>
      <c r="K240" s="579" t="s">
        <v>1640</v>
      </c>
      <c r="L240" s="527">
        <v>62869.55</v>
      </c>
      <c r="M240" s="527">
        <f t="shared" si="114"/>
        <v>292035.97000000003</v>
      </c>
      <c r="N240" s="527">
        <f t="shared" si="115"/>
        <v>0</v>
      </c>
      <c r="O240" s="579">
        <v>2</v>
      </c>
      <c r="Q240"/>
    </row>
    <row r="241" spans="1:17" s="233" customFormat="1">
      <c r="A241" s="577"/>
      <c r="B241" s="759"/>
      <c r="C241" s="793"/>
      <c r="D241" s="578"/>
      <c r="E241" s="527"/>
      <c r="F241" s="551"/>
      <c r="G241" s="551"/>
      <c r="H241" s="391"/>
      <c r="I241" s="391"/>
      <c r="J241" s="551"/>
      <c r="K241" s="579"/>
      <c r="L241" s="551"/>
      <c r="M241" s="551"/>
      <c r="N241" s="551"/>
      <c r="O241" s="579"/>
      <c r="Q241"/>
    </row>
    <row r="242" spans="1:17" s="233" customFormat="1">
      <c r="A242" s="577"/>
      <c r="B242" s="759"/>
      <c r="C242" s="755"/>
      <c r="D242" s="578"/>
      <c r="E242" s="760"/>
      <c r="F242" s="551"/>
      <c r="G242" s="551"/>
      <c r="H242" s="391"/>
      <c r="I242" s="391"/>
      <c r="J242" s="551"/>
      <c r="K242" s="579"/>
      <c r="L242" s="757"/>
      <c r="M242" s="551"/>
      <c r="N242" s="551"/>
      <c r="O242" s="579"/>
      <c r="Q242"/>
    </row>
    <row r="243" spans="1:17" ht="13">
      <c r="A243" s="498">
        <v>25</v>
      </c>
      <c r="B243" s="1228" t="s">
        <v>2264</v>
      </c>
      <c r="C243" s="1221"/>
      <c r="D243" s="1222"/>
      <c r="E243" s="158">
        <f>SUM(E214:E242)</f>
        <v>54022508.898084916</v>
      </c>
      <c r="F243" s="165"/>
      <c r="G243" s="158">
        <f>SUM(G214:G242)</f>
        <v>0</v>
      </c>
      <c r="H243" s="158">
        <f>SUM(H214:H242)</f>
        <v>0</v>
      </c>
      <c r="I243" s="158">
        <f>SUM(I214:I242)</f>
        <v>0</v>
      </c>
      <c r="J243" s="158">
        <f>SUM(J214:J242)</f>
        <v>54022508.898084916</v>
      </c>
      <c r="K243" s="165"/>
      <c r="L243" s="158">
        <f>SUM(L214:L242)</f>
        <v>9401175.5900000017</v>
      </c>
      <c r="M243" s="158">
        <f>SUM(M214:M242)</f>
        <v>44621333.308084905</v>
      </c>
      <c r="N243" s="158">
        <f>SUM(N214:N242)</f>
        <v>0</v>
      </c>
      <c r="O243" s="106"/>
    </row>
    <row r="244" spans="1:17" ht="13">
      <c r="A244" s="498">
        <v>26</v>
      </c>
      <c r="B244" s="1228" t="s">
        <v>2265</v>
      </c>
      <c r="C244" s="1221"/>
      <c r="D244" s="1222"/>
      <c r="E244" s="576">
        <v>15563838.101915084</v>
      </c>
      <c r="F244" s="154"/>
      <c r="G244" s="152"/>
      <c r="H244" s="159"/>
      <c r="I244" s="159"/>
      <c r="J244" s="152"/>
      <c r="K244" s="159"/>
      <c r="L244" s="152"/>
      <c r="M244" s="152"/>
      <c r="N244" s="152"/>
      <c r="O244" s="2"/>
    </row>
    <row r="245" spans="1:17" ht="25.5" customHeight="1">
      <c r="A245" s="498">
        <v>27</v>
      </c>
      <c r="B245" s="1223" t="s">
        <v>2266</v>
      </c>
      <c r="C245" s="1224"/>
      <c r="D245" s="1225"/>
      <c r="E245" s="576">
        <v>69586347</v>
      </c>
      <c r="F245" s="176" t="s">
        <v>132</v>
      </c>
      <c r="G245" s="887"/>
      <c r="H245" s="234"/>
      <c r="I245" s="234"/>
      <c r="J245" s="887"/>
      <c r="K245" s="888"/>
      <c r="L245" s="889"/>
      <c r="M245" s="234"/>
      <c r="N245" s="887"/>
      <c r="O245" s="234"/>
    </row>
    <row r="246" spans="1:17">
      <c r="A246" s="234"/>
      <c r="B246" s="233"/>
      <c r="C246" s="233"/>
      <c r="D246" s="233"/>
      <c r="E246" s="887"/>
      <c r="F246" s="887"/>
      <c r="G246" s="887"/>
      <c r="H246" s="234"/>
      <c r="I246" s="234"/>
      <c r="J246" s="887"/>
      <c r="K246" s="888"/>
      <c r="L246" s="889"/>
      <c r="M246" s="234"/>
      <c r="N246" s="887"/>
      <c r="O246" s="234"/>
    </row>
    <row r="247" spans="1:17" ht="13">
      <c r="A247" s="233"/>
      <c r="B247" s="1" t="s">
        <v>2267</v>
      </c>
      <c r="C247" s="233"/>
      <c r="D247" s="233"/>
      <c r="E247" s="887"/>
      <c r="F247" s="887"/>
      <c r="G247" s="887"/>
      <c r="H247" s="234"/>
      <c r="I247" s="234"/>
      <c r="J247" s="887"/>
      <c r="K247" s="888"/>
      <c r="L247" s="889"/>
      <c r="M247" s="234"/>
      <c r="N247" s="887"/>
      <c r="O247" s="234"/>
    </row>
    <row r="248" spans="1:17">
      <c r="A248" s="280" t="s">
        <v>706</v>
      </c>
      <c r="B248" s="1229">
        <v>418.1</v>
      </c>
      <c r="C248" s="1230"/>
      <c r="D248" s="281" t="s">
        <v>2268</v>
      </c>
      <c r="E248" s="527">
        <v>0</v>
      </c>
      <c r="F248" s="527" t="s">
        <v>1859</v>
      </c>
      <c r="G248" s="879">
        <f>IF(F248=$G$2,E248,0)</f>
        <v>0</v>
      </c>
      <c r="H248" s="280">
        <v>0</v>
      </c>
      <c r="I248" s="495">
        <f t="shared" ref="I248:I251" si="116">G248-H248</f>
        <v>0</v>
      </c>
      <c r="J248" s="879">
        <f>IF(F248=$J$2,E248,0)</f>
        <v>0</v>
      </c>
      <c r="K248" s="282" t="s">
        <v>1640</v>
      </c>
      <c r="L248" s="551"/>
      <c r="M248" s="495">
        <f>J248-L248</f>
        <v>0</v>
      </c>
      <c r="N248" s="879">
        <f>IF(F248=$N$2,E248,0)</f>
        <v>0</v>
      </c>
      <c r="O248" s="280" t="s">
        <v>2269</v>
      </c>
    </row>
    <row r="249" spans="1:17">
      <c r="A249" s="280" t="s">
        <v>2270</v>
      </c>
      <c r="B249" s="1229">
        <v>418.1</v>
      </c>
      <c r="C249" s="1230"/>
      <c r="D249" s="281" t="s">
        <v>2271</v>
      </c>
      <c r="E249" s="527"/>
      <c r="F249" s="527" t="s">
        <v>1859</v>
      </c>
      <c r="G249" s="879">
        <f>IF(F249=$G$2,E249,0)</f>
        <v>0</v>
      </c>
      <c r="H249" s="280">
        <v>0</v>
      </c>
      <c r="I249" s="495">
        <f t="shared" si="116"/>
        <v>0</v>
      </c>
      <c r="J249" s="879">
        <f>IF(F249=$J$2,E249,0)</f>
        <v>0</v>
      </c>
      <c r="K249" s="282" t="s">
        <v>1890</v>
      </c>
      <c r="L249" s="551"/>
      <c r="M249" s="495">
        <f>J249-L249</f>
        <v>0</v>
      </c>
      <c r="N249" s="879">
        <f>IF(F249=$N$2,E249,0)</f>
        <v>0</v>
      </c>
      <c r="O249" s="280" t="s">
        <v>2269</v>
      </c>
    </row>
    <row r="250" spans="1:17">
      <c r="A250" s="280" t="s">
        <v>2272</v>
      </c>
      <c r="B250" s="1229">
        <v>418.1</v>
      </c>
      <c r="C250" s="1230"/>
      <c r="D250" s="281" t="s">
        <v>2273</v>
      </c>
      <c r="E250" s="527"/>
      <c r="F250" s="527" t="s">
        <v>1859</v>
      </c>
      <c r="G250" s="879">
        <f>IF(F250=$G$2,E250,0)</f>
        <v>0</v>
      </c>
      <c r="H250" s="280">
        <v>0</v>
      </c>
      <c r="I250" s="495">
        <f t="shared" si="116"/>
        <v>0</v>
      </c>
      <c r="J250" s="879">
        <f>IF(F250=$J$2,E250,0)</f>
        <v>0</v>
      </c>
      <c r="K250" s="282" t="s">
        <v>1890</v>
      </c>
      <c r="L250" s="551"/>
      <c r="M250" s="495">
        <f>J250-L250</f>
        <v>0</v>
      </c>
      <c r="N250" s="879">
        <f>IF(F250=$N$2,E250,0)</f>
        <v>0</v>
      </c>
      <c r="O250" s="280" t="s">
        <v>2274</v>
      </c>
    </row>
    <row r="251" spans="1:17">
      <c r="A251" s="280" t="s">
        <v>2275</v>
      </c>
      <c r="B251" s="1229">
        <v>418.1</v>
      </c>
      <c r="C251" s="1230"/>
      <c r="D251" s="281" t="s">
        <v>2276</v>
      </c>
      <c r="E251" s="527"/>
      <c r="F251" s="527" t="s">
        <v>1858</v>
      </c>
      <c r="G251" s="879">
        <f>IF(F251=$G$2,E251,0)</f>
        <v>0</v>
      </c>
      <c r="H251" s="280">
        <v>0</v>
      </c>
      <c r="I251" s="495">
        <f t="shared" si="116"/>
        <v>0</v>
      </c>
      <c r="J251" s="879">
        <f>IF(F251=$J$2,E251,0)</f>
        <v>0</v>
      </c>
      <c r="K251" s="282"/>
      <c r="L251" s="551"/>
      <c r="M251" s="495">
        <f>J251-L251</f>
        <v>0</v>
      </c>
      <c r="N251" s="879">
        <f>IF(F251=$N$2,E251,0)</f>
        <v>0</v>
      </c>
      <c r="O251" s="280">
        <v>13</v>
      </c>
    </row>
    <row r="252" spans="1:17">
      <c r="A252" s="280" t="s">
        <v>2277</v>
      </c>
      <c r="B252" s="1229">
        <v>418.1</v>
      </c>
      <c r="C252" s="1230"/>
      <c r="D252" s="281" t="s">
        <v>2278</v>
      </c>
      <c r="E252" s="527">
        <v>1933916</v>
      </c>
      <c r="F252" s="762" t="s">
        <v>1858</v>
      </c>
      <c r="G252" s="768">
        <f>IF(F252=$G$2,E252,0)</f>
        <v>1933916</v>
      </c>
      <c r="H252" s="769">
        <f>E252*$D$302</f>
        <v>134600.55359999998</v>
      </c>
      <c r="I252" s="769">
        <f>G252-H252</f>
        <v>1799315.4464</v>
      </c>
      <c r="J252" s="879">
        <f>IF(F252=$J$2,E252,0)</f>
        <v>0</v>
      </c>
      <c r="K252" s="282"/>
      <c r="L252" s="551"/>
      <c r="M252" s="495">
        <f>J252-L252</f>
        <v>0</v>
      </c>
      <c r="N252" s="879">
        <f>IF(F252=$N$2,E252,0)</f>
        <v>0</v>
      </c>
      <c r="O252" s="280" t="s">
        <v>2279</v>
      </c>
    </row>
    <row r="253" spans="1:17">
      <c r="A253" s="579"/>
      <c r="B253" s="890"/>
      <c r="C253" s="791"/>
      <c r="D253" s="578"/>
      <c r="E253" s="527"/>
      <c r="F253" s="767"/>
      <c r="G253" s="767"/>
      <c r="H253" s="763"/>
      <c r="I253" s="763"/>
      <c r="J253" s="767"/>
      <c r="K253" s="891"/>
      <c r="L253" s="551"/>
      <c r="M253" s="892"/>
      <c r="N253" s="551"/>
      <c r="O253" s="579"/>
    </row>
    <row r="254" spans="1:17">
      <c r="A254" s="579"/>
      <c r="B254" s="890"/>
      <c r="C254" s="791"/>
      <c r="D254" s="578"/>
      <c r="E254" s="527"/>
      <c r="F254" s="767"/>
      <c r="G254" s="767"/>
      <c r="H254" s="763"/>
      <c r="I254" s="763"/>
      <c r="J254" s="767"/>
      <c r="K254" s="891"/>
      <c r="L254" s="551"/>
      <c r="M254" s="892"/>
      <c r="N254" s="551"/>
      <c r="O254" s="579"/>
    </row>
    <row r="255" spans="1:17" ht="13">
      <c r="A255" s="280">
        <v>29</v>
      </c>
      <c r="B255" s="1228" t="s">
        <v>2280</v>
      </c>
      <c r="C255" s="1221"/>
      <c r="D255" s="1222"/>
      <c r="E255" s="980">
        <f>SUM(E248:E254)</f>
        <v>1933916</v>
      </c>
      <c r="F255" s="774"/>
      <c r="G255" s="773">
        <f>SUM(G248:G254)</f>
        <v>1933916</v>
      </c>
      <c r="H255" s="773">
        <f>SUM(H248:H254)</f>
        <v>134600.55359999998</v>
      </c>
      <c r="I255" s="773">
        <f>SUM(I248:I254)</f>
        <v>1799315.4464</v>
      </c>
      <c r="J255" s="773">
        <f>SUM(J248:J254)</f>
        <v>0</v>
      </c>
      <c r="K255" s="166"/>
      <c r="L255" s="204">
        <f>SUM(L248:L254)</f>
        <v>0</v>
      </c>
      <c r="M255" s="204">
        <f>SUM(M248:M254)</f>
        <v>0</v>
      </c>
      <c r="N255" s="204">
        <f>SUM(N248:N254)</f>
        <v>0</v>
      </c>
      <c r="O255" s="106"/>
    </row>
    <row r="256" spans="1:17" ht="13">
      <c r="A256" s="280">
        <v>30</v>
      </c>
      <c r="B256" s="1228" t="s">
        <v>2281</v>
      </c>
      <c r="C256" s="1221"/>
      <c r="D256" s="1222"/>
      <c r="E256" s="980">
        <f>E257-E255</f>
        <v>-1935904</v>
      </c>
      <c r="F256" s="775"/>
      <c r="G256" s="775"/>
      <c r="H256" s="775"/>
      <c r="I256" s="775"/>
      <c r="J256" s="776"/>
      <c r="K256" s="178"/>
      <c r="L256" s="177"/>
      <c r="M256" s="177"/>
      <c r="N256" s="177"/>
      <c r="O256" s="2"/>
    </row>
    <row r="257" spans="1:17" ht="25.5" customHeight="1">
      <c r="A257" s="280">
        <v>31</v>
      </c>
      <c r="B257" s="1226" t="s">
        <v>2282</v>
      </c>
      <c r="C257" s="1227"/>
      <c r="D257" s="1227"/>
      <c r="E257" s="980">
        <v>-1988</v>
      </c>
      <c r="F257" s="775"/>
      <c r="G257" s="775"/>
      <c r="H257" s="775"/>
      <c r="I257" s="775"/>
      <c r="J257" s="776"/>
      <c r="K257" s="178"/>
      <c r="L257" s="177"/>
      <c r="M257" s="177"/>
      <c r="N257" s="177"/>
      <c r="O257" s="2"/>
    </row>
    <row r="258" spans="1:17" ht="13">
      <c r="A258" s="234"/>
      <c r="B258" s="52"/>
      <c r="C258" s="843"/>
      <c r="D258" s="843"/>
      <c r="E258" s="844"/>
      <c r="F258" s="775"/>
      <c r="G258" s="775"/>
      <c r="H258" s="775"/>
      <c r="I258" s="775"/>
      <c r="J258" s="776"/>
      <c r="K258" s="178"/>
      <c r="L258" s="177"/>
      <c r="M258" s="177"/>
      <c r="N258" s="177"/>
      <c r="O258" s="2"/>
    </row>
    <row r="259" spans="1:17" s="586" customFormat="1" ht="13">
      <c r="A259" s="828"/>
      <c r="B259" s="1" t="s">
        <v>2283</v>
      </c>
      <c r="E259" s="845"/>
      <c r="F259" s="845"/>
      <c r="G259" s="845"/>
      <c r="H259" s="828"/>
      <c r="I259" s="828"/>
      <c r="J259" s="845"/>
      <c r="K259" s="846"/>
      <c r="L259" s="847"/>
      <c r="M259" s="828"/>
      <c r="N259" s="845"/>
      <c r="O259" s="828"/>
      <c r="Q259"/>
    </row>
    <row r="260" spans="1:17" s="586" customFormat="1" ht="13">
      <c r="A260" s="498" t="s">
        <v>710</v>
      </c>
      <c r="B260" s="1234">
        <v>412</v>
      </c>
      <c r="C260" s="1234"/>
      <c r="D260" s="497" t="s">
        <v>2284</v>
      </c>
      <c r="E260" s="158">
        <f>'35-Other Formula Revenue'!G105</f>
        <v>924529.72369704046</v>
      </c>
      <c r="F260" s="944" t="s">
        <v>1860</v>
      </c>
      <c r="G260" s="879">
        <f>IF(F260=$G$2,E260,0)</f>
        <v>0</v>
      </c>
      <c r="H260" s="280">
        <v>0</v>
      </c>
      <c r="I260" s="495">
        <f t="shared" ref="I260" si="117">G260-H260</f>
        <v>0</v>
      </c>
      <c r="J260" s="879">
        <f>IF(F260=$J$2,E260,0)</f>
        <v>0</v>
      </c>
      <c r="K260" s="945"/>
      <c r="L260" s="551"/>
      <c r="M260" s="495">
        <f>J260-L260</f>
        <v>0</v>
      </c>
      <c r="N260" s="768">
        <f t="shared" ref="N260" si="118">IF(F260=$N$2,E260,0)</f>
        <v>924529.72369704046</v>
      </c>
      <c r="O260" s="280">
        <v>18</v>
      </c>
      <c r="Q260"/>
    </row>
    <row r="261" spans="1:17" s="586" customFormat="1" ht="13">
      <c r="A261" s="577"/>
      <c r="B261" s="1235"/>
      <c r="C261" s="1236"/>
      <c r="D261" s="792"/>
      <c r="E261" s="156"/>
      <c r="F261" s="174"/>
      <c r="G261" s="551"/>
      <c r="H261" s="579"/>
      <c r="I261" s="391"/>
      <c r="J261" s="551"/>
      <c r="K261" s="174"/>
      <c r="L261" s="551"/>
      <c r="M261" s="391"/>
      <c r="N261" s="767"/>
      <c r="O261" s="579"/>
      <c r="Q261"/>
    </row>
    <row r="262" spans="1:17" s="586" customFormat="1" ht="13">
      <c r="A262" s="854"/>
      <c r="B262" s="1237"/>
      <c r="C262" s="1237"/>
      <c r="D262" s="855"/>
      <c r="E262" s="840"/>
      <c r="F262" s="839"/>
      <c r="G262" s="757"/>
      <c r="H262" s="758"/>
      <c r="I262" s="800"/>
      <c r="J262" s="757"/>
      <c r="K262" s="839"/>
      <c r="L262" s="174"/>
      <c r="M262" s="391"/>
      <c r="N262" s="767"/>
      <c r="O262" s="948"/>
      <c r="Q262"/>
    </row>
    <row r="263" spans="1:17" s="586" customFormat="1" ht="13">
      <c r="A263" s="498" t="s">
        <v>2285</v>
      </c>
      <c r="B263" s="1228" t="s">
        <v>2286</v>
      </c>
      <c r="C263" s="1238"/>
      <c r="D263" s="1239"/>
      <c r="E263" s="773">
        <f>SUM(E260:E262)</f>
        <v>924529.72369704046</v>
      </c>
      <c r="F263" s="853"/>
      <c r="G263" s="773">
        <f>SUM(G260:G262)</f>
        <v>0</v>
      </c>
      <c r="H263" s="773">
        <f t="shared" ref="H263:J263" si="119">SUM(H260:H262)</f>
        <v>0</v>
      </c>
      <c r="I263" s="773">
        <f t="shared" si="119"/>
        <v>0</v>
      </c>
      <c r="J263" s="773">
        <f t="shared" si="119"/>
        <v>0</v>
      </c>
      <c r="K263" s="848"/>
      <c r="L263" s="773">
        <f>SUM(L260:L262)</f>
        <v>0</v>
      </c>
      <c r="M263" s="773">
        <f t="shared" ref="M263" si="120">SUM(M260:M262)</f>
        <v>0</v>
      </c>
      <c r="N263" s="773">
        <f t="shared" ref="N263" si="121">SUM(N260:N262)</f>
        <v>924529.72369704046</v>
      </c>
      <c r="O263" s="773"/>
      <c r="Q263"/>
    </row>
    <row r="264" spans="1:17" s="586" customFormat="1" ht="13">
      <c r="A264" s="946" t="s">
        <v>2287</v>
      </c>
      <c r="B264" s="1231" t="s">
        <v>2288</v>
      </c>
      <c r="C264" s="1232"/>
      <c r="D264" s="1233"/>
      <c r="E264" s="947">
        <f>E265-E263</f>
        <v>24194280.27630296</v>
      </c>
      <c r="F264" s="849"/>
      <c r="G264" s="849"/>
      <c r="H264" s="849"/>
      <c r="I264" s="849"/>
      <c r="J264" s="850"/>
      <c r="K264" s="851"/>
      <c r="L264" s="852"/>
      <c r="M264" s="852"/>
      <c r="N264" s="852"/>
      <c r="O264" s="603"/>
    </row>
    <row r="265" spans="1:17" s="586" customFormat="1" ht="13">
      <c r="A265" s="498" t="s">
        <v>2289</v>
      </c>
      <c r="B265" s="1226" t="s">
        <v>2290</v>
      </c>
      <c r="C265" s="1226"/>
      <c r="D265" s="1226"/>
      <c r="E265" s="981">
        <v>25118810</v>
      </c>
      <c r="F265" s="775"/>
      <c r="G265" s="849"/>
      <c r="H265" s="849"/>
      <c r="I265" s="849"/>
      <c r="J265" s="850"/>
      <c r="K265" s="851"/>
      <c r="L265" s="852"/>
      <c r="M265" s="852"/>
      <c r="N265" s="852"/>
      <c r="O265" s="603"/>
    </row>
    <row r="266" spans="1:17" s="586" customFormat="1" ht="13">
      <c r="A266" s="830"/>
      <c r="B266" s="826"/>
      <c r="C266" s="812"/>
      <c r="D266" s="812"/>
      <c r="E266" s="841"/>
      <c r="F266" s="842"/>
      <c r="G266" s="842"/>
      <c r="H266" s="842"/>
      <c r="I266" s="842"/>
      <c r="J266" s="842"/>
      <c r="K266" s="842"/>
      <c r="L266" s="842"/>
      <c r="M266" s="842"/>
      <c r="N266" s="842"/>
      <c r="O266" s="603"/>
    </row>
    <row r="267" spans="1:17">
      <c r="A267" s="234"/>
      <c r="B267" s="233"/>
      <c r="C267" s="233"/>
      <c r="D267" s="233"/>
      <c r="E267" s="887"/>
      <c r="F267" s="887"/>
      <c r="G267" s="887"/>
      <c r="H267" s="234"/>
      <c r="I267" s="234"/>
      <c r="J267" s="887"/>
      <c r="K267" s="888"/>
      <c r="L267" s="889"/>
      <c r="M267" s="234"/>
      <c r="N267" s="887"/>
      <c r="O267" s="234"/>
    </row>
    <row r="268" spans="1:17" ht="13">
      <c r="A268" s="280">
        <v>32</v>
      </c>
      <c r="B268" s="169"/>
      <c r="C268" s="168"/>
      <c r="D268" s="111" t="s">
        <v>2291</v>
      </c>
      <c r="E268" s="608">
        <f>E8+E45+E53+E90+E168+E199+E205+E210+E243+E255+E263</f>
        <v>1220872013.0717819</v>
      </c>
      <c r="F268" s="205"/>
      <c r="G268" s="608">
        <f>G8+G45+G53+G90+G168+G199+G205+G210+G243+G255+G263</f>
        <v>255082624.48658398</v>
      </c>
      <c r="H268" s="608">
        <f>H8+H45+H53+H90+H168+H199+H205+H210+H243+H255+H263</f>
        <v>49009110.450183995</v>
      </c>
      <c r="I268" s="608">
        <f>I8+I45+I53+I90+I168+I199+I205+I210+I243+I255+I263</f>
        <v>206073514.03639999</v>
      </c>
      <c r="J268" s="608">
        <f>J8+J45+J53+J90+J168+J199+J205+J210+J243+J255+J263</f>
        <v>90816321.42808491</v>
      </c>
      <c r="K268" s="205"/>
      <c r="L268" s="608">
        <f>L8+L45+L53+L90+L168+L199+L205+L210+L243+L255+L263</f>
        <v>16671389.120000001</v>
      </c>
      <c r="M268" s="608">
        <f>M8+M45+M53+M90+M168+M199+M205+M210+M243+M255+M263</f>
        <v>74144932.308084905</v>
      </c>
      <c r="N268" s="608">
        <f>N8+N45+N53+N90+N168+N199+N205+N210+N243+N255+N263</f>
        <v>874993067.15711308</v>
      </c>
      <c r="O268" s="106"/>
    </row>
    <row r="269" spans="1:17">
      <c r="A269" s="243"/>
      <c r="B269" s="243"/>
      <c r="C269" s="243"/>
      <c r="D269" s="233"/>
      <c r="E269" s="234"/>
      <c r="F269" s="234"/>
      <c r="G269" s="893"/>
      <c r="H269" s="234"/>
      <c r="I269" s="234"/>
      <c r="J269" s="162"/>
      <c r="K269" s="894"/>
      <c r="L269" s="889"/>
      <c r="M269" s="234"/>
      <c r="N269" s="893"/>
      <c r="O269" s="234"/>
    </row>
    <row r="270" spans="1:17">
      <c r="A270" s="243"/>
      <c r="B270" s="243"/>
      <c r="C270" s="243"/>
      <c r="D270" s="233"/>
      <c r="E270" s="234"/>
      <c r="F270" s="234" t="s">
        <v>478</v>
      </c>
      <c r="G270" s="887"/>
      <c r="H270" s="884"/>
      <c r="I270" s="234"/>
      <c r="J270" s="162"/>
      <c r="K270" s="894"/>
      <c r="L270" s="889"/>
      <c r="M270" s="234"/>
      <c r="N270" s="893"/>
      <c r="O270" s="234"/>
    </row>
    <row r="271" spans="1:17">
      <c r="A271" s="280">
        <v>33</v>
      </c>
      <c r="B271" s="895"/>
      <c r="C271" s="895"/>
      <c r="D271" s="896" t="s">
        <v>2292</v>
      </c>
      <c r="E271" s="885">
        <f>L268</f>
        <v>16671389.120000001</v>
      </c>
      <c r="F271" s="897" t="s">
        <v>2293</v>
      </c>
      <c r="G271" s="893"/>
      <c r="H271" s="234"/>
      <c r="I271" s="234"/>
      <c r="J271" s="887"/>
      <c r="K271" s="888"/>
      <c r="L271" s="889"/>
      <c r="M271" s="234"/>
      <c r="N271" s="893"/>
      <c r="O271" s="234"/>
    </row>
    <row r="272" spans="1:17">
      <c r="A272" s="280">
        <v>34</v>
      </c>
      <c r="B272" s="895"/>
      <c r="C272" s="895"/>
      <c r="D272" s="896" t="s">
        <v>2294</v>
      </c>
      <c r="E272" s="885">
        <f>E271*(5.425/16.671)</f>
        <v>5425126.6256373348</v>
      </c>
      <c r="F272" s="499" t="s">
        <v>2295</v>
      </c>
      <c r="G272" s="894"/>
      <c r="H272" s="234"/>
      <c r="I272" s="234"/>
      <c r="J272" s="887"/>
      <c r="K272" s="888"/>
      <c r="L272" s="889"/>
      <c r="M272" s="234"/>
      <c r="N272" s="893"/>
      <c r="O272" s="234"/>
    </row>
    <row r="273" spans="1:254">
      <c r="A273" s="280">
        <v>35</v>
      </c>
      <c r="B273" s="895"/>
      <c r="C273" s="895"/>
      <c r="D273" s="898"/>
      <c r="E273" s="880"/>
      <c r="F273" s="899"/>
      <c r="G273" s="894"/>
      <c r="H273" s="234"/>
      <c r="I273" s="234"/>
      <c r="J273" s="887"/>
      <c r="K273" s="888"/>
      <c r="L273" s="889"/>
      <c r="M273" s="234"/>
      <c r="N273" s="893"/>
      <c r="O273" s="234"/>
    </row>
    <row r="274" spans="1:254">
      <c r="A274" s="280">
        <v>36</v>
      </c>
      <c r="B274" s="895"/>
      <c r="C274" s="895"/>
      <c r="D274" s="896" t="s">
        <v>2296</v>
      </c>
      <c r="E274" s="885">
        <f>SUMIF(K4:K254,"=A",M4:M254)</f>
        <v>37640576.468084902</v>
      </c>
      <c r="F274" s="499" t="s">
        <v>2297</v>
      </c>
      <c r="G274" s="894"/>
      <c r="H274" s="234"/>
      <c r="I274" s="234"/>
      <c r="J274" s="887"/>
      <c r="K274" s="888"/>
      <c r="L274" s="889"/>
      <c r="M274" s="234"/>
      <c r="N274" s="893"/>
      <c r="O274" s="234"/>
    </row>
    <row r="275" spans="1:254">
      <c r="A275" s="280">
        <v>37</v>
      </c>
      <c r="B275" s="876"/>
      <c r="C275" s="876"/>
      <c r="D275" s="896" t="s">
        <v>2298</v>
      </c>
      <c r="E275" s="885">
        <f>0.1*E274</f>
        <v>3764057.6468084902</v>
      </c>
      <c r="F275" s="276" t="str">
        <f>"= Line "&amp;A274&amp;"D * 10%"</f>
        <v>= Line 36D * 10%</v>
      </c>
      <c r="G275" s="233"/>
      <c r="H275" s="163"/>
      <c r="I275" s="164"/>
      <c r="J275" s="887"/>
      <c r="K275" s="888"/>
      <c r="L275" s="889"/>
      <c r="M275" s="234"/>
      <c r="N275" s="887"/>
      <c r="O275" s="234"/>
    </row>
    <row r="276" spans="1:254">
      <c r="A276" s="280">
        <v>38</v>
      </c>
      <c r="B276" s="876"/>
      <c r="C276" s="876"/>
      <c r="D276" s="896" t="s">
        <v>2299</v>
      </c>
      <c r="E276" s="885">
        <f>SUMIF(K4:K254,"=P",M4:M254)</f>
        <v>36504355.839999996</v>
      </c>
      <c r="F276" s="900" t="s">
        <v>2300</v>
      </c>
      <c r="G276" s="233"/>
      <c r="H276" s="234"/>
      <c r="I276" s="164"/>
      <c r="J276" s="887"/>
      <c r="K276" s="888"/>
      <c r="L276" s="889"/>
      <c r="M276" s="234"/>
      <c r="N276" s="887"/>
      <c r="O276" s="234"/>
    </row>
    <row r="277" spans="1:254">
      <c r="A277" s="280">
        <v>39</v>
      </c>
      <c r="B277" s="876"/>
      <c r="C277" s="876"/>
      <c r="D277" s="896" t="s">
        <v>2301</v>
      </c>
      <c r="E277" s="885">
        <f>0.3*E276</f>
        <v>10951306.751999998</v>
      </c>
      <c r="F277" s="276" t="str">
        <f>"= Line "&amp;A276&amp;"D * 30%"</f>
        <v>= Line 38D * 30%</v>
      </c>
      <c r="G277" s="233"/>
      <c r="H277" s="163"/>
      <c r="I277" s="164"/>
      <c r="J277" s="887"/>
      <c r="K277" s="888"/>
      <c r="L277" s="889"/>
      <c r="M277" s="234"/>
      <c r="N277" s="887"/>
      <c r="O277" s="234"/>
    </row>
    <row r="278" spans="1:254">
      <c r="A278" s="280">
        <v>40</v>
      </c>
      <c r="B278" s="876"/>
      <c r="C278" s="876"/>
      <c r="D278" s="896" t="s">
        <v>2302</v>
      </c>
      <c r="E278" s="885">
        <f>E275+E277</f>
        <v>14715364.398808489</v>
      </c>
      <c r="F278" s="276" t="str">
        <f>"= Line "&amp;A275&amp;"D + Line "&amp;A277&amp;"D"</f>
        <v>= Line 37D + Line 39D</v>
      </c>
      <c r="G278" s="888"/>
      <c r="H278" s="234"/>
      <c r="I278" s="234"/>
      <c r="J278" s="887"/>
      <c r="K278" s="888"/>
      <c r="L278" s="889"/>
      <c r="M278" s="234"/>
      <c r="N278" s="887"/>
      <c r="O278" s="234"/>
    </row>
    <row r="279" spans="1:254">
      <c r="A279" s="280">
        <v>41</v>
      </c>
      <c r="B279" s="876"/>
      <c r="C279" s="876"/>
      <c r="D279" s="896" t="s">
        <v>2303</v>
      </c>
      <c r="E279" s="901">
        <f>5.425/16.671</f>
        <v>0.32541539199808051</v>
      </c>
      <c r="F279" s="499" t="s">
        <v>2304</v>
      </c>
      <c r="G279" s="888"/>
      <c r="H279" s="234"/>
      <c r="I279" s="234"/>
      <c r="J279" s="887"/>
      <c r="K279" s="888"/>
      <c r="L279" s="889"/>
      <c r="M279" s="234"/>
      <c r="N279" s="887"/>
      <c r="O279" s="234"/>
    </row>
    <row r="280" spans="1:254">
      <c r="A280" s="280">
        <v>42</v>
      </c>
      <c r="B280" s="876"/>
      <c r="C280" s="876"/>
      <c r="D280" s="896" t="s">
        <v>2305</v>
      </c>
      <c r="E280" s="885">
        <f>E278*E279</f>
        <v>4788606.0742328623</v>
      </c>
      <c r="F280" s="276" t="str">
        <f>"= Line "&amp;A278&amp;"D * Line "&amp;A279&amp;"D"</f>
        <v>= Line 40D * Line 41D</v>
      </c>
      <c r="G280" s="888"/>
      <c r="H280" s="234"/>
      <c r="I280" s="234"/>
      <c r="J280" s="887"/>
      <c r="K280" s="888"/>
      <c r="L280" s="889"/>
      <c r="M280" s="234"/>
      <c r="N280" s="887"/>
      <c r="O280" s="234"/>
    </row>
    <row r="281" spans="1:254" ht="12.75" customHeight="1">
      <c r="A281" s="280">
        <v>43</v>
      </c>
      <c r="B281" s="876"/>
      <c r="C281" s="876"/>
      <c r="D281" s="172" t="s">
        <v>2306</v>
      </c>
      <c r="E281" s="204">
        <f>E280+E272</f>
        <v>10213732.699870197</v>
      </c>
      <c r="F281" s="276" t="str">
        <f>"= Line "&amp;A272&amp;"D + Line "&amp;A280&amp;"D"</f>
        <v>= Line 34D + Line 42D</v>
      </c>
      <c r="G281" s="888"/>
      <c r="H281" s="234"/>
      <c r="I281" s="234"/>
      <c r="J281" s="887"/>
      <c r="K281" s="888"/>
      <c r="L281" s="889"/>
      <c r="M281" s="234"/>
      <c r="N281" s="887"/>
      <c r="O281" s="234"/>
    </row>
    <row r="282" spans="1:254">
      <c r="A282" s="233"/>
      <c r="B282" s="233"/>
      <c r="C282" s="233"/>
      <c r="D282" s="888"/>
      <c r="E282" s="902"/>
      <c r="F282" s="499"/>
      <c r="G282" s="888"/>
      <c r="H282" s="234"/>
      <c r="I282" s="234"/>
      <c r="J282" s="887"/>
      <c r="K282" s="888"/>
      <c r="L282" s="889"/>
      <c r="M282" s="234"/>
      <c r="N282" s="887"/>
      <c r="O282" s="234"/>
    </row>
    <row r="283" spans="1:254">
      <c r="A283" s="233"/>
      <c r="B283" s="233"/>
      <c r="C283" s="233"/>
      <c r="D283" s="903"/>
      <c r="E283" s="62" t="s">
        <v>81</v>
      </c>
      <c r="F283" s="62" t="s">
        <v>478</v>
      </c>
      <c r="G283" s="904"/>
      <c r="H283" s="234"/>
      <c r="I283" s="233"/>
      <c r="J283" s="233"/>
      <c r="K283" s="233"/>
      <c r="L283" s="903"/>
      <c r="M283" s="62"/>
      <c r="N283" s="62"/>
      <c r="O283" s="904"/>
      <c r="P283" s="234"/>
      <c r="Q283" s="233"/>
      <c r="R283" s="903"/>
      <c r="S283" s="62"/>
      <c r="T283" s="62"/>
      <c r="U283" s="904"/>
      <c r="V283" s="234"/>
      <c r="W283" s="233"/>
      <c r="X283" s="233"/>
      <c r="Y283" s="233"/>
      <c r="Z283" s="903"/>
      <c r="AA283" s="62"/>
      <c r="AB283" s="62"/>
      <c r="AC283" s="904"/>
      <c r="AD283" s="234"/>
      <c r="AE283" s="233"/>
      <c r="AF283" s="233"/>
      <c r="AG283" s="233"/>
      <c r="AH283" s="903"/>
      <c r="AI283" s="62"/>
      <c r="AJ283" s="62"/>
      <c r="AK283" s="904"/>
      <c r="AL283" s="234"/>
      <c r="AM283" s="233"/>
      <c r="AN283" s="233"/>
      <c r="AO283" s="233"/>
      <c r="AP283" s="903"/>
      <c r="AQ283" s="62"/>
      <c r="AR283" s="62"/>
      <c r="AS283" s="904"/>
      <c r="AT283" s="234"/>
      <c r="AU283" s="233"/>
      <c r="AV283" s="233"/>
      <c r="AW283" s="233"/>
      <c r="AX283" s="903"/>
      <c r="AY283" s="62"/>
      <c r="AZ283" s="62"/>
      <c r="BA283" s="904"/>
      <c r="BB283" s="234"/>
      <c r="BC283" s="233"/>
      <c r="BD283" s="233"/>
      <c r="BE283" s="233"/>
      <c r="BF283" s="903"/>
      <c r="BG283" s="62"/>
      <c r="BH283" s="62"/>
      <c r="BI283" s="904"/>
      <c r="BJ283" s="234"/>
      <c r="BK283" s="233"/>
      <c r="BL283" s="233"/>
      <c r="BM283" s="233"/>
      <c r="BN283" s="903"/>
      <c r="BO283" s="62"/>
      <c r="BP283" s="62"/>
      <c r="BQ283" s="904"/>
      <c r="BR283" s="234"/>
      <c r="BS283" s="233"/>
      <c r="BT283" s="233"/>
      <c r="BU283" s="233"/>
      <c r="BV283" s="903"/>
      <c r="BW283" s="62"/>
      <c r="BX283" s="62"/>
      <c r="BY283" s="904"/>
      <c r="BZ283" s="234"/>
      <c r="CA283" s="233"/>
      <c r="CB283" s="233"/>
      <c r="CC283" s="233"/>
      <c r="CD283" s="903"/>
      <c r="CE283" s="62"/>
      <c r="CF283" s="62"/>
      <c r="CG283" s="904"/>
      <c r="CH283" s="234"/>
      <c r="CI283" s="233"/>
      <c r="CJ283" s="233"/>
      <c r="CK283" s="233"/>
      <c r="CL283" s="903"/>
      <c r="CM283" s="62"/>
      <c r="CN283" s="62"/>
      <c r="CO283" s="904"/>
      <c r="CP283" s="234"/>
      <c r="CQ283" s="233"/>
      <c r="CR283" s="233"/>
      <c r="CS283" s="233"/>
      <c r="CT283" s="903"/>
      <c r="CU283" s="62"/>
      <c r="CV283" s="62"/>
      <c r="CW283" s="904"/>
      <c r="CX283" s="234"/>
      <c r="CY283" s="233"/>
      <c r="CZ283" s="233"/>
      <c r="DA283" s="233"/>
      <c r="DB283" s="903"/>
      <c r="DC283" s="62"/>
      <c r="DD283" s="62"/>
      <c r="DE283" s="904"/>
      <c r="DF283" s="234"/>
      <c r="DG283" s="233"/>
      <c r="DH283" s="233"/>
      <c r="DI283" s="233"/>
      <c r="DJ283" s="903"/>
      <c r="DK283" s="62"/>
      <c r="DL283" s="62"/>
      <c r="DM283" s="904"/>
      <c r="DN283" s="234"/>
      <c r="DO283" s="233"/>
      <c r="DP283" s="233"/>
      <c r="DQ283" s="233"/>
      <c r="DR283" s="903"/>
      <c r="DS283" s="62"/>
      <c r="DT283" s="62"/>
      <c r="DU283" s="904"/>
      <c r="DV283" s="234"/>
      <c r="DW283" s="233"/>
      <c r="DX283" s="233"/>
      <c r="DY283" s="233"/>
      <c r="DZ283" s="903"/>
      <c r="EA283" s="62"/>
      <c r="EB283" s="62"/>
      <c r="EC283" s="904"/>
      <c r="ED283" s="234"/>
      <c r="EE283" s="233"/>
      <c r="EF283" s="233"/>
      <c r="EG283" s="233"/>
      <c r="EH283" s="903"/>
      <c r="EI283" s="62"/>
      <c r="EJ283" s="62"/>
      <c r="EK283" s="904"/>
      <c r="EL283" s="234"/>
      <c r="EM283" s="233"/>
      <c r="EN283" s="233"/>
      <c r="EO283" s="233"/>
      <c r="EP283" s="903"/>
      <c r="EQ283" s="62"/>
      <c r="ER283" s="62"/>
      <c r="ES283" s="904"/>
      <c r="ET283" s="234"/>
      <c r="EU283" s="233"/>
      <c r="EV283" s="233"/>
      <c r="EW283" s="233"/>
      <c r="EX283" s="903"/>
      <c r="EY283" s="62"/>
      <c r="EZ283" s="62"/>
      <c r="FA283" s="904"/>
      <c r="FB283" s="234"/>
      <c r="FC283" s="233"/>
      <c r="FD283" s="233"/>
      <c r="FE283" s="233"/>
      <c r="FF283" s="903"/>
      <c r="FG283" s="62"/>
      <c r="FH283" s="62"/>
      <c r="FI283" s="904"/>
      <c r="FJ283" s="234"/>
      <c r="FK283" s="233"/>
      <c r="FL283" s="233"/>
      <c r="FM283" s="233"/>
      <c r="FN283" s="903"/>
      <c r="FO283" s="62"/>
      <c r="FP283" s="62"/>
      <c r="FQ283" s="904"/>
      <c r="FR283" s="234"/>
      <c r="FS283" s="233"/>
      <c r="FT283" s="233"/>
      <c r="FU283" s="233"/>
      <c r="FV283" s="903"/>
      <c r="FW283" s="62"/>
      <c r="FX283" s="62"/>
      <c r="FY283" s="904"/>
      <c r="FZ283" s="234"/>
      <c r="GA283" s="233"/>
      <c r="GB283" s="233"/>
      <c r="GC283" s="233"/>
      <c r="GD283" s="903"/>
      <c r="GE283" s="62"/>
      <c r="GF283" s="62"/>
      <c r="GG283" s="904"/>
      <c r="GH283" s="234"/>
      <c r="GI283" s="233"/>
      <c r="GJ283" s="233"/>
      <c r="GK283" s="233"/>
      <c r="GL283" s="903"/>
      <c r="GM283" s="62"/>
      <c r="GN283" s="62"/>
      <c r="GO283" s="904"/>
      <c r="GP283" s="234"/>
      <c r="GQ283" s="233"/>
      <c r="GR283" s="233"/>
      <c r="GS283" s="233"/>
      <c r="GT283" s="903"/>
      <c r="GU283" s="62"/>
      <c r="GV283" s="62"/>
      <c r="GW283" s="904"/>
      <c r="GX283" s="234"/>
      <c r="GY283" s="233"/>
      <c r="GZ283" s="233"/>
      <c r="HA283" s="233"/>
      <c r="HB283" s="903"/>
      <c r="HC283" s="62"/>
      <c r="HD283" s="62"/>
      <c r="HE283" s="904"/>
      <c r="HF283" s="234"/>
      <c r="HG283" s="233"/>
      <c r="HH283" s="233"/>
      <c r="HI283" s="233"/>
      <c r="HJ283" s="903"/>
      <c r="HK283" s="62"/>
      <c r="HL283" s="62"/>
      <c r="HM283" s="904"/>
      <c r="HN283" s="234"/>
      <c r="HO283" s="233"/>
      <c r="HP283" s="233"/>
      <c r="HQ283" s="233"/>
      <c r="HR283" s="903"/>
      <c r="HS283" s="62"/>
      <c r="HT283" s="62"/>
      <c r="HU283" s="904"/>
      <c r="HV283" s="234"/>
      <c r="HW283" s="233"/>
      <c r="HX283" s="233"/>
      <c r="HY283" s="233"/>
      <c r="HZ283" s="903"/>
      <c r="IA283" s="62"/>
      <c r="IB283" s="62"/>
      <c r="IC283" s="904"/>
      <c r="ID283" s="234"/>
      <c r="IE283" s="233"/>
      <c r="IF283" s="233"/>
      <c r="IG283" s="233"/>
      <c r="IH283" s="903"/>
      <c r="II283" s="62"/>
      <c r="IJ283" s="62"/>
      <c r="IK283" s="904"/>
      <c r="IL283" s="234"/>
      <c r="IM283" s="233"/>
      <c r="IN283" s="233"/>
      <c r="IO283" s="233"/>
      <c r="IP283" s="903"/>
      <c r="IQ283" s="62"/>
      <c r="IR283" s="62"/>
      <c r="IS283" s="904"/>
      <c r="IT283" s="234"/>
    </row>
    <row r="284" spans="1:254" ht="13">
      <c r="A284" s="280">
        <v>44</v>
      </c>
      <c r="B284" s="1" t="s">
        <v>2307</v>
      </c>
      <c r="C284" s="233"/>
      <c r="D284" s="903"/>
      <c r="E284" s="905">
        <f>H268+E281</f>
        <v>59222843.150054194</v>
      </c>
      <c r="F284" s="389" t="s">
        <v>2308</v>
      </c>
      <c r="G284" s="904"/>
      <c r="H284" s="234"/>
      <c r="I284" s="234"/>
      <c r="J284" s="1"/>
      <c r="K284" s="233"/>
      <c r="L284" s="903"/>
      <c r="M284" s="906"/>
      <c r="N284" s="389"/>
      <c r="O284" s="904"/>
      <c r="P284" s="234"/>
      <c r="Q284" s="233"/>
      <c r="R284" s="903"/>
      <c r="S284" s="906"/>
      <c r="T284" s="389"/>
      <c r="U284" s="904"/>
      <c r="V284" s="234"/>
      <c r="W284" s="234"/>
      <c r="X284" s="1"/>
      <c r="Y284" s="233"/>
      <c r="Z284" s="903"/>
      <c r="AA284" s="906"/>
      <c r="AB284" s="389"/>
      <c r="AC284" s="904"/>
      <c r="AD284" s="234"/>
      <c r="AE284" s="234"/>
      <c r="AF284" s="1"/>
      <c r="AG284" s="233"/>
      <c r="AH284" s="903"/>
      <c r="AI284" s="906"/>
      <c r="AJ284" s="389"/>
      <c r="AK284" s="904"/>
      <c r="AL284" s="234"/>
      <c r="AM284" s="280"/>
      <c r="AN284" s="1"/>
      <c r="AO284" s="233"/>
      <c r="AP284" s="903"/>
      <c r="AQ284" s="906"/>
      <c r="AR284" s="389"/>
      <c r="AS284" s="904"/>
      <c r="AT284" s="234"/>
      <c r="AU284" s="280"/>
      <c r="AV284" s="1"/>
      <c r="AW284" s="233"/>
      <c r="AX284" s="903"/>
      <c r="AY284" s="906"/>
      <c r="AZ284" s="389"/>
      <c r="BA284" s="904"/>
      <c r="BB284" s="234"/>
      <c r="BC284" s="280"/>
      <c r="BD284" s="1"/>
      <c r="BE284" s="233"/>
      <c r="BF284" s="903"/>
      <c r="BG284" s="906"/>
      <c r="BH284" s="389"/>
      <c r="BI284" s="904"/>
      <c r="BJ284" s="234"/>
      <c r="BK284" s="280"/>
      <c r="BL284" s="1"/>
      <c r="BM284" s="233"/>
      <c r="BN284" s="903"/>
      <c r="BO284" s="906"/>
      <c r="BP284" s="389"/>
      <c r="BQ284" s="904"/>
      <c r="BR284" s="234"/>
      <c r="BS284" s="280"/>
      <c r="BT284" s="1"/>
      <c r="BU284" s="233"/>
      <c r="BV284" s="903"/>
      <c r="BW284" s="906"/>
      <c r="BX284" s="389"/>
      <c r="BY284" s="904"/>
      <c r="BZ284" s="234"/>
      <c r="CA284" s="280"/>
      <c r="CB284" s="1"/>
      <c r="CC284" s="233"/>
      <c r="CD284" s="903"/>
      <c r="CE284" s="906"/>
      <c r="CF284" s="389"/>
      <c r="CG284" s="904"/>
      <c r="CH284" s="234"/>
      <c r="CI284" s="280"/>
      <c r="CJ284" s="1"/>
      <c r="CK284" s="233"/>
      <c r="CL284" s="903"/>
      <c r="CM284" s="906"/>
      <c r="CN284" s="389"/>
      <c r="CO284" s="904"/>
      <c r="CP284" s="234"/>
      <c r="CQ284" s="280"/>
      <c r="CR284" s="1"/>
      <c r="CS284" s="233"/>
      <c r="CT284" s="903"/>
      <c r="CU284" s="906"/>
      <c r="CV284" s="389"/>
      <c r="CW284" s="904"/>
      <c r="CX284" s="234"/>
      <c r="CY284" s="280"/>
      <c r="CZ284" s="1"/>
      <c r="DA284" s="233"/>
      <c r="DB284" s="903"/>
      <c r="DC284" s="906"/>
      <c r="DD284" s="389"/>
      <c r="DE284" s="904"/>
      <c r="DF284" s="234"/>
      <c r="DG284" s="280"/>
      <c r="DH284" s="1"/>
      <c r="DI284" s="233"/>
      <c r="DJ284" s="903"/>
      <c r="DK284" s="906"/>
      <c r="DL284" s="389"/>
      <c r="DM284" s="904"/>
      <c r="DN284" s="234"/>
      <c r="DO284" s="280"/>
      <c r="DP284" s="1"/>
      <c r="DQ284" s="233"/>
      <c r="DR284" s="903"/>
      <c r="DS284" s="906"/>
      <c r="DT284" s="389"/>
      <c r="DU284" s="904"/>
      <c r="DV284" s="234"/>
      <c r="DW284" s="280"/>
      <c r="DX284" s="1"/>
      <c r="DY284" s="233"/>
      <c r="DZ284" s="903"/>
      <c r="EA284" s="906"/>
      <c r="EB284" s="389"/>
      <c r="EC284" s="904"/>
      <c r="ED284" s="234"/>
      <c r="EE284" s="280"/>
      <c r="EF284" s="1"/>
      <c r="EG284" s="233"/>
      <c r="EH284" s="903"/>
      <c r="EI284" s="906"/>
      <c r="EJ284" s="389"/>
      <c r="EK284" s="904"/>
      <c r="EL284" s="234"/>
      <c r="EM284" s="280"/>
      <c r="EN284" s="1"/>
      <c r="EO284" s="233"/>
      <c r="EP284" s="903"/>
      <c r="EQ284" s="906"/>
      <c r="ER284" s="389"/>
      <c r="ES284" s="904"/>
      <c r="ET284" s="234"/>
      <c r="EU284" s="280"/>
      <c r="EV284" s="1"/>
      <c r="EW284" s="233"/>
      <c r="EX284" s="903"/>
      <c r="EY284" s="906"/>
      <c r="EZ284" s="389"/>
      <c r="FA284" s="904"/>
      <c r="FB284" s="234"/>
      <c r="FC284" s="280"/>
      <c r="FD284" s="1"/>
      <c r="FE284" s="233"/>
      <c r="FF284" s="903"/>
      <c r="FG284" s="906"/>
      <c r="FH284" s="389"/>
      <c r="FI284" s="904"/>
      <c r="FJ284" s="234"/>
      <c r="FK284" s="280"/>
      <c r="FL284" s="1"/>
      <c r="FM284" s="233"/>
      <c r="FN284" s="903"/>
      <c r="FO284" s="906"/>
      <c r="FP284" s="389"/>
      <c r="FQ284" s="904"/>
      <c r="FR284" s="234"/>
      <c r="FS284" s="280"/>
      <c r="FT284" s="1"/>
      <c r="FU284" s="233"/>
      <c r="FV284" s="903"/>
      <c r="FW284" s="906"/>
      <c r="FX284" s="389"/>
      <c r="FY284" s="904"/>
      <c r="FZ284" s="234"/>
      <c r="GA284" s="280"/>
      <c r="GB284" s="1"/>
      <c r="GC284" s="233"/>
      <c r="GD284" s="903"/>
      <c r="GE284" s="906"/>
      <c r="GF284" s="389"/>
      <c r="GG284" s="904"/>
      <c r="GH284" s="234"/>
      <c r="GI284" s="280"/>
      <c r="GJ284" s="1"/>
      <c r="GK284" s="233"/>
      <c r="GL284" s="903"/>
      <c r="GM284" s="906"/>
      <c r="GN284" s="389"/>
      <c r="GO284" s="904"/>
      <c r="GP284" s="234"/>
      <c r="GQ284" s="280"/>
      <c r="GR284" s="1"/>
      <c r="GS284" s="233"/>
      <c r="GT284" s="903"/>
      <c r="GU284" s="906"/>
      <c r="GV284" s="389"/>
      <c r="GW284" s="904"/>
      <c r="GX284" s="234"/>
      <c r="GY284" s="280"/>
      <c r="GZ284" s="1"/>
      <c r="HA284" s="233"/>
      <c r="HB284" s="903"/>
      <c r="HC284" s="906"/>
      <c r="HD284" s="389"/>
      <c r="HE284" s="904"/>
      <c r="HF284" s="234"/>
      <c r="HG284" s="280"/>
      <c r="HH284" s="1"/>
      <c r="HI284" s="233"/>
      <c r="HJ284" s="903"/>
      <c r="HK284" s="906"/>
      <c r="HL284" s="389"/>
      <c r="HM284" s="904"/>
      <c r="HN284" s="234"/>
      <c r="HO284" s="280"/>
      <c r="HP284" s="1"/>
      <c r="HQ284" s="233"/>
      <c r="HR284" s="903"/>
      <c r="HS284" s="906"/>
      <c r="HT284" s="389"/>
      <c r="HU284" s="904"/>
      <c r="HV284" s="234"/>
      <c r="HW284" s="280"/>
      <c r="HX284" s="1"/>
      <c r="HY284" s="233"/>
      <c r="HZ284" s="903"/>
      <c r="IA284" s="906"/>
      <c r="IB284" s="389"/>
      <c r="IC284" s="904"/>
      <c r="ID284" s="234"/>
      <c r="IE284" s="280"/>
      <c r="IF284" s="1"/>
      <c r="IG284" s="233"/>
      <c r="IH284" s="903"/>
      <c r="II284" s="906"/>
      <c r="IJ284" s="389"/>
      <c r="IK284" s="904"/>
      <c r="IL284" s="234"/>
      <c r="IM284" s="280"/>
      <c r="IN284" s="1"/>
      <c r="IO284" s="233"/>
      <c r="IP284" s="903"/>
      <c r="IQ284" s="906"/>
      <c r="IR284" s="389"/>
      <c r="IS284" s="904"/>
      <c r="IT284" s="234"/>
    </row>
    <row r="285" spans="1:254">
      <c r="A285" s="233"/>
      <c r="B285" s="233"/>
      <c r="C285" s="233"/>
      <c r="D285" s="888"/>
      <c r="E285" s="889"/>
      <c r="F285" s="897"/>
      <c r="G285" s="887"/>
      <c r="H285" s="234"/>
      <c r="I285" s="234"/>
      <c r="J285" s="887"/>
      <c r="K285" s="888"/>
      <c r="L285" s="889"/>
      <c r="M285" s="234"/>
      <c r="N285" s="887"/>
      <c r="O285" s="234"/>
    </row>
    <row r="287" spans="1:254">
      <c r="A287" s="233" t="s">
        <v>233</v>
      </c>
      <c r="B287" s="233"/>
      <c r="C287" s="233"/>
      <c r="D287" s="233"/>
      <c r="E287" s="887"/>
      <c r="F287" s="887"/>
      <c r="G287" s="887"/>
      <c r="H287" s="234"/>
      <c r="I287" s="234"/>
      <c r="J287" s="887"/>
      <c r="K287" s="888"/>
      <c r="L287" s="889"/>
      <c r="M287" s="234"/>
      <c r="N287" s="887"/>
      <c r="O287" s="234"/>
    </row>
    <row r="288" spans="1:254" ht="12.75" customHeight="1">
      <c r="A288" s="283" t="s">
        <v>2309</v>
      </c>
      <c r="B288" s="1243" t="s">
        <v>2310</v>
      </c>
      <c r="C288" s="1219"/>
      <c r="D288" s="1219"/>
      <c r="E288" s="887"/>
      <c r="F288" s="887"/>
      <c r="G288" s="887"/>
      <c r="H288" s="234"/>
      <c r="I288" s="234"/>
      <c r="J288" s="887"/>
      <c r="K288" s="888"/>
      <c r="L288" s="889"/>
      <c r="M288" s="234"/>
      <c r="N288" s="887"/>
      <c r="O288" s="234"/>
    </row>
    <row r="289" spans="1:15" ht="77.25" customHeight="1">
      <c r="A289" s="283" t="s">
        <v>2311</v>
      </c>
      <c r="B289" s="1216" t="s">
        <v>2312</v>
      </c>
      <c r="C289" s="1217"/>
      <c r="D289" s="1217"/>
      <c r="E289" s="1218"/>
      <c r="F289" s="1218"/>
      <c r="G289" s="887"/>
      <c r="H289" s="234"/>
      <c r="I289" s="234"/>
      <c r="J289" s="887"/>
      <c r="K289" s="888"/>
      <c r="L289" s="889"/>
      <c r="M289" s="234"/>
      <c r="N289" s="887"/>
      <c r="O289" s="234"/>
    </row>
    <row r="290" spans="1:15" ht="12.75" customHeight="1">
      <c r="A290" s="283" t="s">
        <v>2313</v>
      </c>
      <c r="B290" s="1216" t="s">
        <v>2314</v>
      </c>
      <c r="C290" s="1217"/>
      <c r="D290" s="1217"/>
      <c r="E290" s="1218"/>
      <c r="F290" s="1218"/>
      <c r="G290" s="887"/>
      <c r="H290" s="234"/>
      <c r="I290" s="234"/>
      <c r="J290" s="887"/>
      <c r="K290" s="888"/>
      <c r="L290" s="889"/>
      <c r="M290" s="234"/>
      <c r="N290" s="887"/>
      <c r="O290" s="234"/>
    </row>
    <row r="291" spans="1:15" ht="12.75" customHeight="1">
      <c r="A291" s="283" t="s">
        <v>2315</v>
      </c>
      <c r="B291" s="1216" t="s">
        <v>2316</v>
      </c>
      <c r="C291" s="1217"/>
      <c r="D291" s="1217"/>
      <c r="E291" s="1218"/>
      <c r="F291" s="1218"/>
      <c r="G291" s="887"/>
      <c r="H291" s="234"/>
      <c r="I291" s="234"/>
      <c r="J291" s="887"/>
      <c r="K291" s="888"/>
      <c r="L291" s="889"/>
      <c r="M291" s="234"/>
      <c r="N291" s="887"/>
      <c r="O291" s="234"/>
    </row>
    <row r="292" spans="1:15" ht="12.75" customHeight="1">
      <c r="A292" s="283" t="s">
        <v>2317</v>
      </c>
      <c r="B292" s="1216" t="s">
        <v>2318</v>
      </c>
      <c r="C292" s="1217"/>
      <c r="D292" s="1217"/>
      <c r="E292" s="1218"/>
      <c r="F292" s="1218"/>
      <c r="G292" s="887"/>
      <c r="H292" s="234"/>
      <c r="I292" s="234"/>
      <c r="J292" s="887"/>
      <c r="K292" s="888"/>
      <c r="L292" s="889"/>
      <c r="M292" s="234"/>
      <c r="N292" s="887"/>
      <c r="O292" s="234"/>
    </row>
    <row r="293" spans="1:15" ht="12.75" customHeight="1">
      <c r="A293" s="283" t="s">
        <v>2319</v>
      </c>
      <c r="B293" s="1216" t="s">
        <v>2320</v>
      </c>
      <c r="C293" s="1217"/>
      <c r="D293" s="1217"/>
      <c r="E293" s="1218"/>
      <c r="F293" s="1218"/>
      <c r="G293" s="887"/>
      <c r="H293" s="234"/>
      <c r="I293" s="234"/>
      <c r="J293" s="887"/>
      <c r="K293" s="888"/>
      <c r="L293" s="889"/>
      <c r="M293" s="234"/>
      <c r="N293" s="887"/>
      <c r="O293" s="234"/>
    </row>
    <row r="294" spans="1:15" ht="12.75" customHeight="1">
      <c r="A294" s="283" t="s">
        <v>2321</v>
      </c>
      <c r="B294" s="1216" t="s">
        <v>2322</v>
      </c>
      <c r="C294" s="1217"/>
      <c r="D294" s="1217"/>
      <c r="E294" s="1219"/>
      <c r="F294" s="1219"/>
      <c r="G294" s="887"/>
      <c r="H294" s="234"/>
      <c r="I294" s="234"/>
      <c r="J294" s="887"/>
      <c r="K294" s="888"/>
      <c r="L294" s="889"/>
      <c r="M294" s="234"/>
      <c r="N294" s="887"/>
      <c r="O294" s="234"/>
    </row>
    <row r="295" spans="1:15" ht="12.75" customHeight="1">
      <c r="A295" s="283"/>
      <c r="B295" s="1219"/>
      <c r="C295" s="1219"/>
      <c r="D295" s="1219"/>
      <c r="E295" s="1219"/>
      <c r="F295" s="1219"/>
      <c r="G295" s="887"/>
      <c r="H295" s="234"/>
      <c r="I295" s="234"/>
      <c r="J295" s="887"/>
      <c r="K295" s="888"/>
      <c r="L295" s="889"/>
      <c r="M295" s="234"/>
      <c r="N295" s="887"/>
      <c r="O295" s="234"/>
    </row>
    <row r="296" spans="1:15" ht="12.75" customHeight="1">
      <c r="A296" s="283"/>
      <c r="B296" s="1216" t="s">
        <v>2323</v>
      </c>
      <c r="C296" s="1217"/>
      <c r="D296" s="528">
        <v>6.9599999999999995E-2</v>
      </c>
      <c r="E296" s="801" t="s">
        <v>2324</v>
      </c>
      <c r="F296" s="240" t="s">
        <v>3134</v>
      </c>
      <c r="G296" s="907"/>
      <c r="H296" s="234"/>
      <c r="I296" s="234"/>
      <c r="J296" s="887"/>
      <c r="K296" s="888"/>
      <c r="L296" s="889"/>
      <c r="M296" s="234"/>
      <c r="N296" s="887"/>
      <c r="O296" s="234"/>
    </row>
    <row r="297" spans="1:15" ht="26.25" customHeight="1">
      <c r="A297" s="283" t="s">
        <v>2325</v>
      </c>
      <c r="B297" s="1216" t="s">
        <v>2326</v>
      </c>
      <c r="C297" s="1217"/>
      <c r="D297" s="1217"/>
      <c r="E297" s="1218"/>
      <c r="F297" s="1218"/>
      <c r="G297" s="887"/>
      <c r="H297" s="234"/>
      <c r="I297" s="234"/>
      <c r="J297" s="887"/>
      <c r="K297" s="888"/>
      <c r="L297" s="889"/>
      <c r="M297" s="234"/>
      <c r="N297" s="887"/>
      <c r="O297" s="234"/>
    </row>
    <row r="298" spans="1:15" ht="27.75" customHeight="1">
      <c r="A298" s="283" t="s">
        <v>2327</v>
      </c>
      <c r="B298" s="1216" t="s">
        <v>2328</v>
      </c>
      <c r="C298" s="1217"/>
      <c r="D298" s="1217"/>
      <c r="E298" s="1218"/>
      <c r="F298" s="1218"/>
      <c r="G298" s="887"/>
      <c r="H298" s="234"/>
      <c r="I298" s="234"/>
      <c r="J298" s="887"/>
      <c r="K298" s="888"/>
      <c r="L298" s="889"/>
      <c r="M298" s="234"/>
      <c r="N298" s="887"/>
      <c r="O298" s="234"/>
    </row>
    <row r="299" spans="1:15" ht="25.5" customHeight="1">
      <c r="A299" s="283" t="s">
        <v>2329</v>
      </c>
      <c r="B299" s="1216" t="s">
        <v>2330</v>
      </c>
      <c r="C299" s="1217"/>
      <c r="D299" s="1217"/>
      <c r="E299" s="1218"/>
      <c r="F299" s="1218"/>
      <c r="G299" s="887"/>
      <c r="H299" s="234"/>
      <c r="I299" s="234"/>
      <c r="J299" s="887"/>
      <c r="K299" s="888"/>
      <c r="L299" s="889"/>
      <c r="M299" s="234"/>
      <c r="N299" s="887"/>
      <c r="O299" s="234"/>
    </row>
    <row r="300" spans="1:15" ht="40.5" customHeight="1">
      <c r="A300" s="283" t="s">
        <v>2331</v>
      </c>
      <c r="B300" s="1216" t="s">
        <v>2332</v>
      </c>
      <c r="C300" s="1217"/>
      <c r="D300" s="1217"/>
      <c r="E300" s="1218"/>
      <c r="F300" s="1218"/>
      <c r="G300" s="888"/>
      <c r="H300" s="234"/>
      <c r="I300" s="234"/>
      <c r="J300" s="887"/>
      <c r="K300" s="888"/>
      <c r="L300" s="889"/>
      <c r="M300" s="234"/>
      <c r="N300" s="887"/>
      <c r="O300" s="234"/>
    </row>
    <row r="301" spans="1:15" ht="38.25" customHeight="1">
      <c r="A301" s="283" t="s">
        <v>2333</v>
      </c>
      <c r="B301" s="1216" t="s">
        <v>2334</v>
      </c>
      <c r="C301" s="1217"/>
      <c r="D301" s="1217"/>
      <c r="E301" s="1219"/>
      <c r="F301" s="1219"/>
      <c r="G301" s="1219"/>
      <c r="H301" s="234"/>
      <c r="I301" s="234"/>
      <c r="J301" s="887"/>
      <c r="K301" s="888"/>
      <c r="L301" s="889"/>
      <c r="M301" s="234"/>
      <c r="N301" s="887"/>
      <c r="O301" s="234"/>
    </row>
    <row r="302" spans="1:15" ht="12.75" customHeight="1">
      <c r="A302" s="283"/>
      <c r="B302" s="1216" t="s">
        <v>2323</v>
      </c>
      <c r="C302" s="1217"/>
      <c r="D302" s="528">
        <v>6.9599999999999995E-2</v>
      </c>
      <c r="E302" s="801" t="s">
        <v>2324</v>
      </c>
      <c r="F302" s="240" t="s">
        <v>3134</v>
      </c>
      <c r="G302" s="907"/>
      <c r="H302" s="234"/>
      <c r="I302" s="234"/>
      <c r="J302" s="887"/>
      <c r="K302" s="888"/>
      <c r="L302" s="889"/>
      <c r="M302" s="234"/>
      <c r="N302" s="887"/>
      <c r="O302" s="234"/>
    </row>
    <row r="303" spans="1:15" ht="12.75" customHeight="1">
      <c r="A303" s="283" t="s">
        <v>2335</v>
      </c>
      <c r="B303" s="1216" t="s">
        <v>2336</v>
      </c>
      <c r="C303" s="1217"/>
      <c r="D303" s="1217"/>
      <c r="E303" s="1219"/>
      <c r="F303" s="1219"/>
      <c r="G303" s="1219"/>
      <c r="H303" s="1219"/>
      <c r="I303" s="234"/>
      <c r="J303" s="887"/>
      <c r="K303" s="888"/>
      <c r="L303" s="889"/>
      <c r="M303" s="234"/>
      <c r="N303" s="887"/>
      <c r="O303" s="234"/>
    </row>
    <row r="304" spans="1:15" ht="12.75" customHeight="1">
      <c r="A304" s="283" t="s">
        <v>2337</v>
      </c>
      <c r="B304" s="1216" t="s">
        <v>2338</v>
      </c>
      <c r="C304" s="1217"/>
      <c r="D304" s="1217"/>
      <c r="E304" s="1219"/>
      <c r="F304" s="1219"/>
      <c r="G304" s="1219"/>
      <c r="H304" s="234"/>
      <c r="I304" s="234"/>
      <c r="J304" s="887"/>
      <c r="K304" s="888"/>
      <c r="L304" s="889"/>
      <c r="M304" s="234"/>
      <c r="N304" s="887"/>
      <c r="O304" s="234"/>
    </row>
    <row r="305" spans="1:15" ht="27" customHeight="1">
      <c r="A305" s="283" t="s">
        <v>2339</v>
      </c>
      <c r="B305" s="1216" t="s">
        <v>2340</v>
      </c>
      <c r="C305" s="1217"/>
      <c r="D305" s="1217"/>
      <c r="E305" s="1218"/>
      <c r="F305" s="1218"/>
      <c r="G305" s="888"/>
      <c r="H305" s="234"/>
      <c r="I305" s="234"/>
      <c r="J305" s="887"/>
      <c r="K305" s="888"/>
      <c r="L305" s="889"/>
      <c r="M305" s="234"/>
      <c r="N305" s="887"/>
      <c r="O305" s="234"/>
    </row>
    <row r="306" spans="1:15">
      <c r="A306" s="283" t="s">
        <v>2341</v>
      </c>
      <c r="B306" s="233" t="s">
        <v>2342</v>
      </c>
      <c r="C306" s="233"/>
      <c r="D306" s="233"/>
      <c r="E306" s="233"/>
      <c r="F306" s="233"/>
      <c r="G306" s="888"/>
      <c r="H306" s="234"/>
      <c r="I306" s="234"/>
      <c r="J306" s="887"/>
      <c r="K306" s="888"/>
      <c r="L306" s="889"/>
      <c r="M306" s="234"/>
      <c r="N306" s="887"/>
      <c r="O306" s="234"/>
    </row>
    <row r="307" spans="1:15">
      <c r="A307" s="283" t="s">
        <v>2343</v>
      </c>
      <c r="B307" s="233" t="s">
        <v>2344</v>
      </c>
      <c r="C307" s="233"/>
      <c r="D307" s="233"/>
      <c r="E307" s="888"/>
      <c r="F307" s="888"/>
      <c r="G307" s="888"/>
      <c r="H307" s="234"/>
      <c r="I307" s="234"/>
      <c r="J307" s="887"/>
      <c r="K307" s="888"/>
      <c r="L307" s="889"/>
      <c r="M307" s="234"/>
      <c r="N307" s="887"/>
      <c r="O307" s="234"/>
    </row>
    <row r="308" spans="1:15">
      <c r="A308" s="233"/>
      <c r="B308" s="233" t="s">
        <v>2345</v>
      </c>
      <c r="C308" s="233"/>
      <c r="D308" s="233"/>
      <c r="E308" s="888"/>
      <c r="F308" s="888"/>
      <c r="G308" s="888"/>
      <c r="H308" s="234"/>
      <c r="I308" s="234"/>
      <c r="J308" s="887"/>
      <c r="K308" s="888"/>
      <c r="L308" s="889"/>
      <c r="M308" s="234"/>
      <c r="N308" s="887"/>
      <c r="O308" s="234"/>
    </row>
    <row r="309" spans="1:15">
      <c r="A309" s="233"/>
      <c r="B309" s="233" t="s">
        <v>2346</v>
      </c>
      <c r="C309" s="233"/>
      <c r="D309" s="233"/>
      <c r="E309" s="888"/>
      <c r="F309" s="888"/>
      <c r="G309" s="888"/>
      <c r="H309" s="234"/>
      <c r="I309" s="234"/>
      <c r="J309" s="887"/>
      <c r="K309" s="888"/>
      <c r="L309" s="889"/>
      <c r="M309" s="234"/>
      <c r="N309" s="887"/>
      <c r="O309" s="234"/>
    </row>
    <row r="310" spans="1:15">
      <c r="A310" s="233"/>
      <c r="B310" s="233" t="s">
        <v>2347</v>
      </c>
      <c r="C310" s="233"/>
      <c r="D310" s="233"/>
      <c r="E310" s="888"/>
      <c r="F310" s="888"/>
      <c r="G310" s="888"/>
      <c r="H310" s="234"/>
      <c r="I310" s="234"/>
      <c r="J310" s="887"/>
      <c r="K310" s="888"/>
      <c r="L310" s="889"/>
      <c r="M310" s="234"/>
      <c r="N310" s="887"/>
      <c r="O310" s="234"/>
    </row>
    <row r="311" spans="1:15">
      <c r="A311" s="283" t="s">
        <v>2348</v>
      </c>
      <c r="B311" s="233" t="s">
        <v>2349</v>
      </c>
      <c r="C311" s="233"/>
      <c r="D311" s="233"/>
      <c r="E311" s="887"/>
      <c r="F311" s="814"/>
      <c r="G311" s="836"/>
      <c r="H311" s="837"/>
      <c r="I311" s="837"/>
      <c r="J311" s="887"/>
      <c r="K311" s="888"/>
      <c r="L311" s="889"/>
      <c r="M311" s="234"/>
      <c r="N311" s="887"/>
      <c r="O311" s="234"/>
    </row>
    <row r="312" spans="1:15">
      <c r="A312" s="233"/>
      <c r="B312" s="233" t="s">
        <v>2350</v>
      </c>
      <c r="C312" s="233"/>
      <c r="D312" s="233"/>
      <c r="E312" s="887"/>
      <c r="F312" s="887"/>
      <c r="G312" s="887"/>
      <c r="H312" s="234"/>
      <c r="I312" s="234"/>
      <c r="J312" s="887"/>
      <c r="K312" s="888"/>
      <c r="L312" s="889"/>
      <c r="M312" s="234"/>
      <c r="N312" s="887"/>
      <c r="O312" s="234"/>
    </row>
    <row r="313" spans="1:15">
      <c r="A313" s="233"/>
      <c r="B313" s="835"/>
      <c r="C313" s="233"/>
      <c r="D313" s="233"/>
      <c r="E313" s="814"/>
      <c r="F313" s="887"/>
      <c r="G313" s="887"/>
      <c r="H313" s="234"/>
      <c r="I313" s="234"/>
      <c r="J313" s="887"/>
      <c r="K313" s="888"/>
      <c r="L313" s="889"/>
      <c r="M313" s="234"/>
      <c r="N313" s="887"/>
      <c r="O313" s="234"/>
    </row>
  </sheetData>
  <autoFilter ref="A1:O310" xr:uid="{00000000-0009-0000-0000-00001A000000}"/>
  <mergeCells count="52">
    <mergeCell ref="B205:D205"/>
    <mergeCell ref="B199:D199"/>
    <mergeCell ref="B296:C296"/>
    <mergeCell ref="B294:F295"/>
    <mergeCell ref="B300:F300"/>
    <mergeCell ref="B262:C262"/>
    <mergeCell ref="B263:D263"/>
    <mergeCell ref="B206:D206"/>
    <mergeCell ref="B243:D243"/>
    <mergeCell ref="B211:D211"/>
    <mergeCell ref="B288:D288"/>
    <mergeCell ref="B248:C248"/>
    <mergeCell ref="B249:C249"/>
    <mergeCell ref="B251:C251"/>
    <mergeCell ref="B255:D255"/>
    <mergeCell ref="B257:D257"/>
    <mergeCell ref="B256:D256"/>
    <mergeCell ref="B250:C250"/>
    <mergeCell ref="B264:D264"/>
    <mergeCell ref="B265:D265"/>
    <mergeCell ref="B260:C260"/>
    <mergeCell ref="B252:C252"/>
    <mergeCell ref="B261:C261"/>
    <mergeCell ref="J2:M2"/>
    <mergeCell ref="G2:I2"/>
    <mergeCell ref="B245:D245"/>
    <mergeCell ref="B200:D200"/>
    <mergeCell ref="B91:D91"/>
    <mergeCell ref="B54:D54"/>
    <mergeCell ref="B46:D46"/>
    <mergeCell ref="B244:D244"/>
    <mergeCell ref="B210:D210"/>
    <mergeCell ref="B8:D8"/>
    <mergeCell ref="B9:D9"/>
    <mergeCell ref="B53:D53"/>
    <mergeCell ref="B45:D45"/>
    <mergeCell ref="B90:D90"/>
    <mergeCell ref="B169:D169"/>
    <mergeCell ref="B168:D168"/>
    <mergeCell ref="B305:F305"/>
    <mergeCell ref="B298:F298"/>
    <mergeCell ref="B289:F289"/>
    <mergeCell ref="B290:F290"/>
    <mergeCell ref="B291:F291"/>
    <mergeCell ref="B293:F293"/>
    <mergeCell ref="B292:F292"/>
    <mergeCell ref="B297:F297"/>
    <mergeCell ref="B303:H303"/>
    <mergeCell ref="B304:G304"/>
    <mergeCell ref="B299:F299"/>
    <mergeCell ref="B302:C302"/>
    <mergeCell ref="B301:G301"/>
  </mergeCells>
  <conditionalFormatting sqref="A300:A307">
    <cfRule type="cellIs" dxfId="14" priority="22" stopIfTrue="1" operator="between">
      <formula>4990000</formula>
      <formula>4999999</formula>
    </cfRule>
  </conditionalFormatting>
  <conditionalFormatting sqref="A311">
    <cfRule type="cellIs" dxfId="13" priority="9" stopIfTrue="1" operator="between">
      <formula>4990000</formula>
      <formula>4999999</formula>
    </cfRule>
  </conditionalFormatting>
  <conditionalFormatting sqref="C2:C3 C6:C7 C47:C52 D96 C201:C204 C207:C209 C211:C213 C307:C310">
    <cfRule type="cellIs" dxfId="12" priority="27" stopIfTrue="1" operator="between">
      <formula>4990000</formula>
      <formula>4999999</formula>
    </cfRule>
  </conditionalFormatting>
  <conditionalFormatting sqref="C10">
    <cfRule type="cellIs" dxfId="11" priority="16" stopIfTrue="1" operator="between">
      <formula>4990000</formula>
      <formula>4999999</formula>
    </cfRule>
  </conditionalFormatting>
  <conditionalFormatting sqref="C39:C44">
    <cfRule type="cellIs" dxfId="10" priority="5" stopIfTrue="1" operator="between">
      <formula>4990000</formula>
      <formula>4999999</formula>
    </cfRule>
  </conditionalFormatting>
  <conditionalFormatting sqref="C55">
    <cfRule type="cellIs" dxfId="9" priority="21" stopIfTrue="1" operator="between">
      <formula>4990000</formula>
      <formula>4999999</formula>
    </cfRule>
  </conditionalFormatting>
  <conditionalFormatting sqref="C88:C89 A292:A298">
    <cfRule type="cellIs" dxfId="8" priority="25" stopIfTrue="1" operator="between">
      <formula>4990000</formula>
      <formula>4999999</formula>
    </cfRule>
  </conditionalFormatting>
  <conditionalFormatting sqref="C92">
    <cfRule type="cellIs" dxfId="7" priority="20" stopIfTrue="1" operator="between">
      <formula>4990000</formula>
      <formula>4999999</formula>
    </cfRule>
  </conditionalFormatting>
  <conditionalFormatting sqref="C161:C167">
    <cfRule type="cellIs" dxfId="6" priority="1" stopIfTrue="1" operator="between">
      <formula>4990000</formula>
      <formula>4999999</formula>
    </cfRule>
  </conditionalFormatting>
  <conditionalFormatting sqref="C170">
    <cfRule type="cellIs" dxfId="5" priority="18" stopIfTrue="1" operator="between">
      <formula>4990000</formula>
      <formula>4999999</formula>
    </cfRule>
  </conditionalFormatting>
  <conditionalFormatting sqref="C195:C198">
    <cfRule type="cellIs" dxfId="4" priority="2" stopIfTrue="1" operator="between">
      <formula>4990000</formula>
      <formula>4999999</formula>
    </cfRule>
  </conditionalFormatting>
  <conditionalFormatting sqref="C266">
    <cfRule type="cellIs" dxfId="3" priority="7" stopIfTrue="1" operator="between">
      <formula>4990000</formula>
      <formula>4999999</formula>
    </cfRule>
  </conditionalFormatting>
  <conditionalFormatting sqref="C268:C287">
    <cfRule type="cellIs" dxfId="2" priority="23" stopIfTrue="1" operator="between">
      <formula>4990000</formula>
      <formula>4999999</formula>
    </cfRule>
  </conditionalFormatting>
  <conditionalFormatting sqref="C313:C65616">
    <cfRule type="cellIs" dxfId="1" priority="10" stopIfTrue="1" operator="between">
      <formula>4990000</formula>
      <formula>4999999</formula>
    </cfRule>
  </conditionalFormatting>
  <conditionalFormatting sqref="K283:K284 Q283:Q284 Y283:Y284 AG283:AG284 AO283:AO284 AW283:AW284 BE283:BE284 BM283:BM284 BU283:BU284 CC283:CC284 CK283:CK284 CS283:CS284 DA283:DA284 DI283:DI284 DQ283:DQ284 DY283:DY284 EG283:EG284 EO283:EO284 EW283:EW284 FE283:FE284 FM283:FM284 FU283:FU284 GC283:GC284 GK283:GK284 GS283:GS284 HA283:HA284 HI283:HI284 HQ283:HQ284 HY283:HY284 IG283:IG284 IO283:IO284">
    <cfRule type="cellIs" dxfId="0" priority="24" stopIfTrue="1" operator="between">
      <formula>4990000</formula>
      <formula>4999999</formula>
    </cfRule>
  </conditionalFormatting>
  <pageMargins left="0.7" right="0.7" top="0.75" bottom="0.75" header="0.3" footer="0.3"/>
  <pageSetup scale="39" fitToHeight="0" orientation="landscape" cellComments="asDisplayed" r:id="rId1"/>
  <headerFooter>
    <oddHeader>&amp;CSchedule 21
Revenue Credits
&amp;RTO2027 Draft Annual Update 
Attachment 1</oddHeader>
    <oddFooter>&amp;R&amp;A</oddFooter>
  </headerFooter>
  <rowBreaks count="3" manualBreakCount="3">
    <brk id="91" max="14" man="1"/>
    <brk id="169" max="14" man="1"/>
    <brk id="245" max="14" man="1"/>
  </rowBreaks>
  <ignoredErrors>
    <ignoredError sqref="G14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H51"/>
  <sheetViews>
    <sheetView zoomScaleNormal="100" workbookViewId="0"/>
  </sheetViews>
  <sheetFormatPr defaultColWidth="9.453125" defaultRowHeight="12.5"/>
  <cols>
    <col min="1" max="1" width="4.54296875" style="234" customWidth="1"/>
    <col min="2" max="2" width="14" style="233" customWidth="1"/>
    <col min="3" max="3" width="26.54296875" style="233" customWidth="1"/>
    <col min="4" max="4" width="28.54296875" style="233" customWidth="1"/>
    <col min="5" max="5" width="16.453125" style="233" bestFit="1" customWidth="1"/>
    <col min="6" max="6" width="20.54296875" style="592" customWidth="1"/>
    <col min="7" max="7" width="9.54296875" style="233" customWidth="1"/>
    <col min="8" max="16384" width="9.453125" style="233"/>
  </cols>
  <sheetData>
    <row r="1" spans="1:8" ht="13">
      <c r="A1" s="47" t="s">
        <v>2351</v>
      </c>
      <c r="C1" s="47"/>
      <c r="D1" s="47"/>
      <c r="E1" s="47"/>
    </row>
    <row r="2" spans="1:8" ht="13">
      <c r="A2" s="47"/>
      <c r="C2" s="39" t="s">
        <v>200</v>
      </c>
      <c r="D2" s="240" t="s">
        <v>2352</v>
      </c>
      <c r="E2" s="113" t="s">
        <v>655</v>
      </c>
      <c r="F2" s="803">
        <v>2025</v>
      </c>
    </row>
    <row r="3" spans="1:8" ht="13">
      <c r="B3" s="47" t="s">
        <v>2353</v>
      </c>
      <c r="C3" s="47"/>
      <c r="D3" s="657"/>
      <c r="E3" s="47"/>
    </row>
    <row r="4" spans="1:8" ht="13">
      <c r="A4" s="30" t="s">
        <v>282</v>
      </c>
      <c r="C4" s="661"/>
      <c r="D4" s="657"/>
      <c r="E4" s="3" t="s">
        <v>852</v>
      </c>
      <c r="F4" s="600" t="s">
        <v>103</v>
      </c>
    </row>
    <row r="5" spans="1:8" ht="13">
      <c r="A5" s="115">
        <v>1</v>
      </c>
      <c r="B5" s="276" t="s">
        <v>2354</v>
      </c>
      <c r="C5" s="276"/>
      <c r="E5" s="396">
        <v>69777334.915305972</v>
      </c>
      <c r="F5" s="550" t="s">
        <v>590</v>
      </c>
    </row>
    <row r="6" spans="1:8" ht="13">
      <c r="A6" s="115">
        <v>2</v>
      </c>
      <c r="B6" s="233" t="s">
        <v>2355</v>
      </c>
      <c r="E6" s="36">
        <f>E7-E5</f>
        <v>277458326.08469403</v>
      </c>
      <c r="F6" s="550" t="s">
        <v>2356</v>
      </c>
      <c r="H6" s="550"/>
    </row>
    <row r="7" spans="1:8" ht="13">
      <c r="A7" s="115">
        <v>3</v>
      </c>
      <c r="B7" s="233" t="s">
        <v>2357</v>
      </c>
      <c r="C7" s="276"/>
      <c r="D7" s="276"/>
      <c r="E7" s="263">
        <v>347235661</v>
      </c>
      <c r="F7" s="232" t="s">
        <v>2358</v>
      </c>
      <c r="H7" s="550"/>
    </row>
    <row r="8" spans="1:8" ht="14">
      <c r="A8" s="601"/>
      <c r="B8" s="593"/>
      <c r="C8" s="594"/>
      <c r="D8" s="594"/>
      <c r="E8" s="591"/>
      <c r="F8" s="595"/>
      <c r="G8" s="596"/>
    </row>
    <row r="9" spans="1:8" ht="14">
      <c r="A9" s="601"/>
      <c r="B9" s="47" t="s">
        <v>2359</v>
      </c>
      <c r="C9" s="594"/>
      <c r="D9" s="594"/>
      <c r="E9" s="591"/>
      <c r="F9" s="597"/>
      <c r="G9" s="596"/>
    </row>
    <row r="10" spans="1:8" ht="14">
      <c r="A10" s="2"/>
      <c r="B10" s="276"/>
      <c r="C10" s="276"/>
      <c r="D10" s="276"/>
      <c r="E10" s="261"/>
      <c r="F10" s="597"/>
      <c r="G10" s="596"/>
    </row>
    <row r="11" spans="1:8" ht="14">
      <c r="A11" s="2">
        <v>4</v>
      </c>
      <c r="B11" s="276" t="s">
        <v>2354</v>
      </c>
      <c r="C11" s="276"/>
      <c r="D11" s="276"/>
      <c r="E11" s="519">
        <v>62317606.726458833</v>
      </c>
      <c r="F11" s="550" t="s">
        <v>356</v>
      </c>
      <c r="G11" s="596"/>
    </row>
    <row r="12" spans="1:8" ht="14">
      <c r="A12" s="2">
        <v>5</v>
      </c>
      <c r="B12" s="276" t="s">
        <v>2355</v>
      </c>
      <c r="C12" s="276"/>
      <c r="D12" s="276"/>
      <c r="E12" s="36">
        <f>E13-E11</f>
        <v>317449478.27354115</v>
      </c>
      <c r="F12" s="550" t="s">
        <v>2360</v>
      </c>
      <c r="G12" s="596"/>
    </row>
    <row r="13" spans="1:8" ht="14">
      <c r="A13" s="2">
        <v>6</v>
      </c>
      <c r="B13" s="233" t="s">
        <v>2357</v>
      </c>
      <c r="C13" s="276"/>
      <c r="D13" s="276"/>
      <c r="E13" s="263">
        <v>379767085</v>
      </c>
      <c r="F13" s="232" t="s">
        <v>2361</v>
      </c>
      <c r="G13" s="596"/>
    </row>
    <row r="14" spans="1:8" ht="13">
      <c r="A14" s="115"/>
      <c r="B14" s="276"/>
      <c r="C14" s="276"/>
      <c r="D14" s="276"/>
      <c r="E14" s="261"/>
      <c r="F14" s="550"/>
    </row>
    <row r="15" spans="1:8" ht="13">
      <c r="A15" s="115">
        <v>7</v>
      </c>
      <c r="B15" s="276" t="s">
        <v>2362</v>
      </c>
      <c r="C15" s="276"/>
      <c r="D15" s="276"/>
      <c r="E15" s="261">
        <f>(E5+E11)/2</f>
        <v>66047470.820882402</v>
      </c>
      <c r="F15" s="232" t="str">
        <f>"(Line "&amp;A5&amp;" + Line "&amp;A11&amp;") / 2"</f>
        <v>(Line 1 + Line 4) / 2</v>
      </c>
      <c r="G15" s="361"/>
    </row>
    <row r="16" spans="1:8" ht="13">
      <c r="A16" s="115"/>
      <c r="D16" s="192"/>
      <c r="E16" s="261"/>
      <c r="F16" s="550"/>
    </row>
    <row r="17" spans="1:6" ht="13">
      <c r="A17" s="115">
        <v>8</v>
      </c>
      <c r="B17" s="233" t="s">
        <v>2363</v>
      </c>
      <c r="E17" s="1033">
        <v>8487510.6330953706</v>
      </c>
      <c r="F17" s="550" t="s">
        <v>357</v>
      </c>
    </row>
    <row r="18" spans="1:6" ht="13">
      <c r="A18" s="115">
        <v>9</v>
      </c>
      <c r="B18" s="233" t="s">
        <v>2364</v>
      </c>
      <c r="E18" s="36">
        <f>E19-E17</f>
        <v>781661946.36690462</v>
      </c>
      <c r="F18" s="550" t="s">
        <v>2365</v>
      </c>
    </row>
    <row r="19" spans="1:6" ht="13">
      <c r="A19" s="115">
        <v>10</v>
      </c>
      <c r="B19" s="233" t="s">
        <v>2366</v>
      </c>
      <c r="E19" s="263">
        <v>790149457</v>
      </c>
      <c r="F19" s="232" t="s">
        <v>2367</v>
      </c>
    </row>
    <row r="22" spans="1:6" ht="13">
      <c r="A22" s="30" t="s">
        <v>233</v>
      </c>
    </row>
    <row r="23" spans="1:6">
      <c r="A23" s="234">
        <v>1</v>
      </c>
      <c r="B23" s="233" t="s">
        <v>2368</v>
      </c>
    </row>
    <row r="24" spans="1:6">
      <c r="A24" s="234">
        <v>2</v>
      </c>
      <c r="B24" s="233" t="s">
        <v>2369</v>
      </c>
    </row>
    <row r="25" spans="1:6">
      <c r="A25" s="234">
        <v>3</v>
      </c>
      <c r="B25" s="233" t="s">
        <v>2370</v>
      </c>
    </row>
    <row r="26" spans="1:6">
      <c r="A26" s="234">
        <v>4</v>
      </c>
      <c r="B26" s="233" t="s">
        <v>2371</v>
      </c>
      <c r="E26" s="598"/>
    </row>
    <row r="27" spans="1:6">
      <c r="B27" s="233" t="s">
        <v>2372</v>
      </c>
      <c r="E27" s="598"/>
    </row>
    <row r="28" spans="1:6">
      <c r="E28" s="598"/>
    </row>
    <row r="29" spans="1:6">
      <c r="A29" s="233"/>
      <c r="E29" s="598"/>
    </row>
    <row r="30" spans="1:6">
      <c r="A30" s="233"/>
      <c r="E30" s="598"/>
    </row>
    <row r="31" spans="1:6">
      <c r="A31" s="233"/>
      <c r="E31" s="598"/>
    </row>
    <row r="32" spans="1:6">
      <c r="A32" s="233"/>
      <c r="E32" s="598"/>
    </row>
    <row r="36" spans="1:5">
      <c r="A36" s="233"/>
      <c r="C36" s="599"/>
      <c r="D36" s="599"/>
      <c r="E36" s="599"/>
    </row>
    <row r="37" spans="1:5">
      <c r="A37" s="233"/>
      <c r="C37" s="599"/>
      <c r="D37" s="599"/>
      <c r="E37" s="599"/>
    </row>
    <row r="38" spans="1:5">
      <c r="A38" s="233"/>
      <c r="C38" s="599"/>
      <c r="D38" s="599"/>
      <c r="E38" s="599"/>
    </row>
    <row r="39" spans="1:5">
      <c r="A39" s="233"/>
      <c r="C39" s="599"/>
      <c r="D39" s="599"/>
      <c r="E39" s="599"/>
    </row>
    <row r="40" spans="1:5">
      <c r="A40" s="233"/>
      <c r="C40" s="599"/>
      <c r="D40" s="599"/>
      <c r="E40" s="599"/>
    </row>
    <row r="41" spans="1:5">
      <c r="A41" s="233"/>
      <c r="C41" s="599"/>
      <c r="D41" s="599"/>
      <c r="E41" s="599"/>
    </row>
    <row r="42" spans="1:5">
      <c r="A42" s="233"/>
      <c r="C42" s="599"/>
      <c r="D42" s="599"/>
      <c r="E42" s="599"/>
    </row>
    <row r="43" spans="1:5">
      <c r="A43" s="233"/>
      <c r="C43" s="599"/>
      <c r="D43" s="599"/>
      <c r="E43" s="599"/>
    </row>
    <row r="44" spans="1:5">
      <c r="A44" s="233"/>
      <c r="C44" s="599"/>
      <c r="D44" s="599"/>
      <c r="E44" s="599"/>
    </row>
    <row r="45" spans="1:5">
      <c r="A45" s="233"/>
      <c r="C45" s="599"/>
      <c r="D45" s="599"/>
      <c r="E45" s="599"/>
    </row>
    <row r="46" spans="1:5">
      <c r="A46" s="233"/>
      <c r="C46" s="599"/>
      <c r="D46" s="599"/>
      <c r="E46" s="599"/>
    </row>
    <row r="47" spans="1:5">
      <c r="A47" s="233"/>
      <c r="C47" s="599"/>
      <c r="D47" s="599"/>
      <c r="E47" s="599"/>
    </row>
    <row r="48" spans="1:5">
      <c r="A48" s="233"/>
      <c r="C48" s="599"/>
      <c r="D48" s="599"/>
      <c r="E48" s="599"/>
    </row>
    <row r="51" spans="1:5">
      <c r="A51" s="233"/>
      <c r="E51" s="599"/>
    </row>
  </sheetData>
  <pageMargins left="0.7" right="0.7" top="0.75" bottom="0.75" header="0.3" footer="0.3"/>
  <pageSetup fitToHeight="0" orientation="landscape" cellComments="asDisplayed" r:id="rId1"/>
  <headerFooter>
    <oddHeader>&amp;CSchedule 22
Network Upgrade Credits and Interest Expense
&amp;RTO2027 Draft Annual Update 
Attachment 1</oddHead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39"/>
  <sheetViews>
    <sheetView zoomScaleNormal="10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7" ht="13">
      <c r="A1" s="288" t="s">
        <v>2373</v>
      </c>
      <c r="B1" s="289"/>
      <c r="C1" s="289"/>
      <c r="D1" s="289"/>
      <c r="E1" s="289"/>
      <c r="F1" s="289"/>
      <c r="G1" s="289"/>
    </row>
    <row r="3" spans="1:7" ht="13">
      <c r="A3" s="290" t="s">
        <v>282</v>
      </c>
      <c r="B3" s="289"/>
      <c r="C3" s="289"/>
      <c r="D3" s="289"/>
      <c r="E3" s="289"/>
      <c r="F3" s="289"/>
      <c r="G3" s="289"/>
    </row>
    <row r="4" spans="1:7" ht="13">
      <c r="A4" s="291">
        <v>1</v>
      </c>
      <c r="B4" s="289" t="s">
        <v>2374</v>
      </c>
      <c r="C4" s="289"/>
      <c r="D4" s="289"/>
      <c r="E4" s="289"/>
      <c r="F4" s="289"/>
      <c r="G4" s="289"/>
    </row>
    <row r="5" spans="1:7" ht="13">
      <c r="A5" s="291">
        <v>2</v>
      </c>
      <c r="B5" s="289" t="s">
        <v>2375</v>
      </c>
      <c r="C5" s="289"/>
      <c r="D5" s="289"/>
      <c r="E5" s="289"/>
      <c r="F5" s="289"/>
      <c r="G5" s="289"/>
    </row>
    <row r="6" spans="1:7" ht="13">
      <c r="A6" s="291">
        <v>3</v>
      </c>
      <c r="B6" s="289" t="s">
        <v>2376</v>
      </c>
      <c r="C6" s="289"/>
      <c r="D6" s="289"/>
      <c r="E6" s="289"/>
      <c r="F6" s="289"/>
      <c r="G6" s="289"/>
    </row>
    <row r="7" spans="1:7" ht="13">
      <c r="A7" s="291">
        <v>4</v>
      </c>
      <c r="B7" s="289"/>
      <c r="C7" s="289"/>
      <c r="D7" s="289"/>
      <c r="E7" s="289"/>
      <c r="F7" s="289"/>
      <c r="G7" s="289"/>
    </row>
    <row r="8" spans="1:7" ht="13">
      <c r="A8" s="291">
        <v>5</v>
      </c>
      <c r="B8" s="289" t="s">
        <v>2377</v>
      </c>
      <c r="C8" s="289"/>
      <c r="D8" s="289"/>
      <c r="E8" s="289"/>
      <c r="F8" s="289"/>
      <c r="G8" s="289"/>
    </row>
    <row r="9" spans="1:7" ht="13">
      <c r="A9" s="291">
        <v>6</v>
      </c>
      <c r="B9" s="289" t="s">
        <v>2378</v>
      </c>
      <c r="C9" s="289"/>
      <c r="D9" s="289"/>
      <c r="E9" s="289"/>
      <c r="F9" s="289"/>
      <c r="G9" s="289"/>
    </row>
    <row r="10" spans="1:7" ht="13">
      <c r="A10" s="291">
        <v>7</v>
      </c>
      <c r="B10" s="289"/>
      <c r="C10" s="289"/>
      <c r="D10" s="289"/>
      <c r="E10" s="289"/>
      <c r="F10" s="289"/>
      <c r="G10" s="289"/>
    </row>
    <row r="11" spans="1:7" ht="13">
      <c r="A11" s="291">
        <v>8</v>
      </c>
      <c r="B11" s="289" t="s">
        <v>2379</v>
      </c>
      <c r="C11" s="289"/>
      <c r="D11" s="289"/>
      <c r="E11" s="289"/>
      <c r="F11" s="289"/>
      <c r="G11" s="289"/>
    </row>
    <row r="12" spans="1:7" ht="13">
      <c r="A12" s="291">
        <v>9</v>
      </c>
      <c r="B12" s="289" t="s">
        <v>2380</v>
      </c>
      <c r="C12" s="289"/>
      <c r="D12" s="289"/>
      <c r="E12" s="289"/>
      <c r="F12" s="289"/>
      <c r="G12" s="289"/>
    </row>
    <row r="13" spans="1:7" ht="13">
      <c r="A13" s="291">
        <v>10</v>
      </c>
      <c r="B13" s="289" t="s">
        <v>2381</v>
      </c>
      <c r="C13" s="289"/>
      <c r="D13" s="289"/>
      <c r="E13" s="289"/>
      <c r="F13" s="289"/>
      <c r="G13" s="289"/>
    </row>
    <row r="14" spans="1:7" ht="13">
      <c r="A14" s="291">
        <v>11</v>
      </c>
      <c r="B14" s="289"/>
      <c r="C14" s="289"/>
      <c r="D14" s="289"/>
      <c r="E14" s="289"/>
      <c r="F14" s="289"/>
      <c r="G14" s="289"/>
    </row>
    <row r="15" spans="1:7" ht="13">
      <c r="A15" s="291">
        <v>12</v>
      </c>
      <c r="B15" s="289"/>
      <c r="C15" s="289"/>
      <c r="D15" s="289"/>
      <c r="E15" s="291" t="s">
        <v>921</v>
      </c>
      <c r="F15" s="289"/>
      <c r="G15" s="289"/>
    </row>
    <row r="16" spans="1:7" ht="13">
      <c r="A16" s="291">
        <v>13</v>
      </c>
      <c r="B16" s="289"/>
      <c r="C16" s="289"/>
      <c r="D16" s="289"/>
      <c r="E16" s="292" t="s">
        <v>81</v>
      </c>
      <c r="F16" s="289"/>
      <c r="G16" s="293" t="s">
        <v>2382</v>
      </c>
    </row>
    <row r="17" spans="1:8" ht="13">
      <c r="A17" s="291">
        <v>14</v>
      </c>
      <c r="B17" s="289" t="s">
        <v>2383</v>
      </c>
      <c r="C17" s="289"/>
      <c r="D17" s="289"/>
      <c r="E17" s="294">
        <f>D29</f>
        <v>0</v>
      </c>
      <c r="F17" s="289"/>
      <c r="G17" s="289" t="s">
        <v>2384</v>
      </c>
    </row>
    <row r="18" spans="1:8" ht="13">
      <c r="A18" s="291">
        <v>15</v>
      </c>
      <c r="B18" s="289" t="s">
        <v>2385</v>
      </c>
      <c r="C18" s="289"/>
      <c r="D18" s="289"/>
      <c r="E18" s="294">
        <f>(C29+D29)/2</f>
        <v>0</v>
      </c>
      <c r="F18" s="289"/>
      <c r="G18" s="289" t="s">
        <v>2386</v>
      </c>
    </row>
    <row r="19" spans="1:8" ht="13">
      <c r="A19" s="291">
        <v>16</v>
      </c>
      <c r="B19" s="289" t="s">
        <v>2387</v>
      </c>
      <c r="C19" s="289"/>
      <c r="D19" s="289"/>
      <c r="E19" s="294">
        <f>E29</f>
        <v>0</v>
      </c>
      <c r="F19" s="289"/>
      <c r="G19" s="289" t="s">
        <v>2388</v>
      </c>
    </row>
    <row r="20" spans="1:8" ht="13">
      <c r="A20" s="291"/>
      <c r="B20" s="289"/>
      <c r="C20" s="289"/>
      <c r="D20" s="289"/>
      <c r="E20" s="294"/>
      <c r="F20" s="289"/>
      <c r="G20" s="289"/>
    </row>
    <row r="21" spans="1:8" ht="13">
      <c r="A21" s="291"/>
      <c r="B21" s="289"/>
      <c r="C21" s="371" t="s">
        <v>345</v>
      </c>
      <c r="D21" s="371" t="s">
        <v>346</v>
      </c>
      <c r="E21" s="371" t="s">
        <v>347</v>
      </c>
      <c r="F21" s="289"/>
      <c r="G21" s="289"/>
    </row>
    <row r="22" spans="1:8" ht="13">
      <c r="A22" s="291"/>
      <c r="B22" s="289"/>
      <c r="C22" s="291" t="s">
        <v>921</v>
      </c>
      <c r="D22" s="291" t="s">
        <v>921</v>
      </c>
      <c r="E22" s="291" t="s">
        <v>921</v>
      </c>
      <c r="F22" s="289"/>
      <c r="G22" s="289"/>
    </row>
    <row r="23" spans="1:8" ht="14.5">
      <c r="A23" s="291"/>
      <c r="B23" s="291" t="s">
        <v>2389</v>
      </c>
      <c r="C23" s="291" t="s">
        <v>861</v>
      </c>
      <c r="D23" s="291" t="s">
        <v>1193</v>
      </c>
      <c r="E23" s="186" t="s">
        <v>2390</v>
      </c>
      <c r="F23" s="289"/>
      <c r="G23" s="288" t="s">
        <v>2391</v>
      </c>
      <c r="H23" s="233"/>
    </row>
    <row r="24" spans="1:8" ht="13">
      <c r="A24" s="291"/>
      <c r="B24" s="291" t="s">
        <v>2392</v>
      </c>
      <c r="C24" s="291" t="s">
        <v>2393</v>
      </c>
      <c r="D24" s="291" t="s">
        <v>2393</v>
      </c>
      <c r="E24" s="291" t="s">
        <v>2394</v>
      </c>
      <c r="F24" s="289"/>
      <c r="G24" s="288" t="s">
        <v>2395</v>
      </c>
      <c r="H24" s="233"/>
    </row>
    <row r="25" spans="1:8" ht="13">
      <c r="A25" s="291"/>
      <c r="B25" s="292" t="s">
        <v>2396</v>
      </c>
      <c r="C25" s="292" t="s">
        <v>2396</v>
      </c>
      <c r="D25" s="292" t="s">
        <v>2396</v>
      </c>
      <c r="E25" s="292" t="s">
        <v>2397</v>
      </c>
      <c r="F25" s="289"/>
      <c r="G25" s="290" t="s">
        <v>2398</v>
      </c>
      <c r="H25" s="233"/>
    </row>
    <row r="26" spans="1:8" ht="13">
      <c r="A26" s="291">
        <v>17</v>
      </c>
      <c r="B26" s="295"/>
      <c r="C26" s="296"/>
      <c r="D26" s="296"/>
      <c r="E26" s="296"/>
      <c r="F26" s="289"/>
      <c r="G26" s="295"/>
      <c r="H26" s="54"/>
    </row>
    <row r="27" spans="1:8" ht="13">
      <c r="A27" s="291">
        <v>18</v>
      </c>
      <c r="B27" s="295"/>
      <c r="C27" s="296"/>
      <c r="D27" s="296"/>
      <c r="E27" s="296"/>
      <c r="F27" s="289"/>
      <c r="G27" s="295"/>
      <c r="H27" s="54"/>
    </row>
    <row r="28" spans="1:8" ht="13">
      <c r="A28" s="291">
        <v>19</v>
      </c>
      <c r="B28" s="295"/>
      <c r="C28" s="297"/>
      <c r="D28" s="297"/>
      <c r="E28" s="297"/>
      <c r="F28" s="289"/>
      <c r="G28" s="295"/>
      <c r="H28" s="54"/>
    </row>
    <row r="29" spans="1:8" ht="13">
      <c r="A29" s="291">
        <v>20</v>
      </c>
      <c r="B29" s="289" t="s">
        <v>440</v>
      </c>
      <c r="C29" s="294">
        <f>SUM(C26:C28)</f>
        <v>0</v>
      </c>
      <c r="D29" s="294">
        <f>SUM(D26:D28)</f>
        <v>0</v>
      </c>
      <c r="E29" s="294">
        <f>SUM(E26:E28)</f>
        <v>0</v>
      </c>
      <c r="F29" s="289"/>
      <c r="G29" s="289" t="s">
        <v>2399</v>
      </c>
    </row>
    <row r="30" spans="1:8" ht="13">
      <c r="A30" s="291"/>
      <c r="B30" s="289"/>
      <c r="C30" s="289"/>
      <c r="D30" s="289"/>
      <c r="E30" s="289"/>
      <c r="F30" s="289"/>
      <c r="G30" s="289"/>
    </row>
    <row r="31" spans="1:8" ht="13">
      <c r="A31" s="291"/>
      <c r="B31" s="288" t="s">
        <v>442</v>
      </c>
      <c r="C31" s="289"/>
      <c r="D31" s="289"/>
      <c r="E31" s="289"/>
      <c r="F31" s="289"/>
      <c r="G31" s="289"/>
    </row>
    <row r="32" spans="1:8" ht="13">
      <c r="A32" s="291"/>
      <c r="B32" s="289" t="s">
        <v>2400</v>
      </c>
      <c r="C32" s="289"/>
      <c r="D32" s="289"/>
      <c r="E32" s="289"/>
      <c r="F32" s="289"/>
      <c r="G32" s="289"/>
    </row>
    <row r="33" spans="1:5" ht="13">
      <c r="A33" s="291"/>
      <c r="B33" s="289" t="s">
        <v>2401</v>
      </c>
    </row>
    <row r="34" spans="1:5" ht="13">
      <c r="A34" s="291"/>
      <c r="B34" s="500" t="s">
        <v>2402</v>
      </c>
    </row>
    <row r="35" spans="1:5" ht="13">
      <c r="A35" s="291"/>
      <c r="B35" s="500" t="s">
        <v>2403</v>
      </c>
      <c r="E35" s="233"/>
    </row>
    <row r="36" spans="1:5" ht="13">
      <c r="A36" s="291"/>
      <c r="B36" s="289" t="s">
        <v>2404</v>
      </c>
    </row>
    <row r="37" spans="1:5" ht="13">
      <c r="A37" s="291"/>
    </row>
    <row r="38" spans="1:5" ht="13">
      <c r="A38" s="291"/>
      <c r="B38" s="289"/>
    </row>
    <row r="39" spans="1:5" ht="13">
      <c r="A39" s="291"/>
      <c r="B39" s="289"/>
    </row>
  </sheetData>
  <pageMargins left="0.7" right="0.7" top="0.75" bottom="0.75" header="0.3" footer="0.3"/>
  <pageSetup fitToHeight="0" orientation="landscape" cellComments="asDisplayed" r:id="rId1"/>
  <headerFooter>
    <oddHeader>&amp;CSchedule 23
Regulatory Assets and Liabilities
&amp;RTO2027 Draft Annual Update 
Attachment 1</oddHead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zoomScaleNormal="100" workbookViewId="0"/>
  </sheetViews>
  <sheetFormatPr defaultRowHeight="12.5"/>
  <cols>
    <col min="1" max="1" width="3.54296875" customWidth="1"/>
    <col min="2" max="2" width="45.54296875" customWidth="1"/>
    <col min="3" max="3" width="15.1796875" customWidth="1"/>
  </cols>
  <sheetData>
    <row r="1" spans="1:5" ht="13">
      <c r="A1" s="1" t="s">
        <v>78</v>
      </c>
    </row>
    <row r="3" spans="1:5">
      <c r="A3" s="233" t="s">
        <v>79</v>
      </c>
    </row>
    <row r="5" spans="1:5" ht="13">
      <c r="B5" s="3" t="s">
        <v>80</v>
      </c>
      <c r="C5" s="3" t="s">
        <v>81</v>
      </c>
    </row>
    <row r="6" spans="1:5">
      <c r="B6" t="s">
        <v>82</v>
      </c>
      <c r="C6" s="6">
        <f>'1-BaseTRR'!K144</f>
        <v>1387678681.4550705</v>
      </c>
    </row>
    <row r="7" spans="1:5">
      <c r="B7" t="s">
        <v>83</v>
      </c>
      <c r="C7" s="6">
        <f>'1-BaseTRR'!K150</f>
        <v>118708213.20057392</v>
      </c>
    </row>
    <row r="8" spans="1:5" ht="13">
      <c r="B8" t="s">
        <v>84</v>
      </c>
      <c r="C8" s="235">
        <f>'1-BaseTRR'!K151</f>
        <v>164914945.36542338</v>
      </c>
      <c r="E8" s="1"/>
    </row>
    <row r="9" spans="1:5" ht="13">
      <c r="B9" s="233" t="s">
        <v>85</v>
      </c>
      <c r="C9" s="235">
        <f>'1-BaseTRR'!K152</f>
        <v>-11785476.953691881</v>
      </c>
      <c r="E9" s="1"/>
    </row>
    <row r="10" spans="1:5" ht="13">
      <c r="B10" s="233" t="s">
        <v>86</v>
      </c>
      <c r="C10" s="53">
        <f>'1-BaseTRR'!K153</f>
        <v>0</v>
      </c>
      <c r="E10" s="1"/>
    </row>
    <row r="11" spans="1:5">
      <c r="B11" t="s">
        <v>87</v>
      </c>
      <c r="C11" s="6">
        <f>SUM(C6:C10)</f>
        <v>1659516363.0673759</v>
      </c>
    </row>
    <row r="13" spans="1:5">
      <c r="A13" t="s">
        <v>88</v>
      </c>
    </row>
    <row r="15" spans="1:5">
      <c r="B15" t="s">
        <v>89</v>
      </c>
    </row>
    <row r="16" spans="1:5">
      <c r="B16" s="232" t="s">
        <v>90</v>
      </c>
    </row>
    <row r="17" spans="2:7">
      <c r="B17" s="12"/>
    </row>
    <row r="18" spans="2:7">
      <c r="B18" t="s">
        <v>91</v>
      </c>
    </row>
    <row r="19" spans="2:7">
      <c r="B19" s="233" t="s">
        <v>92</v>
      </c>
    </row>
    <row r="20" spans="2:7">
      <c r="B20" s="12"/>
    </row>
    <row r="21" spans="2:7">
      <c r="B21" s="38" t="s">
        <v>93</v>
      </c>
    </row>
    <row r="22" spans="2:7">
      <c r="B22" s="232" t="s">
        <v>94</v>
      </c>
    </row>
    <row r="23" spans="2:7">
      <c r="B23" s="232"/>
    </row>
    <row r="24" spans="2:7">
      <c r="B24" s="276" t="s">
        <v>95</v>
      </c>
      <c r="C24" s="233"/>
      <c r="D24" s="233"/>
      <c r="E24" s="233"/>
      <c r="F24" s="233"/>
      <c r="G24" s="233"/>
    </row>
    <row r="25" spans="2:7">
      <c r="B25" s="232" t="s">
        <v>96</v>
      </c>
      <c r="C25" s="233"/>
      <c r="D25" s="233"/>
      <c r="E25" s="233"/>
      <c r="F25" s="233"/>
      <c r="G25" s="233"/>
    </row>
    <row r="27" spans="2:7">
      <c r="B27" s="233" t="s">
        <v>97</v>
      </c>
    </row>
  </sheetData>
  <phoneticPr fontId="26" type="noConversion"/>
  <pageMargins left="0.75" right="0.75" top="1.25" bottom="1" header="0.5" footer="0.5"/>
  <pageSetup orientation="landscape" r:id="rId1"/>
  <headerFooter alignWithMargins="0">
    <oddHeader>&amp;COverview
&amp;RTO2027 Draft Annual Update 
Attachment 1</oddHead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13"/>
  <sheetViews>
    <sheetView zoomScaleNormal="100" workbookViewId="0"/>
  </sheetViews>
  <sheetFormatPr defaultRowHeight="12.5"/>
  <cols>
    <col min="1" max="2" width="4.54296875" customWidth="1"/>
    <col min="3" max="3" width="28.54296875" customWidth="1"/>
    <col min="4" max="8" width="14.54296875" customWidth="1"/>
  </cols>
  <sheetData>
    <row r="1" spans="1:9" ht="14.5">
      <c r="A1" s="1" t="s">
        <v>2405</v>
      </c>
      <c r="I1" s="186"/>
    </row>
    <row r="3" spans="1:9" ht="13">
      <c r="B3" s="1" t="s">
        <v>2406</v>
      </c>
    </row>
    <row r="4" spans="1:9" ht="13">
      <c r="B4" s="1"/>
    </row>
    <row r="5" spans="1:9" ht="13">
      <c r="B5" s="1"/>
      <c r="C5" s="1" t="s">
        <v>2407</v>
      </c>
      <c r="D5" s="48" t="s">
        <v>345</v>
      </c>
      <c r="E5" s="48" t="s">
        <v>346</v>
      </c>
      <c r="F5" s="48" t="s">
        <v>347</v>
      </c>
    </row>
    <row r="6" spans="1:9" ht="14.5">
      <c r="D6" s="120" t="s">
        <v>921</v>
      </c>
      <c r="E6" s="120" t="s">
        <v>921</v>
      </c>
      <c r="F6" s="120" t="s">
        <v>1081</v>
      </c>
    </row>
    <row r="7" spans="1:9" ht="14.5">
      <c r="C7" s="1"/>
      <c r="D7" s="120" t="s">
        <v>1193</v>
      </c>
      <c r="E7" s="120" t="s">
        <v>863</v>
      </c>
      <c r="F7" s="120" t="s">
        <v>633</v>
      </c>
    </row>
    <row r="8" spans="1:9" ht="13">
      <c r="A8" s="3" t="s">
        <v>282</v>
      </c>
      <c r="C8" s="3" t="s">
        <v>1175</v>
      </c>
      <c r="D8" s="3" t="s">
        <v>81</v>
      </c>
      <c r="E8" s="3" t="s">
        <v>81</v>
      </c>
      <c r="F8" s="3" t="s">
        <v>81</v>
      </c>
      <c r="G8" s="3" t="s">
        <v>684</v>
      </c>
    </row>
    <row r="9" spans="1:9" ht="13">
      <c r="A9" s="2">
        <v>1</v>
      </c>
      <c r="C9" s="231" t="s">
        <v>2408</v>
      </c>
      <c r="D9" s="6">
        <f>'10-CWIP'!E25</f>
        <v>0</v>
      </c>
      <c r="E9" s="6">
        <f>'10-CWIP'!E26</f>
        <v>344534.58538461541</v>
      </c>
      <c r="F9" s="6">
        <f>'10-CWIP'!K113</f>
        <v>0</v>
      </c>
      <c r="G9" s="232" t="str">
        <f>"10-CWIP, Lines "&amp;'10-CWIP'!A25&amp;", "&amp;'10-CWIP'!A26&amp;", "&amp;'10-CWIP'!A113&amp;""</f>
        <v>10-CWIP, Lines 13, 14, 80</v>
      </c>
    </row>
    <row r="10" spans="1:9" ht="13">
      <c r="A10" s="2">
        <f>A9+1</f>
        <v>2</v>
      </c>
      <c r="C10" s="231" t="s">
        <v>2409</v>
      </c>
      <c r="D10" s="6">
        <f>'10-CWIP'!F25</f>
        <v>0</v>
      </c>
      <c r="E10" s="6">
        <f>'10-CWIP'!F26</f>
        <v>0</v>
      </c>
      <c r="F10" s="6">
        <f>'10-CWIP'!K146</f>
        <v>0</v>
      </c>
      <c r="G10" s="232" t="str">
        <f>"10-CWIP, Lines "&amp;'10-CWIP'!A25&amp;", "&amp;'10-CWIP'!A26&amp;", "&amp;'10-CWIP'!A146&amp;""</f>
        <v>10-CWIP, Lines 13, 14, 106</v>
      </c>
    </row>
    <row r="11" spans="1:9" ht="13">
      <c r="A11" s="2">
        <f t="shared" ref="A11:A20" si="0">A10+1</f>
        <v>3</v>
      </c>
      <c r="C11" s="231" t="s">
        <v>2410</v>
      </c>
      <c r="D11" s="6">
        <f>'10-CWIP'!G25</f>
        <v>7677114.7000000002</v>
      </c>
      <c r="E11" s="6">
        <f>'10-CWIP'!G26</f>
        <v>7408254.4461538475</v>
      </c>
      <c r="F11" s="6">
        <f>'10-CWIP'!K179</f>
        <v>10146151.661538463</v>
      </c>
      <c r="G11" s="232" t="str">
        <f>"10-CWIP, Lines "&amp;'10-CWIP'!A25&amp;", "&amp;'10-CWIP'!A26&amp;", "&amp;'10-CWIP'!A179&amp;""</f>
        <v>10-CWIP, Lines 13, 14, 132</v>
      </c>
    </row>
    <row r="12" spans="1:9" ht="13">
      <c r="A12" s="2">
        <f t="shared" si="0"/>
        <v>4</v>
      </c>
      <c r="C12" s="231" t="s">
        <v>2411</v>
      </c>
      <c r="D12" s="6">
        <f>'10-CWIP'!H25</f>
        <v>7677191.9699999997</v>
      </c>
      <c r="E12" s="6">
        <f>'10-CWIP'!H26</f>
        <v>7452035.1115384605</v>
      </c>
      <c r="F12" s="6">
        <f>'10-CWIP'!K212</f>
        <v>-7677191.9699999997</v>
      </c>
      <c r="G12" s="232" t="str">
        <f>"10-CWIP, Lines "&amp;'10-CWIP'!A25&amp;", "&amp;'10-CWIP'!A26&amp;", "&amp;'10-CWIP'!A212&amp;""</f>
        <v>10-CWIP, Lines 13, 14, 158</v>
      </c>
    </row>
    <row r="13" spans="1:9" ht="13">
      <c r="A13" s="2">
        <f t="shared" si="0"/>
        <v>5</v>
      </c>
      <c r="C13" s="231" t="s">
        <v>2412</v>
      </c>
      <c r="D13" s="6">
        <f>'10-CWIP'!I25</f>
        <v>0</v>
      </c>
      <c r="E13" s="6">
        <f>'10-CWIP'!I26</f>
        <v>0</v>
      </c>
      <c r="F13" s="6">
        <f>'10-CWIP'!K245</f>
        <v>0</v>
      </c>
      <c r="G13" s="232" t="str">
        <f>"10-CWIP, Lines "&amp;'10-CWIP'!A25&amp;", "&amp;'10-CWIP'!A26&amp;", "&amp;'10-CWIP'!A245&amp;""</f>
        <v>10-CWIP, Lines 13, 14, 184</v>
      </c>
    </row>
    <row r="14" spans="1:9" ht="13">
      <c r="A14" s="2">
        <f t="shared" si="0"/>
        <v>6</v>
      </c>
      <c r="C14" s="231" t="s">
        <v>2413</v>
      </c>
      <c r="D14" s="6">
        <f>'10-CWIP'!D45</f>
        <v>0</v>
      </c>
      <c r="E14" s="6">
        <f>'10-CWIP'!D46</f>
        <v>0</v>
      </c>
      <c r="F14" s="6">
        <f>'10-CWIP'!K278</f>
        <v>0</v>
      </c>
      <c r="G14" s="232" t="str">
        <f>"10-CWIP, Lines "&amp;'10-CWIP'!A45&amp;", "&amp;'10-CWIP'!A46&amp;", "&amp;'10-CWIP'!A278&amp;""</f>
        <v>10-CWIP, Lines 27, 28, 210</v>
      </c>
    </row>
    <row r="15" spans="1:9" ht="13">
      <c r="A15" s="2">
        <f t="shared" si="0"/>
        <v>7</v>
      </c>
      <c r="C15" s="231" t="s">
        <v>2414</v>
      </c>
      <c r="D15" s="6">
        <f>'10-CWIP'!E45</f>
        <v>0</v>
      </c>
      <c r="E15" s="6">
        <f>'10-CWIP'!E46</f>
        <v>0</v>
      </c>
      <c r="F15" s="6">
        <f>'10-CWIP'!K311</f>
        <v>0</v>
      </c>
      <c r="G15" s="232" t="str">
        <f>"10-CWIP, Lines "&amp;'10-CWIP'!A45&amp;", "&amp;'10-CWIP'!A46&amp;", "&amp;'10-CWIP'!A311&amp;""</f>
        <v>10-CWIP, Lines 27, 28, 236</v>
      </c>
    </row>
    <row r="16" spans="1:9" ht="13">
      <c r="A16" s="2">
        <f t="shared" si="0"/>
        <v>8</v>
      </c>
      <c r="C16" s="231" t="s">
        <v>2415</v>
      </c>
      <c r="D16" s="6">
        <f>'10-CWIP'!F45</f>
        <v>2395428.88</v>
      </c>
      <c r="E16" s="6">
        <f>'10-CWIP'!F46</f>
        <v>296333.71615384612</v>
      </c>
      <c r="F16" s="6">
        <f>'10-CWIP'!K344</f>
        <v>-1706195.2923076914</v>
      </c>
      <c r="G16" s="232" t="str">
        <f>"10-CWIP, Lines "&amp;'10-CWIP'!A45&amp;", "&amp;'10-CWIP'!A46&amp;", "&amp;'10-CWIP'!A344&amp;""</f>
        <v>10-CWIP, Lines 27, 28, 262</v>
      </c>
    </row>
    <row r="17" spans="1:7" ht="13">
      <c r="A17" s="2">
        <f t="shared" si="0"/>
        <v>9</v>
      </c>
      <c r="C17" s="231" t="s">
        <v>2416</v>
      </c>
      <c r="D17" s="6">
        <f>'10-CWIP'!G45</f>
        <v>36562002.280000001</v>
      </c>
      <c r="E17" s="6">
        <f>'10-CWIP'!G46</f>
        <v>32847126.547692306</v>
      </c>
      <c r="F17" s="6">
        <f>'10-CWIP'!K377</f>
        <v>16376433.52540384</v>
      </c>
      <c r="G17" s="232" t="str">
        <f>"10-CWIP, Lines "&amp;'10-CWIP'!A45&amp;", "&amp;'10-CWIP'!A46&amp;", "&amp;'10-CWIP'!A377&amp;""</f>
        <v>10-CWIP, Lines 27, 28, 288</v>
      </c>
    </row>
    <row r="18" spans="1:7" ht="13">
      <c r="A18" s="2">
        <f t="shared" si="0"/>
        <v>10</v>
      </c>
      <c r="C18" s="231" t="s">
        <v>2417</v>
      </c>
      <c r="D18" s="488">
        <f>'10-CWIP'!H45</f>
        <v>25140635.989999998</v>
      </c>
      <c r="E18" s="488">
        <f>'10-CWIP'!H46</f>
        <v>102790072.79384615</v>
      </c>
      <c r="F18" s="488">
        <f>'10-CWIP'!K410</f>
        <v>-25140635.990000006</v>
      </c>
      <c r="G18" s="232" t="str">
        <f>"10-CWIP, Lines "&amp;'10-CWIP'!A45&amp;", "&amp;'10-CWIP'!A46&amp;", "&amp;'10-CWIP'!A410&amp;""</f>
        <v>10-CWIP, Lines 27, 28, 314</v>
      </c>
    </row>
    <row r="19" spans="1:7" ht="13">
      <c r="A19" s="2">
        <f t="shared" si="0"/>
        <v>11</v>
      </c>
      <c r="C19" s="231" t="s">
        <v>2418</v>
      </c>
      <c r="D19" s="261">
        <f>'10-CWIP'!I45</f>
        <v>105498042.8</v>
      </c>
      <c r="E19" s="261">
        <f>'10-CWIP'!I46</f>
        <v>58920836.689230762</v>
      </c>
      <c r="F19" s="261">
        <f>'10-CWIP'!K443</f>
        <v>250282440.08192307</v>
      </c>
      <c r="G19" s="232" t="str">
        <f>"10-CWIP, Lines "&amp;'10-CWIP'!A45&amp;", "&amp;'10-CWIP'!A46&amp;", "&amp;'10-CWIP'!A443&amp;""</f>
        <v>10-CWIP, Lines 27, 28, 340</v>
      </c>
    </row>
    <row r="20" spans="1:7" ht="13">
      <c r="A20" s="2">
        <f t="shared" si="0"/>
        <v>12</v>
      </c>
      <c r="C20" s="231" t="s">
        <v>2419</v>
      </c>
      <c r="D20" s="261">
        <f>'10-CWIP'!J45</f>
        <v>3773552.79</v>
      </c>
      <c r="E20" s="261">
        <f>'10-CWIP'!J46</f>
        <v>2920349.4238461535</v>
      </c>
      <c r="F20" s="261">
        <f>'10-CWIP'!K476</f>
        <v>201923.70000000019</v>
      </c>
      <c r="G20" s="232" t="str">
        <f>"10-CWIP, Lines "&amp;'10-CWIP'!A45&amp;", "&amp;'10-CWIP'!A46&amp;", "&amp;'10-CWIP'!A476&amp;""</f>
        <v>10-CWIP, Lines 27, 28, 366</v>
      </c>
    </row>
    <row r="21" spans="1:7" ht="13">
      <c r="A21" s="2" t="s">
        <v>2015</v>
      </c>
      <c r="C21" s="231" t="s">
        <v>1078</v>
      </c>
      <c r="D21" s="261">
        <f>'10-CWIP'!K45</f>
        <v>4943069</v>
      </c>
      <c r="E21" s="261">
        <f>'10-CWIP'!K46</f>
        <v>3113031.4953846158</v>
      </c>
      <c r="F21" s="261">
        <f>'10-CWIP'!K509</f>
        <v>39984728.199615389</v>
      </c>
      <c r="G21" s="232" t="str">
        <f>"10-CWIP, Lines "&amp;'10-CWIP'!A45&amp;", "&amp;'10-CWIP'!A46&amp;", "&amp;'10-CWIP'!A509&amp;""</f>
        <v>10-CWIP, Lines 27, 28, 392</v>
      </c>
    </row>
    <row r="22" spans="1:7" ht="13">
      <c r="A22" s="2" t="s">
        <v>2017</v>
      </c>
      <c r="C22" s="789"/>
      <c r="D22" s="36">
        <f>'10-CWIP'!L45</f>
        <v>0</v>
      </c>
      <c r="E22" s="36">
        <f>'10-CWIP'!L45</f>
        <v>0</v>
      </c>
      <c r="F22" s="36">
        <v>0</v>
      </c>
      <c r="G22" s="232" t="str">
        <f>"10-CWIP, Lines "&amp;'10-CWIP'!A45&amp;", "&amp;'10-CWIP'!A46&amp;", "&amp;'10-CWIP'!A542&amp;""</f>
        <v>10-CWIP, Lines 27, 28, 418</v>
      </c>
    </row>
    <row r="23" spans="1:7" ht="13">
      <c r="A23" s="2">
        <f>A20+1</f>
        <v>13</v>
      </c>
      <c r="C23" s="231" t="s">
        <v>440</v>
      </c>
      <c r="D23" s="6">
        <f>SUM(D9:D21)</f>
        <v>193667038.41</v>
      </c>
      <c r="E23" s="6">
        <f>SUM(E9:E21)</f>
        <v>216092574.80923074</v>
      </c>
      <c r="F23" s="6">
        <f>SUM(F9:F21)</f>
        <v>282467653.91617304</v>
      </c>
      <c r="G23" s="232" t="str">
        <f>"Sum of Lines "&amp;A9&amp;" to "&amp;A20&amp;""</f>
        <v>Sum of Lines 1 to 12</v>
      </c>
    </row>
    <row r="24" spans="1:7" ht="13">
      <c r="A24" s="2"/>
      <c r="C24" s="1"/>
    </row>
    <row r="25" spans="1:7" ht="14.5">
      <c r="A25" s="2"/>
      <c r="C25" s="1" t="s">
        <v>2420</v>
      </c>
      <c r="D25" s="120" t="s">
        <v>1193</v>
      </c>
      <c r="E25" s="120" t="s">
        <v>863</v>
      </c>
      <c r="F25" s="232"/>
    </row>
    <row r="26" spans="1:7" ht="13">
      <c r="D26" s="3" t="s">
        <v>81</v>
      </c>
      <c r="E26" s="3" t="s">
        <v>81</v>
      </c>
      <c r="F26" s="3" t="s">
        <v>684</v>
      </c>
    </row>
    <row r="27" spans="1:7" ht="13">
      <c r="A27" s="2">
        <f>A23+1</f>
        <v>14</v>
      </c>
      <c r="C27" s="231" t="s">
        <v>2421</v>
      </c>
      <c r="D27" s="6">
        <f>D23</f>
        <v>193667038.41</v>
      </c>
      <c r="E27" s="6">
        <f>E23</f>
        <v>216092574.80923074</v>
      </c>
      <c r="F27" s="12" t="str">
        <f>"Line "&amp;A23&amp;""</f>
        <v>Line 13</v>
      </c>
    </row>
    <row r="28" spans="1:7" ht="13">
      <c r="A28" s="2">
        <f>A27+1</f>
        <v>15</v>
      </c>
      <c r="C28" s="231" t="s">
        <v>2422</v>
      </c>
      <c r="D28" s="7">
        <f>'1-BaseTRR'!K93</f>
        <v>7.4585819831451447E-2</v>
      </c>
      <c r="E28" s="7">
        <f>'1-BaseTRR'!K93</f>
        <v>7.4585819831451447E-2</v>
      </c>
      <c r="F28" s="12" t="str">
        <f>"1-BaseTRR, Line "&amp;'1-BaseTRR'!A93&amp;""</f>
        <v>1-BaseTRR, Line 54</v>
      </c>
    </row>
    <row r="29" spans="1:7" ht="13">
      <c r="A29" s="2">
        <f>A28+1</f>
        <v>16</v>
      </c>
      <c r="C29" s="25" t="s">
        <v>2423</v>
      </c>
      <c r="D29" s="6">
        <f>D27*D28</f>
        <v>14444814.834139047</v>
      </c>
      <c r="E29" s="6">
        <f>E27*E28</f>
        <v>16117441.851635728</v>
      </c>
      <c r="F29" s="12" t="str">
        <f>"Line "&amp;A27&amp;" * Line "&amp;A28&amp;""</f>
        <v>Line 14 * Line 15</v>
      </c>
    </row>
    <row r="31" spans="1:7" ht="13">
      <c r="C31" s="1" t="s">
        <v>2424</v>
      </c>
    </row>
    <row r="32" spans="1:7" ht="14.5">
      <c r="D32" s="120" t="s">
        <v>1193</v>
      </c>
      <c r="E32" s="120" t="s">
        <v>863</v>
      </c>
    </row>
    <row r="33" spans="1:7" ht="13">
      <c r="D33" s="3" t="s">
        <v>81</v>
      </c>
      <c r="E33" s="3" t="s">
        <v>81</v>
      </c>
      <c r="F33" s="3" t="s">
        <v>684</v>
      </c>
    </row>
    <row r="34" spans="1:7" ht="14.5">
      <c r="A34" s="120">
        <f>A29+1</f>
        <v>17</v>
      </c>
      <c r="C34" s="231" t="s">
        <v>2421</v>
      </c>
      <c r="D34" s="6">
        <f>D23</f>
        <v>193667038.41</v>
      </c>
      <c r="E34" s="6">
        <f>E23</f>
        <v>216092574.80923074</v>
      </c>
      <c r="F34" s="12" t="str">
        <f>"Line "&amp;A23&amp;""</f>
        <v>Line 13</v>
      </c>
    </row>
    <row r="35" spans="1:7" ht="13">
      <c r="A35" s="2">
        <f t="shared" ref="A35:A41" si="1">A34+1</f>
        <v>18</v>
      </c>
      <c r="C35" s="231" t="s">
        <v>2425</v>
      </c>
      <c r="D35" s="7">
        <f>'1-BaseTRR'!K95</f>
        <v>5.1564815749195636E-2</v>
      </c>
      <c r="E35" s="7">
        <f>'1-BaseTRR'!K95</f>
        <v>5.1564815749195636E-2</v>
      </c>
      <c r="F35" s="12" t="str">
        <f>"1-BaseTRR, Line "&amp;'1-BaseTRR'!A95&amp;""</f>
        <v>1-BaseTRR, Line 55</v>
      </c>
    </row>
    <row r="36" spans="1:7" ht="13">
      <c r="A36" s="2">
        <f t="shared" si="1"/>
        <v>19</v>
      </c>
      <c r="C36" s="231" t="s">
        <v>292</v>
      </c>
      <c r="D36" s="7">
        <f>'1-BaseTRR'!K104</f>
        <v>0.27983599999999997</v>
      </c>
      <c r="E36" s="7">
        <f>'1-BaseTRR'!K104</f>
        <v>0.27983599999999997</v>
      </c>
      <c r="F36" s="12" t="str">
        <f>"1-BaseTRR, Line "&amp;'1-BaseTRR'!A104&amp;""</f>
        <v>1-BaseTRR, Line 59</v>
      </c>
    </row>
    <row r="37" spans="1:7" ht="13">
      <c r="A37" s="2">
        <f t="shared" si="1"/>
        <v>20</v>
      </c>
      <c r="C37" s="231" t="s">
        <v>192</v>
      </c>
      <c r="D37" s="6">
        <f>((D27*D35)*(D36/(1-D36)))</f>
        <v>3880443.4437158122</v>
      </c>
      <c r="E37" s="6">
        <f>((E27*E35)*(E36/(1-E36)))</f>
        <v>4329776.6209391793</v>
      </c>
      <c r="F37" s="232" t="str">
        <f>"Formula on Line "&amp;A39&amp;""</f>
        <v>Formula on Line 22</v>
      </c>
    </row>
    <row r="38" spans="1:7" ht="13">
      <c r="A38" s="2">
        <f t="shared" si="1"/>
        <v>21</v>
      </c>
    </row>
    <row r="39" spans="1:7" ht="13">
      <c r="A39" s="2">
        <f t="shared" si="1"/>
        <v>22</v>
      </c>
      <c r="C39" s="232" t="str">
        <f>"Income Taxes = [(RB * ER) * (CTR/(1 – CTR)], or [(L"&amp;A27&amp;" * L"&amp;A35&amp;") * (L"&amp;A36&amp;" / (1 - L"&amp;A36&amp;")]"</f>
        <v>Income Taxes = [(RB * ER) * (CTR/(1 – CTR)], or [(L14 * L18) * (L19 / (1 - L19)]</v>
      </c>
      <c r="E39" s="6"/>
      <c r="F39" s="233"/>
    </row>
    <row r="40" spans="1:7" ht="13">
      <c r="A40" s="2">
        <f t="shared" si="1"/>
        <v>23</v>
      </c>
      <c r="C40" s="232" t="s">
        <v>2426</v>
      </c>
      <c r="E40" s="6"/>
      <c r="F40" s="233"/>
    </row>
    <row r="41" spans="1:7" ht="13">
      <c r="A41" s="2">
        <f t="shared" si="1"/>
        <v>24</v>
      </c>
      <c r="D41" s="232"/>
      <c r="E41" s="6"/>
      <c r="F41" s="233"/>
      <c r="G41" s="232"/>
    </row>
    <row r="42" spans="1:7" ht="13">
      <c r="C42" s="1" t="s">
        <v>2427</v>
      </c>
    </row>
    <row r="43" spans="1:7" ht="13">
      <c r="D43" s="3" t="s">
        <v>105</v>
      </c>
      <c r="E43" s="3" t="s">
        <v>684</v>
      </c>
    </row>
    <row r="44" spans="1:7" ht="13">
      <c r="A44" s="2">
        <f>A41+1</f>
        <v>25</v>
      </c>
      <c r="C44" s="231" t="s">
        <v>1382</v>
      </c>
      <c r="D44" s="6">
        <f>'15-IncentiveAdder'!G17</f>
        <v>6595.7198638087975</v>
      </c>
      <c r="E44" s="12" t="str">
        <f>"15-IncentiveAdder, Line "&amp;'15-IncentiveAdder'!A17&amp;""</f>
        <v>15-IncentiveAdder, Line 3</v>
      </c>
    </row>
    <row r="46" spans="1:7" ht="13">
      <c r="C46" s="34" t="s">
        <v>1261</v>
      </c>
    </row>
    <row r="47" spans="1:7" ht="14.5">
      <c r="D47" s="120" t="s">
        <v>1193</v>
      </c>
      <c r="E47" s="120" t="s">
        <v>863</v>
      </c>
    </row>
    <row r="48" spans="1:7" ht="13">
      <c r="D48" s="3" t="s">
        <v>81</v>
      </c>
      <c r="E48" s="3" t="s">
        <v>81</v>
      </c>
    </row>
    <row r="49" spans="1:6" ht="13">
      <c r="A49" s="2">
        <f>A44+1</f>
        <v>26</v>
      </c>
      <c r="C49" s="231" t="s">
        <v>312</v>
      </c>
      <c r="D49" s="6">
        <f>D9</f>
        <v>0</v>
      </c>
      <c r="E49" s="6">
        <f>E9</f>
        <v>344534.58538461541</v>
      </c>
      <c r="F49" s="12" t="str">
        <f>"Line "&amp;A9&amp;""</f>
        <v>Line 1</v>
      </c>
    </row>
    <row r="50" spans="1:6" ht="13">
      <c r="A50" s="2">
        <f>A49+1</f>
        <v>27</v>
      </c>
      <c r="C50" s="231" t="s">
        <v>2428</v>
      </c>
      <c r="D50" s="26">
        <f>'15-IncentiveAdder'!E26</f>
        <v>1.2500000000000001E-2</v>
      </c>
      <c r="E50" s="26">
        <f>'15-IncentiveAdder'!E26</f>
        <v>1.2500000000000001E-2</v>
      </c>
      <c r="F50" s="12" t="str">
        <f>"15-IncentiveAdder, Line "&amp;'15-IncentiveAdder'!A26&amp;""</f>
        <v>15-IncentiveAdder, Line 5</v>
      </c>
    </row>
    <row r="51" spans="1:6" ht="13">
      <c r="A51" s="2">
        <f>A50+1</f>
        <v>28</v>
      </c>
      <c r="C51" s="231" t="s">
        <v>2429</v>
      </c>
      <c r="D51" s="6">
        <f>(D49/1000000)*($D$44*(D50/0.01))</f>
        <v>0</v>
      </c>
      <c r="E51" s="6">
        <f>(E49/1000000)*($D$44*(E50/0.01))</f>
        <v>2840.5670107380452</v>
      </c>
      <c r="F51" s="232" t="str">
        <f>"Formula on Line "&amp;A60&amp;""</f>
        <v>Formula on Line 33</v>
      </c>
    </row>
    <row r="52" spans="1:6">
      <c r="C52" s="188"/>
    </row>
    <row r="53" spans="1:6" ht="13">
      <c r="C53" s="34" t="s">
        <v>2430</v>
      </c>
      <c r="E53" s="3"/>
      <c r="F53" s="3"/>
    </row>
    <row r="54" spans="1:6" ht="14.5">
      <c r="D54" s="120" t="s">
        <v>1193</v>
      </c>
      <c r="E54" s="120" t="s">
        <v>863</v>
      </c>
    </row>
    <row r="55" spans="1:6" ht="13">
      <c r="D55" s="3" t="s">
        <v>81</v>
      </c>
      <c r="E55" s="3" t="s">
        <v>81</v>
      </c>
    </row>
    <row r="56" spans="1:6" ht="13">
      <c r="A56" s="2">
        <f>A51+1</f>
        <v>29</v>
      </c>
      <c r="C56" s="231" t="s">
        <v>315</v>
      </c>
      <c r="D56" s="6">
        <f>D10</f>
        <v>0</v>
      </c>
      <c r="E56" s="6">
        <f>E10</f>
        <v>0</v>
      </c>
      <c r="F56" s="12" t="str">
        <f>"Line "&amp;A10&amp;""</f>
        <v>Line 2</v>
      </c>
    </row>
    <row r="57" spans="1:6" ht="13">
      <c r="A57" s="2">
        <f>A56+1</f>
        <v>30</v>
      </c>
      <c r="C57" s="231" t="s">
        <v>2428</v>
      </c>
      <c r="D57" s="26">
        <f>'15-IncentiveAdder'!E27</f>
        <v>0.01</v>
      </c>
      <c r="E57" s="26">
        <f>'15-IncentiveAdder'!E27</f>
        <v>0.01</v>
      </c>
      <c r="F57" s="12" t="str">
        <f>"15-IncentiveAdder, Line "&amp;'15-IncentiveAdder'!A27&amp;""</f>
        <v>15-IncentiveAdder, Line 6</v>
      </c>
    </row>
    <row r="58" spans="1:6" ht="13">
      <c r="A58" s="2">
        <f>A57+1</f>
        <v>31</v>
      </c>
      <c r="C58" s="231" t="s">
        <v>2429</v>
      </c>
      <c r="D58" s="6">
        <f>(D56/1000000)*($D$44*(D57/0.01))</f>
        <v>0</v>
      </c>
      <c r="E58" s="6">
        <f>(E56/1000000)*($D$44*(E57/0.01))</f>
        <v>0</v>
      </c>
      <c r="F58" s="232" t="str">
        <f>"Formula on Line "&amp;A60&amp;""</f>
        <v>Formula on Line 33</v>
      </c>
    </row>
    <row r="59" spans="1:6" ht="13">
      <c r="A59" s="2">
        <f>A58+1</f>
        <v>32</v>
      </c>
      <c r="D59" s="276"/>
      <c r="E59" s="6"/>
      <c r="F59" s="232"/>
    </row>
    <row r="60" spans="1:6" ht="13">
      <c r="A60" s="2">
        <f>A59+1</f>
        <v>33</v>
      </c>
      <c r="C60" s="276" t="s">
        <v>2431</v>
      </c>
      <c r="D60" s="6"/>
      <c r="E60" s="232"/>
    </row>
    <row r="62" spans="1:6" ht="13">
      <c r="C62" s="1" t="s">
        <v>2432</v>
      </c>
    </row>
    <row r="63" spans="1:6" ht="13">
      <c r="C63" s="1"/>
    </row>
    <row r="64" spans="1:6" ht="14.5">
      <c r="C64" s="1"/>
      <c r="E64" s="120" t="s">
        <v>375</v>
      </c>
    </row>
    <row r="65" spans="1:9" ht="14.5">
      <c r="C65" s="1"/>
      <c r="D65" s="120" t="s">
        <v>2433</v>
      </c>
      <c r="E65" s="120" t="s">
        <v>382</v>
      </c>
    </row>
    <row r="66" spans="1:9" ht="13">
      <c r="D66" s="3" t="s">
        <v>81</v>
      </c>
      <c r="E66" s="3" t="s">
        <v>81</v>
      </c>
      <c r="F66" s="3" t="s">
        <v>684</v>
      </c>
    </row>
    <row r="67" spans="1:9" ht="13">
      <c r="A67" s="2">
        <f>A60+1</f>
        <v>34</v>
      </c>
      <c r="C67" s="231" t="s">
        <v>2434</v>
      </c>
      <c r="D67" s="6">
        <f>D29</f>
        <v>14444814.834139047</v>
      </c>
      <c r="E67" s="6">
        <f>E29</f>
        <v>16117441.851635728</v>
      </c>
      <c r="F67" s="12" t="str">
        <f>"Line "&amp;A29&amp;""</f>
        <v>Line 16</v>
      </c>
    </row>
    <row r="68" spans="1:9" ht="13">
      <c r="A68" s="2">
        <f>A67+1</f>
        <v>35</v>
      </c>
      <c r="C68" s="231" t="s">
        <v>192</v>
      </c>
      <c r="D68" s="6">
        <f>D37</f>
        <v>3880443.4437158122</v>
      </c>
      <c r="E68" s="6">
        <f>E37</f>
        <v>4329776.6209391793</v>
      </c>
      <c r="F68" s="12" t="str">
        <f>"Line "&amp;A37&amp;""</f>
        <v>Line 20</v>
      </c>
    </row>
    <row r="69" spans="1:9" ht="13">
      <c r="A69" s="2">
        <f>A68+1</f>
        <v>36</v>
      </c>
      <c r="C69" s="231" t="s">
        <v>2435</v>
      </c>
      <c r="D69" s="6">
        <f>D51</f>
        <v>0</v>
      </c>
      <c r="E69" s="6">
        <f>E51</f>
        <v>2840.5670107380452</v>
      </c>
      <c r="F69" s="12" t="str">
        <f>"Line "&amp;A51&amp;""</f>
        <v>Line 28</v>
      </c>
    </row>
    <row r="70" spans="1:9" ht="13">
      <c r="A70" s="2">
        <f>A69+1</f>
        <v>37</v>
      </c>
      <c r="C70" s="231" t="s">
        <v>2436</v>
      </c>
      <c r="D70" s="235">
        <f>D58</f>
        <v>0</v>
      </c>
      <c r="E70" s="114">
        <f>E58</f>
        <v>0</v>
      </c>
      <c r="F70" s="12" t="str">
        <f>"Line "&amp;A58&amp;""</f>
        <v>Line 31</v>
      </c>
    </row>
    <row r="71" spans="1:9" ht="13">
      <c r="A71" s="2">
        <f t="shared" ref="A71:A72" si="2">A70+1</f>
        <v>38</v>
      </c>
      <c r="C71" s="231" t="s">
        <v>2437</v>
      </c>
      <c r="D71" s="53">
        <f>SUM(D67:D70)*('28-FFU'!D22+'28-FFU'!E22)</f>
        <v>572426.63131096493</v>
      </c>
      <c r="E71" s="53">
        <f>SUM(E67:E70)*('28-FFU'!D22)</f>
        <v>192422.72096380917</v>
      </c>
      <c r="F71" s="232" t="s">
        <v>147</v>
      </c>
    </row>
    <row r="72" spans="1:9" ht="13">
      <c r="A72" s="2">
        <f t="shared" si="2"/>
        <v>39</v>
      </c>
      <c r="C72" s="231" t="s">
        <v>418</v>
      </c>
      <c r="D72" s="6">
        <f>SUM(D67:D71)</f>
        <v>18897684.909165826</v>
      </c>
      <c r="E72" s="6">
        <f>SUM(E67:E71)</f>
        <v>20642481.760549456</v>
      </c>
      <c r="F72" s="232" t="str">
        <f>"Sum Lines "&amp;A67&amp;" to "&amp;A71&amp;""</f>
        <v>Sum Lines 34 to 38</v>
      </c>
    </row>
    <row r="73" spans="1:9" ht="13">
      <c r="A73" s="2"/>
      <c r="D73" s="231"/>
      <c r="E73" s="6"/>
      <c r="F73" s="232"/>
    </row>
    <row r="74" spans="1:9" ht="12.75" customHeight="1">
      <c r="A74" s="2"/>
      <c r="C74" s="186" t="s">
        <v>2438</v>
      </c>
      <c r="D74" s="231"/>
      <c r="E74" s="6"/>
      <c r="F74" s="232"/>
    </row>
    <row r="75" spans="1:9" ht="13">
      <c r="A75" s="2"/>
      <c r="D75" s="231"/>
      <c r="E75" s="6"/>
      <c r="F75" s="232"/>
    </row>
    <row r="76" spans="1:9" ht="12.75" customHeight="1">
      <c r="A76" s="2"/>
      <c r="C76" s="186" t="s">
        <v>2439</v>
      </c>
      <c r="D76" s="231"/>
      <c r="E76" s="6"/>
      <c r="F76" s="232"/>
    </row>
    <row r="77" spans="1:9" ht="14.5">
      <c r="A77" s="2"/>
      <c r="C77" s="186"/>
      <c r="D77" s="48" t="s">
        <v>345</v>
      </c>
      <c r="E77" s="48" t="s">
        <v>346</v>
      </c>
      <c r="F77" s="48" t="s">
        <v>347</v>
      </c>
      <c r="G77" s="48" t="s">
        <v>348</v>
      </c>
      <c r="H77" s="48" t="s">
        <v>349</v>
      </c>
    </row>
    <row r="78" spans="1:9" ht="14.5">
      <c r="A78" s="2"/>
      <c r="C78" s="186"/>
      <c r="D78" s="2" t="s">
        <v>2440</v>
      </c>
      <c r="E78" s="230" t="s">
        <v>2441</v>
      </c>
      <c r="F78" s="2"/>
      <c r="H78" s="239" t="s">
        <v>2442</v>
      </c>
    </row>
    <row r="79" spans="1:9" ht="14.5">
      <c r="A79" s="2"/>
      <c r="C79" s="3" t="s">
        <v>1175</v>
      </c>
      <c r="D79" s="3" t="s">
        <v>2443</v>
      </c>
      <c r="E79" s="202" t="s">
        <v>2444</v>
      </c>
      <c r="F79" s="3" t="s">
        <v>1388</v>
      </c>
      <c r="G79" s="3" t="s">
        <v>2445</v>
      </c>
      <c r="H79" s="3" t="s">
        <v>252</v>
      </c>
      <c r="I79" s="3" t="s">
        <v>684</v>
      </c>
    </row>
    <row r="80" spans="1:9" ht="13">
      <c r="A80" s="2">
        <f>A72+1</f>
        <v>40</v>
      </c>
      <c r="C80" s="231" t="s">
        <v>2408</v>
      </c>
      <c r="D80" s="235">
        <f t="shared" ref="D80:D90" si="3">$D$29*(D9/$D$23)</f>
        <v>0</v>
      </c>
      <c r="E80" s="235">
        <f t="shared" ref="E80:E89" si="4">$D$37*(D9/$D$23)</f>
        <v>0</v>
      </c>
      <c r="F80" s="235">
        <f>D51</f>
        <v>0</v>
      </c>
      <c r="G80" s="6">
        <f>(D80+E80+F80)*('28-FFU'!$D$22+'28-FFU'!$E$22)</f>
        <v>0</v>
      </c>
      <c r="H80" s="6">
        <f>SUM(D80:G80)</f>
        <v>0</v>
      </c>
      <c r="I80" s="232" t="s">
        <v>168</v>
      </c>
    </row>
    <row r="81" spans="1:9" ht="13">
      <c r="A81" s="2">
        <f t="shared" ref="A81:A94" si="5">A80+1</f>
        <v>41</v>
      </c>
      <c r="C81" s="231" t="s">
        <v>2409</v>
      </c>
      <c r="D81" s="235">
        <f t="shared" si="3"/>
        <v>0</v>
      </c>
      <c r="E81" s="235">
        <f t="shared" si="4"/>
        <v>0</v>
      </c>
      <c r="F81" s="235">
        <f>D58</f>
        <v>0</v>
      </c>
      <c r="G81" s="6">
        <f>(D81+E81+F81)*('28-FFU'!$D$22+'28-FFU'!$E$22)</f>
        <v>0</v>
      </c>
      <c r="H81" s="6">
        <f t="shared" ref="H81:H89" si="6">SUM(D81:G81)</f>
        <v>0</v>
      </c>
      <c r="I81" s="232" t="s">
        <v>168</v>
      </c>
    </row>
    <row r="82" spans="1:9" ht="13">
      <c r="A82" s="2">
        <f t="shared" si="5"/>
        <v>42</v>
      </c>
      <c r="C82" s="231" t="s">
        <v>2410</v>
      </c>
      <c r="D82" s="235">
        <f t="shared" si="3"/>
        <v>572603.89383958746</v>
      </c>
      <c r="E82" s="235">
        <f t="shared" si="4"/>
        <v>153823.84967958002</v>
      </c>
      <c r="F82" s="235">
        <v>0</v>
      </c>
      <c r="G82" s="6">
        <f>(D82+E82+F82)*('28-FFU'!$D$22+'28-FFU'!$E$22)</f>
        <v>22691.444770304159</v>
      </c>
      <c r="H82" s="6">
        <f t="shared" si="6"/>
        <v>749119.18828947155</v>
      </c>
      <c r="I82" s="232" t="s">
        <v>168</v>
      </c>
    </row>
    <row r="83" spans="1:9" ht="13">
      <c r="A83" s="2">
        <f t="shared" si="5"/>
        <v>43</v>
      </c>
      <c r="C83" s="231" t="s">
        <v>2411</v>
      </c>
      <c r="D83" s="235">
        <f t="shared" si="3"/>
        <v>572609.65708588576</v>
      </c>
      <c r="E83" s="235">
        <f t="shared" si="4"/>
        <v>153825.39791343207</v>
      </c>
      <c r="F83" s="235">
        <v>0</v>
      </c>
      <c r="G83" s="6">
        <f>(D83+E83+F83)*('28-FFU'!$D$22+'28-FFU'!$E$22)</f>
        <v>22691.673159224465</v>
      </c>
      <c r="H83" s="6">
        <f t="shared" si="6"/>
        <v>749126.7281585423</v>
      </c>
      <c r="I83" s="232" t="s">
        <v>168</v>
      </c>
    </row>
    <row r="84" spans="1:9" ht="13">
      <c r="A84" s="2">
        <f t="shared" si="5"/>
        <v>44</v>
      </c>
      <c r="C84" s="231" t="s">
        <v>2412</v>
      </c>
      <c r="D84" s="235">
        <f t="shared" si="3"/>
        <v>0</v>
      </c>
      <c r="E84" s="235">
        <f t="shared" si="4"/>
        <v>0</v>
      </c>
      <c r="F84" s="235">
        <v>0</v>
      </c>
      <c r="G84" s="6">
        <f>(D84+E84+F84)*('28-FFU'!$D$22+'28-FFU'!$E$22)</f>
        <v>0</v>
      </c>
      <c r="H84" s="6">
        <f t="shared" si="6"/>
        <v>0</v>
      </c>
      <c r="I84" s="232" t="s">
        <v>168</v>
      </c>
    </row>
    <row r="85" spans="1:9" ht="13">
      <c r="A85" s="2">
        <f t="shared" si="5"/>
        <v>45</v>
      </c>
      <c r="C85" s="231" t="s">
        <v>2413</v>
      </c>
      <c r="D85" s="235">
        <f t="shared" si="3"/>
        <v>0</v>
      </c>
      <c r="E85" s="235">
        <f t="shared" si="4"/>
        <v>0</v>
      </c>
      <c r="F85" s="235">
        <v>0</v>
      </c>
      <c r="G85" s="6">
        <f>(D85+E85+F85)*('28-FFU'!$D$22+'28-FFU'!$E$22)</f>
        <v>0</v>
      </c>
      <c r="H85" s="6">
        <f t="shared" si="6"/>
        <v>0</v>
      </c>
      <c r="I85" s="232" t="s">
        <v>168</v>
      </c>
    </row>
    <row r="86" spans="1:9" ht="13">
      <c r="A86" s="2">
        <f t="shared" si="5"/>
        <v>46</v>
      </c>
      <c r="C86" s="231" t="s">
        <v>2414</v>
      </c>
      <c r="D86" s="235">
        <f t="shared" si="3"/>
        <v>0</v>
      </c>
      <c r="E86" s="235">
        <f t="shared" si="4"/>
        <v>0</v>
      </c>
      <c r="F86" s="235">
        <v>0</v>
      </c>
      <c r="G86" s="6">
        <f>(D86+E86+F86)*('28-FFU'!$D$22+'28-FFU'!$E$22)</f>
        <v>0</v>
      </c>
      <c r="H86" s="6">
        <f t="shared" si="6"/>
        <v>0</v>
      </c>
      <c r="I86" s="232" t="s">
        <v>168</v>
      </c>
    </row>
    <row r="87" spans="1:9" ht="13">
      <c r="A87" s="2">
        <f t="shared" si="5"/>
        <v>47</v>
      </c>
      <c r="C87" s="231" t="s">
        <v>2415</v>
      </c>
      <c r="D87" s="235">
        <f t="shared" si="3"/>
        <v>178665.02686273551</v>
      </c>
      <c r="E87" s="235">
        <f t="shared" si="4"/>
        <v>47996.429173481629</v>
      </c>
      <c r="F87" s="235">
        <v>0</v>
      </c>
      <c r="G87" s="6">
        <f>(D87+E87+F87)*('28-FFU'!$D$22+'28-FFU'!$E$22)</f>
        <v>7080.2305626242032</v>
      </c>
      <c r="H87" s="6">
        <f t="shared" si="6"/>
        <v>233741.68659884133</v>
      </c>
      <c r="I87" s="232" t="s">
        <v>168</v>
      </c>
    </row>
    <row r="88" spans="1:9" ht="13">
      <c r="A88" s="2">
        <f t="shared" si="5"/>
        <v>48</v>
      </c>
      <c r="C88" s="231" t="s">
        <v>2416</v>
      </c>
      <c r="D88" s="235">
        <f t="shared" si="3"/>
        <v>2727006.9147331971</v>
      </c>
      <c r="E88" s="235">
        <f t="shared" si="4"/>
        <v>732580.94511772518</v>
      </c>
      <c r="F88" s="235">
        <v>0</v>
      </c>
      <c r="G88" s="6">
        <f>(D88+E88+F88)*('28-FFU'!$D$22+'28-FFU'!$E$22)</f>
        <v>108067.24763775572</v>
      </c>
      <c r="H88" s="6">
        <f t="shared" si="6"/>
        <v>3567655.1074886778</v>
      </c>
      <c r="I88" s="232" t="s">
        <v>168</v>
      </c>
    </row>
    <row r="89" spans="1:9" ht="13">
      <c r="A89" s="2">
        <f t="shared" si="5"/>
        <v>49</v>
      </c>
      <c r="C89" s="231" t="s">
        <v>2417</v>
      </c>
      <c r="D89" s="235">
        <f t="shared" si="3"/>
        <v>1875134.946398244</v>
      </c>
      <c r="E89" s="235">
        <f t="shared" si="4"/>
        <v>503734.74443136802</v>
      </c>
      <c r="F89" s="235">
        <v>0</v>
      </c>
      <c r="G89" s="6">
        <f>(D89+E89+F89)*('28-FFU'!$D$22+'28-FFU'!$E$22)</f>
        <v>74308.822435257607</v>
      </c>
      <c r="H89" s="6">
        <f t="shared" si="6"/>
        <v>2453178.5132648693</v>
      </c>
      <c r="I89" s="232" t="s">
        <v>168</v>
      </c>
    </row>
    <row r="90" spans="1:9" ht="13">
      <c r="A90" s="2">
        <f t="shared" si="5"/>
        <v>50</v>
      </c>
      <c r="C90" s="231" t="s">
        <v>2418</v>
      </c>
      <c r="D90" s="235">
        <f t="shared" si="3"/>
        <v>7868658.012851554</v>
      </c>
      <c r="E90" s="235">
        <f t="shared" ref="E90:E92" si="7">$D$37*(D19/$D$23)</f>
        <v>2113829.9623369048</v>
      </c>
      <c r="F90" s="235">
        <v>0</v>
      </c>
      <c r="G90" s="6">
        <f>(D90+E90+F90)*('28-FFU'!$D$22+'28-FFU'!$E$22)</f>
        <v>311823.27021522605</v>
      </c>
      <c r="H90" s="6">
        <f t="shared" ref="H90:H92" si="8">SUM(D90:G90)</f>
        <v>10294311.245403685</v>
      </c>
      <c r="I90" s="232" t="s">
        <v>168</v>
      </c>
    </row>
    <row r="91" spans="1:9" ht="13">
      <c r="A91" s="2" t="s">
        <v>2446</v>
      </c>
      <c r="C91" s="231" t="s">
        <v>2419</v>
      </c>
      <c r="D91" s="235">
        <f t="shared" ref="D91:D92" si="9">$D$29*(D20/$D$23)</f>
        <v>281453.52851941093</v>
      </c>
      <c r="E91" s="235">
        <f t="shared" si="7"/>
        <v>75609.449618737577</v>
      </c>
      <c r="F91" s="235">
        <v>0</v>
      </c>
      <c r="G91" s="6">
        <f>(D91+E91+F91)*('28-FFU'!$D$22+'28-FFU'!$E$22)</f>
        <v>11153.586740356004</v>
      </c>
      <c r="H91" s="6">
        <f t="shared" si="8"/>
        <v>368216.56487850449</v>
      </c>
      <c r="I91" s="232" t="s">
        <v>168</v>
      </c>
    </row>
    <row r="92" spans="1:9" ht="13">
      <c r="A92" s="2" t="s">
        <v>2447</v>
      </c>
      <c r="C92" s="231" t="s">
        <v>1078</v>
      </c>
      <c r="D92" s="235">
        <f t="shared" si="9"/>
        <v>368682.85384843289</v>
      </c>
      <c r="E92" s="235">
        <f t="shared" si="7"/>
        <v>99042.66544458321</v>
      </c>
      <c r="F92" s="235">
        <v>0</v>
      </c>
      <c r="G92" s="6">
        <f>(D92+E92+F92)*('28-FFU'!$D$22+'28-FFU'!$E$22)</f>
        <v>14610.355790216683</v>
      </c>
      <c r="H92" s="6">
        <f t="shared" si="8"/>
        <v>482335.87508323282</v>
      </c>
      <c r="I92" s="232" t="s">
        <v>168</v>
      </c>
    </row>
    <row r="93" spans="1:9" ht="13">
      <c r="A93" s="2">
        <f>A90+1</f>
        <v>51</v>
      </c>
      <c r="C93" s="789"/>
      <c r="D93" s="333" t="s">
        <v>389</v>
      </c>
      <c r="E93" s="333" t="s">
        <v>389</v>
      </c>
      <c r="F93" s="333" t="s">
        <v>389</v>
      </c>
      <c r="G93" s="333" t="s">
        <v>389</v>
      </c>
      <c r="H93" s="333" t="s">
        <v>389</v>
      </c>
      <c r="I93" s="232" t="s">
        <v>168</v>
      </c>
    </row>
    <row r="94" spans="1:9" ht="13">
      <c r="A94" s="2">
        <f t="shared" si="5"/>
        <v>52</v>
      </c>
      <c r="C94" s="231" t="s">
        <v>440</v>
      </c>
      <c r="D94" s="261">
        <f>SUM(D80:D93)</f>
        <v>14444814.834139047</v>
      </c>
      <c r="E94" s="261">
        <f>SUM(E80:E93)</f>
        <v>3880443.4437158126</v>
      </c>
      <c r="F94" s="261">
        <f>SUM(F80:F93)</f>
        <v>0</v>
      </c>
      <c r="G94" s="261">
        <f>SUM(G80:G93)</f>
        <v>572426.63131096493</v>
      </c>
      <c r="H94" s="261">
        <f>SUM(H80:H93)</f>
        <v>18897684.909165826</v>
      </c>
      <c r="I94" s="232" t="str">
        <f>"Sum L "&amp;A80&amp;" to L "&amp;A93&amp;""</f>
        <v>Sum L 40 to L 51</v>
      </c>
    </row>
    <row r="95" spans="1:9" ht="13">
      <c r="A95" s="2"/>
      <c r="C95" s="231"/>
      <c r="D95" s="231"/>
      <c r="E95" s="6"/>
      <c r="F95" s="232"/>
    </row>
    <row r="96" spans="1:9" ht="14.5">
      <c r="A96" s="2"/>
      <c r="C96" s="186" t="s">
        <v>2448</v>
      </c>
      <c r="D96" s="231"/>
      <c r="E96" s="6"/>
      <c r="F96" s="232"/>
    </row>
    <row r="97" spans="1:9" ht="14.5">
      <c r="A97" s="2"/>
      <c r="C97" s="186"/>
      <c r="D97" s="48" t="s">
        <v>345</v>
      </c>
      <c r="E97" s="48" t="s">
        <v>346</v>
      </c>
      <c r="F97" s="48" t="s">
        <v>347</v>
      </c>
      <c r="G97" s="48" t="s">
        <v>348</v>
      </c>
      <c r="H97" s="48" t="s">
        <v>349</v>
      </c>
    </row>
    <row r="98" spans="1:9" ht="14.5">
      <c r="A98" s="2"/>
      <c r="C98" s="186"/>
      <c r="D98" s="2" t="s">
        <v>2440</v>
      </c>
      <c r="E98" s="230" t="s">
        <v>2441</v>
      </c>
      <c r="F98" s="2"/>
      <c r="H98" s="239" t="s">
        <v>2442</v>
      </c>
    </row>
    <row r="99" spans="1:9" ht="14.5">
      <c r="A99" s="2"/>
      <c r="C99" s="3" t="s">
        <v>1175</v>
      </c>
      <c r="D99" s="3" t="s">
        <v>2443</v>
      </c>
      <c r="E99" s="202" t="s">
        <v>2444</v>
      </c>
      <c r="F99" s="3" t="s">
        <v>1388</v>
      </c>
      <c r="G99" s="3" t="s">
        <v>2445</v>
      </c>
      <c r="H99" s="3" t="s">
        <v>252</v>
      </c>
      <c r="I99" s="3" t="s">
        <v>684</v>
      </c>
    </row>
    <row r="100" spans="1:9" ht="13">
      <c r="A100" s="2">
        <f>A94+1</f>
        <v>53</v>
      </c>
      <c r="C100" s="231" t="s">
        <v>2408</v>
      </c>
      <c r="D100" s="261">
        <f t="shared" ref="D100:D108" si="10">$E$29*(E9/$E$23)</f>
        <v>25697.39451120075</v>
      </c>
      <c r="E100" s="261">
        <f t="shared" ref="E100:E110" si="11">$E$37*(E9/$E$23)</f>
        <v>6903.3274013242881</v>
      </c>
      <c r="F100" s="908">
        <f>E51</f>
        <v>2840.5670107380452</v>
      </c>
      <c r="G100" s="6">
        <f>(D100+E100+F100)*('28-FFU'!$D$22+'28-FFU'!$E$22)</f>
        <v>1107.0805835341789</v>
      </c>
      <c r="H100" s="488">
        <f>SUM(D100:G100)</f>
        <v>36548.369506797266</v>
      </c>
      <c r="I100" s="232" t="s">
        <v>2449</v>
      </c>
    </row>
    <row r="101" spans="1:9" ht="13">
      <c r="A101" s="2">
        <f t="shared" ref="A101:A114" si="12">A100+1</f>
        <v>54</v>
      </c>
      <c r="C101" s="231" t="s">
        <v>2409</v>
      </c>
      <c r="D101" s="261">
        <f t="shared" si="10"/>
        <v>0</v>
      </c>
      <c r="E101" s="261">
        <f t="shared" si="11"/>
        <v>0</v>
      </c>
      <c r="F101" s="908">
        <f>E58</f>
        <v>0</v>
      </c>
      <c r="G101" s="6">
        <f>(D101+E101+F101)*('28-FFU'!$D$22+'28-FFU'!$E$22)</f>
        <v>0</v>
      </c>
      <c r="H101" s="488">
        <f t="shared" ref="H101:H108" si="13">SUM(D101:G101)</f>
        <v>0</v>
      </c>
      <c r="I101" s="232" t="s">
        <v>2449</v>
      </c>
    </row>
    <row r="102" spans="1:9" ht="13">
      <c r="A102" s="2">
        <f t="shared" si="12"/>
        <v>55</v>
      </c>
      <c r="C102" s="231" t="s">
        <v>2410</v>
      </c>
      <c r="D102" s="261">
        <f t="shared" si="10"/>
        <v>552550.73138638004</v>
      </c>
      <c r="E102" s="261">
        <f t="shared" si="11"/>
        <v>148436.78424047117</v>
      </c>
      <c r="F102" s="908">
        <v>0</v>
      </c>
      <c r="G102" s="6">
        <f>(D102+E102+F102)*('28-FFU'!$D$22+'28-FFU'!$E$22)</f>
        <v>21896.767624073698</v>
      </c>
      <c r="H102" s="488">
        <f t="shared" si="13"/>
        <v>722884.2832509249</v>
      </c>
      <c r="I102" s="232" t="s">
        <v>2449</v>
      </c>
    </row>
    <row r="103" spans="1:9" ht="13">
      <c r="A103" s="2">
        <f t="shared" si="12"/>
        <v>56</v>
      </c>
      <c r="C103" s="231" t="s">
        <v>2411</v>
      </c>
      <c r="D103" s="261">
        <f t="shared" si="10"/>
        <v>555816.14820685773</v>
      </c>
      <c r="E103" s="261">
        <f t="shared" si="11"/>
        <v>149314.00318979786</v>
      </c>
      <c r="F103" s="908">
        <v>0</v>
      </c>
      <c r="G103" s="6">
        <f>(D103+E103+F103)*('28-FFU'!$D$22+'28-FFU'!$E$22)</f>
        <v>22026.171259345952</v>
      </c>
      <c r="H103" s="488">
        <f t="shared" si="13"/>
        <v>727156.32265600155</v>
      </c>
      <c r="I103" s="232" t="s">
        <v>2449</v>
      </c>
    </row>
    <row r="104" spans="1:9" ht="13">
      <c r="A104" s="2">
        <f t="shared" si="12"/>
        <v>57</v>
      </c>
      <c r="C104" s="231" t="s">
        <v>2412</v>
      </c>
      <c r="D104" s="261">
        <f t="shared" si="10"/>
        <v>0</v>
      </c>
      <c r="E104" s="261">
        <f t="shared" si="11"/>
        <v>0</v>
      </c>
      <c r="F104" s="908">
        <v>0</v>
      </c>
      <c r="G104" s="6">
        <f>(D104+E104+F104)*('28-FFU'!$D$22+'28-FFU'!$E$22)</f>
        <v>0</v>
      </c>
      <c r="H104" s="488">
        <f t="shared" si="13"/>
        <v>0</v>
      </c>
      <c r="I104" s="232" t="s">
        <v>2449</v>
      </c>
    </row>
    <row r="105" spans="1:9" ht="13">
      <c r="A105" s="2">
        <f t="shared" si="12"/>
        <v>58</v>
      </c>
      <c r="C105" s="231" t="s">
        <v>2413</v>
      </c>
      <c r="D105" s="261">
        <f t="shared" si="10"/>
        <v>0</v>
      </c>
      <c r="E105" s="261">
        <f t="shared" si="11"/>
        <v>0</v>
      </c>
      <c r="F105" s="908">
        <v>0</v>
      </c>
      <c r="G105" s="6">
        <f>(D105+E105+F105)*('28-FFU'!$D$22+'28-FFU'!$E$22)</f>
        <v>0</v>
      </c>
      <c r="H105" s="488">
        <f t="shared" si="13"/>
        <v>0</v>
      </c>
      <c r="I105" s="232" t="s">
        <v>2449</v>
      </c>
    </row>
    <row r="106" spans="1:9" ht="13">
      <c r="A106" s="2">
        <f t="shared" si="12"/>
        <v>59</v>
      </c>
      <c r="C106" s="231" t="s">
        <v>2414</v>
      </c>
      <c r="D106" s="261">
        <f t="shared" si="10"/>
        <v>0</v>
      </c>
      <c r="E106" s="261">
        <f t="shared" si="11"/>
        <v>0</v>
      </c>
      <c r="F106" s="908">
        <v>0</v>
      </c>
      <c r="G106" s="6">
        <f>(D106+E106+F106)*('28-FFU'!$D$22+'28-FFU'!$E$22)</f>
        <v>0</v>
      </c>
      <c r="H106" s="488">
        <f t="shared" si="13"/>
        <v>0</v>
      </c>
      <c r="I106" s="232" t="s">
        <v>2449</v>
      </c>
    </row>
    <row r="107" spans="1:9" ht="13">
      <c r="A107" s="2">
        <f t="shared" si="12"/>
        <v>60</v>
      </c>
      <c r="C107" s="231" t="s">
        <v>2415</v>
      </c>
      <c r="D107" s="261">
        <f t="shared" si="10"/>
        <v>22102.29316303524</v>
      </c>
      <c r="E107" s="261">
        <f t="shared" si="11"/>
        <v>5937.5422655389721</v>
      </c>
      <c r="F107" s="908">
        <v>0</v>
      </c>
      <c r="G107" s="6">
        <f>(D107+E107+F107)*('28-FFU'!$D$22+'28-FFU'!$E$22)</f>
        <v>875.88116322972064</v>
      </c>
      <c r="H107" s="488">
        <f t="shared" si="13"/>
        <v>28915.716591803932</v>
      </c>
      <c r="I107" s="232" t="s">
        <v>2449</v>
      </c>
    </row>
    <row r="108" spans="1:9" ht="13">
      <c r="A108" s="2">
        <f t="shared" si="12"/>
        <v>61</v>
      </c>
      <c r="C108" s="231" t="s">
        <v>2416</v>
      </c>
      <c r="D108" s="261">
        <f t="shared" si="10"/>
        <v>2449929.8626670642</v>
      </c>
      <c r="E108" s="261">
        <f t="shared" si="11"/>
        <v>658147.18861480115</v>
      </c>
      <c r="F108" s="908">
        <v>0</v>
      </c>
      <c r="G108" s="6">
        <f>(D108+E108+F108)*('28-FFU'!$D$22+'28-FFU'!$E$22)</f>
        <v>97087.094181379289</v>
      </c>
      <c r="H108" s="488">
        <f t="shared" si="13"/>
        <v>3205164.1454632445</v>
      </c>
      <c r="I108" s="232" t="s">
        <v>2449</v>
      </c>
    </row>
    <row r="109" spans="1:9" ht="13">
      <c r="A109" s="2">
        <f t="shared" si="12"/>
        <v>62</v>
      </c>
      <c r="C109" s="231" t="s">
        <v>2417</v>
      </c>
      <c r="D109" s="261">
        <f t="shared" ref="D109" si="14">$E$29*(E18/$E$23)</f>
        <v>7666681.8498635879</v>
      </c>
      <c r="E109" s="261">
        <f t="shared" si="11"/>
        <v>2059571.248296404</v>
      </c>
      <c r="F109" s="908">
        <v>0</v>
      </c>
      <c r="G109" s="6">
        <f>(D109+E109+F109)*('28-FFU'!$D$22+'28-FFU'!$E$22)</f>
        <v>303819.25383205537</v>
      </c>
      <c r="H109" s="488">
        <f t="shared" ref="H109" si="15">SUM(D109:G109)</f>
        <v>10030072.351992046</v>
      </c>
      <c r="I109" s="232" t="s">
        <v>2449</v>
      </c>
    </row>
    <row r="110" spans="1:9" ht="13">
      <c r="A110" s="2">
        <f t="shared" si="12"/>
        <v>63</v>
      </c>
      <c r="C110" s="231" t="s">
        <v>2418</v>
      </c>
      <c r="D110" s="261">
        <f>$E$29*(E19/$E$23)</f>
        <v>4394658.9096213393</v>
      </c>
      <c r="E110" s="261">
        <f t="shared" si="11"/>
        <v>1180577.6362673484</v>
      </c>
      <c r="F110" s="908">
        <v>0</v>
      </c>
      <c r="G110" s="6">
        <f>(D110+E110+F110)*('28-FFU'!$D$22+'28-FFU'!$E$22)</f>
        <v>174153.82781161138</v>
      </c>
      <c r="H110" s="488">
        <f t="shared" ref="H110" si="16">SUM(D110:G110)</f>
        <v>5749390.3737002993</v>
      </c>
      <c r="I110" s="232" t="s">
        <v>2449</v>
      </c>
    </row>
    <row r="111" spans="1:9" ht="13">
      <c r="A111" s="2" t="s">
        <v>2450</v>
      </c>
      <c r="C111" s="231" t="s">
        <v>2419</v>
      </c>
      <c r="D111" s="261">
        <f t="shared" ref="D111:D112" si="17">$E$29*(E20/$E$23)</f>
        <v>217816.65597187224</v>
      </c>
      <c r="E111" s="261">
        <f t="shared" ref="E111:E112" si="18">$E$37*(E20/$E$23)</f>
        <v>58514.091340273801</v>
      </c>
      <c r="F111" s="908">
        <v>0</v>
      </c>
      <c r="G111" s="6">
        <f>(D111+E111+F111)*('28-FFU'!$D$22+'28-FFU'!$E$22)</f>
        <v>8631.7516737368223</v>
      </c>
      <c r="H111" s="488">
        <f t="shared" ref="H111:H112" si="19">SUM(D111:G111)</f>
        <v>284962.49898588291</v>
      </c>
      <c r="I111" s="232" t="s">
        <v>2449</v>
      </c>
    </row>
    <row r="112" spans="1:9" ht="13">
      <c r="A112" s="2" t="s">
        <v>2451</v>
      </c>
      <c r="C112" s="231" t="s">
        <v>1078</v>
      </c>
      <c r="D112" s="261">
        <f t="shared" si="17"/>
        <v>232188.00624439085</v>
      </c>
      <c r="E112" s="261">
        <f t="shared" si="18"/>
        <v>62374.799323219864</v>
      </c>
      <c r="F112" s="908">
        <v>0</v>
      </c>
      <c r="G112" s="6">
        <f>(D112+E112+F112)*('28-FFU'!$D$22+'28-FFU'!$E$22)</f>
        <v>9201.2670132097119</v>
      </c>
      <c r="H112" s="488">
        <f t="shared" si="19"/>
        <v>303764.07258082042</v>
      </c>
      <c r="I112" s="232" t="s">
        <v>2449</v>
      </c>
    </row>
    <row r="113" spans="1:9" ht="13">
      <c r="A113" s="2">
        <f>A110+1</f>
        <v>64</v>
      </c>
      <c r="C113" s="789"/>
      <c r="D113" s="333" t="s">
        <v>389</v>
      </c>
      <c r="E113" s="333" t="s">
        <v>389</v>
      </c>
      <c r="F113" s="333" t="s">
        <v>389</v>
      </c>
      <c r="G113" s="333" t="s">
        <v>389</v>
      </c>
      <c r="H113" s="333" t="s">
        <v>389</v>
      </c>
      <c r="I113" s="232" t="s">
        <v>2449</v>
      </c>
    </row>
    <row r="114" spans="1:9" ht="13">
      <c r="A114" s="2">
        <f t="shared" si="12"/>
        <v>65</v>
      </c>
      <c r="C114" s="231" t="s">
        <v>440</v>
      </c>
      <c r="D114" s="6">
        <f>SUM(D100:D113)</f>
        <v>16117441.851635728</v>
      </c>
      <c r="E114" s="6">
        <f>SUM(E100:E113)</f>
        <v>4329776.6209391793</v>
      </c>
      <c r="F114" s="6">
        <f>SUM(F100:F113)</f>
        <v>2840.5670107380452</v>
      </c>
      <c r="G114" s="261">
        <f>SUM(G100:G113)</f>
        <v>638799.09514217614</v>
      </c>
      <c r="H114" s="6">
        <f>SUM(H100:H113)</f>
        <v>21088858.134727821</v>
      </c>
      <c r="I114" s="232" t="str">
        <f>"Sum of L "&amp;A100&amp;" to "&amp;A113&amp;""</f>
        <v>Sum of L 53 to 64</v>
      </c>
    </row>
    <row r="115" spans="1:9">
      <c r="C115" s="231"/>
    </row>
    <row r="116" spans="1:9" ht="13">
      <c r="B116" s="1" t="s">
        <v>2452</v>
      </c>
    </row>
    <row r="117" spans="1:9" ht="13">
      <c r="B117" s="1"/>
    </row>
    <row r="118" spans="1:9" ht="14.5">
      <c r="B118" s="1"/>
      <c r="C118" s="186" t="s">
        <v>2453</v>
      </c>
    </row>
    <row r="119" spans="1:9" ht="13">
      <c r="E119" s="3" t="s">
        <v>105</v>
      </c>
      <c r="F119" s="3" t="s">
        <v>684</v>
      </c>
    </row>
    <row r="120" spans="1:9" ht="13">
      <c r="A120" s="2">
        <f>A114+1</f>
        <v>66</v>
      </c>
      <c r="D120" s="231" t="s">
        <v>330</v>
      </c>
      <c r="E120" s="6">
        <f>F23</f>
        <v>282467653.91617304</v>
      </c>
      <c r="F120" s="12" t="str">
        <f>"Line "&amp;A23&amp;", Col 3"</f>
        <v>Line 13, Col 3</v>
      </c>
    </row>
    <row r="121" spans="1:9" ht="13">
      <c r="A121" s="2">
        <f>A120+1</f>
        <v>67</v>
      </c>
      <c r="D121" s="231" t="s">
        <v>308</v>
      </c>
      <c r="E121" s="190">
        <f>'2-IFPTRR'!D25</f>
        <v>9.4622494505542221E-2</v>
      </c>
      <c r="F121" s="232" t="str">
        <f>"2-IFPTRR, Line "&amp;'2-IFPTRR'!A25&amp;""</f>
        <v>2-IFPTRR, Line 16</v>
      </c>
    </row>
    <row r="122" spans="1:9" ht="13">
      <c r="A122" s="2">
        <f>A121+1</f>
        <v>68</v>
      </c>
      <c r="D122" s="231" t="s">
        <v>2454</v>
      </c>
      <c r="E122" s="6">
        <f>E120*E121</f>
        <v>26727794.030676484</v>
      </c>
      <c r="F122" s="12" t="str">
        <f>"Line "&amp;A120&amp;" * Line "&amp;A121&amp;""</f>
        <v>Line 66 * Line 67</v>
      </c>
    </row>
    <row r="123" spans="1:9" ht="13">
      <c r="A123" s="2">
        <f>A122+1</f>
        <v>69</v>
      </c>
      <c r="D123" s="231" t="s">
        <v>2437</v>
      </c>
      <c r="E123" s="53">
        <f>E122*('28-FFU'!D22+'28-FFU'!E22)</f>
        <v>834896.88752940332</v>
      </c>
      <c r="F123" s="232" t="str">
        <f>"Line "&amp;A122&amp;" * (28-FFU, L"&amp;'28-FFU'!A22&amp;" FF Factor + U Factor)"</f>
        <v>Line 68 * (28-FFU, L5 FF Factor + U Factor)</v>
      </c>
    </row>
    <row r="124" spans="1:9" ht="13">
      <c r="A124" s="2">
        <f>A123+1</f>
        <v>70</v>
      </c>
      <c r="D124" s="231" t="s">
        <v>2455</v>
      </c>
      <c r="E124" s="6">
        <f>SUM(E122:E123)</f>
        <v>27562690.918205887</v>
      </c>
      <c r="F124" s="12" t="str">
        <f>"Line "&amp;A122&amp;" + Line "&amp;A123&amp;""</f>
        <v>Line 68 + Line 69</v>
      </c>
    </row>
    <row r="125" spans="1:9" ht="13">
      <c r="A125" s="2"/>
      <c r="D125" s="231"/>
      <c r="E125" s="6"/>
    </row>
    <row r="126" spans="1:9" ht="14.5">
      <c r="A126" s="2"/>
      <c r="C126" s="186" t="s">
        <v>2456</v>
      </c>
      <c r="D126" s="231"/>
      <c r="E126" s="6"/>
      <c r="F126" s="12"/>
    </row>
    <row r="127" spans="1:9" ht="13">
      <c r="A127" s="2"/>
      <c r="D127" s="2" t="s">
        <v>81</v>
      </c>
      <c r="E127" s="2" t="s">
        <v>81</v>
      </c>
    </row>
    <row r="128" spans="1:9" ht="13">
      <c r="A128" s="2"/>
      <c r="C128" s="3" t="s">
        <v>1175</v>
      </c>
      <c r="D128" s="3" t="s">
        <v>2457</v>
      </c>
      <c r="E128" s="3" t="s">
        <v>2458</v>
      </c>
      <c r="F128" s="3" t="s">
        <v>684</v>
      </c>
    </row>
    <row r="129" spans="1:6" ht="13">
      <c r="A129" s="2">
        <f>A124+1</f>
        <v>71</v>
      </c>
      <c r="C129" s="231" t="s">
        <v>2408</v>
      </c>
      <c r="D129" s="261">
        <f t="shared" ref="D129:D137" si="20">$E$122*(F9/$F$23)</f>
        <v>0</v>
      </c>
      <c r="E129" s="261">
        <f t="shared" ref="E129:E137" si="21">$E$124*(F9/$F$23)</f>
        <v>0</v>
      </c>
      <c r="F129" s="232" t="s">
        <v>226</v>
      </c>
    </row>
    <row r="130" spans="1:6" ht="13">
      <c r="A130" s="2">
        <f t="shared" ref="A130:A143" si="22">A129+1</f>
        <v>72</v>
      </c>
      <c r="C130" s="231" t="s">
        <v>2409</v>
      </c>
      <c r="D130" s="261">
        <f t="shared" si="20"/>
        <v>0</v>
      </c>
      <c r="E130" s="261">
        <f t="shared" si="21"/>
        <v>0</v>
      </c>
      <c r="F130" s="232" t="s">
        <v>226</v>
      </c>
    </row>
    <row r="131" spans="1:6" ht="13">
      <c r="A131" s="2">
        <f t="shared" si="22"/>
        <v>73</v>
      </c>
      <c r="C131" s="231" t="s">
        <v>2410</v>
      </c>
      <c r="D131" s="261">
        <f t="shared" si="20"/>
        <v>960054.17984632135</v>
      </c>
      <c r="E131" s="261">
        <f t="shared" si="21"/>
        <v>990043.42047326278</v>
      </c>
      <c r="F131" s="232" t="s">
        <v>226</v>
      </c>
    </row>
    <row r="132" spans="1:6" ht="13">
      <c r="A132" s="2">
        <f t="shared" si="22"/>
        <v>74</v>
      </c>
      <c r="C132" s="231" t="s">
        <v>2411</v>
      </c>
      <c r="D132" s="261">
        <f t="shared" si="20"/>
        <v>-726435.05499931774</v>
      </c>
      <c r="E132" s="261">
        <f t="shared" si="21"/>
        <v>-749126.72815854219</v>
      </c>
      <c r="F132" s="232" t="s">
        <v>226</v>
      </c>
    </row>
    <row r="133" spans="1:6" ht="13">
      <c r="A133" s="2">
        <f t="shared" si="22"/>
        <v>75</v>
      </c>
      <c r="C133" s="231" t="s">
        <v>2412</v>
      </c>
      <c r="D133" s="261">
        <f t="shared" si="20"/>
        <v>0</v>
      </c>
      <c r="E133" s="261">
        <f t="shared" si="21"/>
        <v>0</v>
      </c>
      <c r="F133" s="232" t="s">
        <v>226</v>
      </c>
    </row>
    <row r="134" spans="1:6" ht="13">
      <c r="A134" s="2">
        <f t="shared" si="22"/>
        <v>76</v>
      </c>
      <c r="C134" s="231" t="s">
        <v>2413</v>
      </c>
      <c r="D134" s="261">
        <f t="shared" si="20"/>
        <v>0</v>
      </c>
      <c r="E134" s="261">
        <f t="shared" si="21"/>
        <v>0</v>
      </c>
      <c r="F134" s="232" t="s">
        <v>226</v>
      </c>
    </row>
    <row r="135" spans="1:6" ht="13">
      <c r="A135" s="2">
        <f t="shared" si="22"/>
        <v>77</v>
      </c>
      <c r="C135" s="231" t="s">
        <v>2414</v>
      </c>
      <c r="D135" s="261">
        <f t="shared" si="20"/>
        <v>0</v>
      </c>
      <c r="E135" s="261">
        <f t="shared" si="21"/>
        <v>0</v>
      </c>
      <c r="F135" s="232" t="s">
        <v>226</v>
      </c>
    </row>
    <row r="136" spans="1:6" ht="13">
      <c r="A136" s="2">
        <f t="shared" si="22"/>
        <v>78</v>
      </c>
      <c r="C136" s="231" t="s">
        <v>2415</v>
      </c>
      <c r="D136" s="261">
        <f t="shared" si="20"/>
        <v>-161444.45467176652</v>
      </c>
      <c r="E136" s="261">
        <f t="shared" si="21"/>
        <v>-166487.49984637529</v>
      </c>
      <c r="F136" s="232" t="s">
        <v>226</v>
      </c>
    </row>
    <row r="137" spans="1:6" ht="13">
      <c r="A137" s="2">
        <f t="shared" si="22"/>
        <v>79</v>
      </c>
      <c r="C137" s="231" t="s">
        <v>2416</v>
      </c>
      <c r="D137" s="261">
        <f t="shared" si="20"/>
        <v>1549578.9912779022</v>
      </c>
      <c r="E137" s="261">
        <f t="shared" si="21"/>
        <v>1597983.2357626511</v>
      </c>
      <c r="F137" s="232" t="s">
        <v>226</v>
      </c>
    </row>
    <row r="138" spans="1:6" ht="13">
      <c r="A138" s="2">
        <f t="shared" si="22"/>
        <v>80</v>
      </c>
      <c r="C138" s="231" t="s">
        <v>2417</v>
      </c>
      <c r="D138" s="261">
        <f t="shared" ref="D138" si="23">$E$122*(F18/$F$23)</f>
        <v>-2378869.6908296123</v>
      </c>
      <c r="E138" s="261">
        <f t="shared" ref="E138" si="24">$E$124*(F18/$F$23)</f>
        <v>-2453178.5132648698</v>
      </c>
      <c r="F138" s="232" t="s">
        <v>226</v>
      </c>
    </row>
    <row r="139" spans="1:6" ht="13">
      <c r="A139" s="2">
        <f t="shared" si="22"/>
        <v>81</v>
      </c>
      <c r="C139" s="231" t="s">
        <v>2418</v>
      </c>
      <c r="D139" s="261">
        <f t="shared" ref="D139:D141" si="25">$E$122*(F19/$F$23)</f>
        <v>23682348.811485466</v>
      </c>
      <c r="E139" s="261">
        <f t="shared" ref="E139:E141" si="26">$E$124*(F19/$F$23)</f>
        <v>24422115.037212938</v>
      </c>
      <c r="F139" s="232" t="s">
        <v>226</v>
      </c>
    </row>
    <row r="140" spans="1:6" ht="13">
      <c r="A140" s="2" t="s">
        <v>2459</v>
      </c>
      <c r="C140" s="231" t="s">
        <v>2419</v>
      </c>
      <c r="D140" s="261">
        <f t="shared" si="25"/>
        <v>19106.524193788773</v>
      </c>
      <c r="E140" s="261">
        <f t="shared" si="26"/>
        <v>19703.355251473175</v>
      </c>
      <c r="F140" s="232" t="s">
        <v>226</v>
      </c>
    </row>
    <row r="141" spans="1:6" ht="13">
      <c r="A141" s="2" t="s">
        <v>2460</v>
      </c>
      <c r="C141" s="231" t="s">
        <v>1078</v>
      </c>
      <c r="D141" s="261">
        <f t="shared" si="25"/>
        <v>3783454.7243737062</v>
      </c>
      <c r="E141" s="261">
        <f t="shared" si="26"/>
        <v>3901638.6107753506</v>
      </c>
      <c r="F141" s="232" t="s">
        <v>226</v>
      </c>
    </row>
    <row r="142" spans="1:6" ht="13">
      <c r="A142" s="2">
        <f>A139+1</f>
        <v>82</v>
      </c>
      <c r="C142" s="789"/>
      <c r="D142" s="994" t="s">
        <v>389</v>
      </c>
      <c r="E142" s="994" t="s">
        <v>389</v>
      </c>
      <c r="F142" s="232" t="s">
        <v>226</v>
      </c>
    </row>
    <row r="143" spans="1:6" ht="13">
      <c r="A143" s="2">
        <f t="shared" si="22"/>
        <v>83</v>
      </c>
      <c r="C143" s="231" t="s">
        <v>440</v>
      </c>
      <c r="D143" s="6">
        <f>SUM(D129:D142)</f>
        <v>26727794.030676488</v>
      </c>
      <c r="E143" s="6">
        <f>SUM(E129:E142)</f>
        <v>27562690.918205887</v>
      </c>
      <c r="F143" s="232" t="str">
        <f>"Sum of Lines "&amp;A129&amp;" to "&amp;A142&amp;""</f>
        <v>Sum of Lines 71 to 82</v>
      </c>
    </row>
    <row r="145" spans="1:8" ht="13">
      <c r="B145" s="1" t="s">
        <v>2461</v>
      </c>
    </row>
    <row r="146" spans="1:8" ht="13">
      <c r="B146" s="1"/>
    </row>
    <row r="147" spans="1:8" ht="14.5">
      <c r="C147" s="186" t="s">
        <v>2453</v>
      </c>
    </row>
    <row r="148" spans="1:8" ht="13">
      <c r="E148" s="3" t="s">
        <v>105</v>
      </c>
      <c r="F148" s="3" t="s">
        <v>684</v>
      </c>
      <c r="H148" s="1"/>
    </row>
    <row r="149" spans="1:8" ht="13">
      <c r="A149" s="2">
        <f>A143+1</f>
        <v>84</v>
      </c>
      <c r="D149" s="231" t="s">
        <v>2462</v>
      </c>
      <c r="E149" s="6">
        <f>SUM(D67:D70)</f>
        <v>18325258.27785486</v>
      </c>
      <c r="F149" s="12" t="str">
        <f>"Sum Line "&amp;A67&amp;" to "&amp;A70&amp;""</f>
        <v>Sum Line 34 to 37</v>
      </c>
    </row>
    <row r="150" spans="1:8" ht="13">
      <c r="A150" s="2">
        <f t="shared" ref="A150:A157" si="27">A149+1</f>
        <v>85</v>
      </c>
      <c r="D150" s="231" t="s">
        <v>2463</v>
      </c>
      <c r="E150" s="6">
        <f>E122</f>
        <v>26727794.030676484</v>
      </c>
      <c r="F150" s="12" t="str">
        <f>"Line "&amp;A122&amp;""</f>
        <v>Line 68</v>
      </c>
    </row>
    <row r="151" spans="1:8" ht="13">
      <c r="A151" s="2">
        <f t="shared" si="27"/>
        <v>86</v>
      </c>
      <c r="D151" s="231" t="s">
        <v>2464</v>
      </c>
      <c r="E151" s="6">
        <f>SUM(E149:E150)</f>
        <v>45053052.308531344</v>
      </c>
      <c r="F151" s="12" t="str">
        <f>"Line "&amp;A149&amp;" + Line "&amp;A150&amp;""</f>
        <v>Line 84 + Line 85</v>
      </c>
    </row>
    <row r="152" spans="1:8" ht="13">
      <c r="A152" s="2">
        <f t="shared" si="27"/>
        <v>87</v>
      </c>
      <c r="D152" s="231" t="s">
        <v>2465</v>
      </c>
      <c r="E152" s="7">
        <f>'28-FFU'!D22</f>
        <v>9.4093968428810952E-3</v>
      </c>
      <c r="F152" s="232" t="str">
        <f>"28-FFU, Line "&amp;'28-FFU'!A22&amp;""</f>
        <v>28-FFU, Line 5</v>
      </c>
    </row>
    <row r="153" spans="1:8" ht="13">
      <c r="A153" s="2">
        <f t="shared" si="27"/>
        <v>88</v>
      </c>
      <c r="D153" s="231" t="s">
        <v>2466</v>
      </c>
      <c r="E153" s="7">
        <f>'28-FFU'!E22</f>
        <v>2.1827632542004208E-2</v>
      </c>
      <c r="F153" s="232" t="str">
        <f>"28-FFU, Line "&amp;'28-FFU'!A22&amp;""</f>
        <v>28-FFU, Line 5</v>
      </c>
    </row>
    <row r="154" spans="1:8" ht="13">
      <c r="A154" s="2">
        <f t="shared" si="27"/>
        <v>89</v>
      </c>
      <c r="D154" s="231" t="s">
        <v>2467</v>
      </c>
      <c r="E154" s="6">
        <f>E151*E152</f>
        <v>423922.04815405165</v>
      </c>
      <c r="F154" s="12" t="str">
        <f>"Line "&amp;A151&amp;" * Line "&amp;A152&amp;""</f>
        <v>Line 86 * Line 87</v>
      </c>
    </row>
    <row r="155" spans="1:8" ht="13">
      <c r="A155" s="2">
        <f t="shared" si="27"/>
        <v>90</v>
      </c>
      <c r="D155" s="231" t="s">
        <v>2468</v>
      </c>
      <c r="E155" s="6">
        <f>E151*E153</f>
        <v>983401.47068631661</v>
      </c>
      <c r="F155" s="12" t="str">
        <f>"Line "&amp;A151&amp;" * Line "&amp;A153&amp;""</f>
        <v>Line 86 * Line 88</v>
      </c>
    </row>
    <row r="156" spans="1:8" ht="13">
      <c r="A156" s="2">
        <f t="shared" si="27"/>
        <v>91</v>
      </c>
      <c r="D156" s="231" t="s">
        <v>2469</v>
      </c>
      <c r="E156" s="6">
        <f>E151+E154+E155</f>
        <v>46460375.827371709</v>
      </c>
      <c r="F156" s="232" t="str">
        <f>"Line "&amp;A151&amp;" + Line "&amp;A154&amp;" + Line "&amp;A155&amp;""</f>
        <v>Line 86 + Line 89 + Line 90</v>
      </c>
    </row>
    <row r="157" spans="1:8" ht="13">
      <c r="A157" s="2">
        <f t="shared" si="27"/>
        <v>92</v>
      </c>
      <c r="D157" s="231" t="s">
        <v>2470</v>
      </c>
      <c r="E157" s="6">
        <f>E151+E154</f>
        <v>45476974.356685393</v>
      </c>
      <c r="F157" s="232" t="str">
        <f>"Line "&amp;A151&amp;" + Line "&amp;A154&amp;""</f>
        <v>Line 86 + Line 89</v>
      </c>
    </row>
    <row r="159" spans="1:8" ht="14.5">
      <c r="C159" s="186" t="s">
        <v>2471</v>
      </c>
    </row>
    <row r="160" spans="1:8" ht="14.5">
      <c r="C160" s="186"/>
      <c r="D160" s="48" t="s">
        <v>345</v>
      </c>
      <c r="E160" s="48" t="s">
        <v>346</v>
      </c>
      <c r="F160" s="48" t="s">
        <v>347</v>
      </c>
      <c r="G160" s="48" t="s">
        <v>348</v>
      </c>
    </row>
    <row r="161" spans="1:8" ht="12.75" customHeight="1">
      <c r="D161" s="120" t="s">
        <v>2433</v>
      </c>
      <c r="E161" s="120" t="s">
        <v>10</v>
      </c>
    </row>
    <row r="162" spans="1:8" ht="12.75" customHeight="1">
      <c r="D162" s="3" t="s">
        <v>2457</v>
      </c>
      <c r="E162" s="3" t="s">
        <v>2457</v>
      </c>
      <c r="F162" s="3" t="s">
        <v>2445</v>
      </c>
      <c r="G162" s="121" t="s">
        <v>252</v>
      </c>
      <c r="H162" s="3" t="s">
        <v>684</v>
      </c>
    </row>
    <row r="163" spans="1:8" ht="13">
      <c r="A163" s="2">
        <f>A157+1</f>
        <v>93</v>
      </c>
      <c r="C163" s="231" t="s">
        <v>2408</v>
      </c>
      <c r="D163" s="6">
        <f t="shared" ref="D163:D173" si="28">D80+E80+F80</f>
        <v>0</v>
      </c>
      <c r="E163" s="6">
        <f t="shared" ref="E163:E171" si="29">D129</f>
        <v>0</v>
      </c>
      <c r="F163" s="6">
        <f>(D163+E163)*('28-FFU'!$D$22+'28-FFU'!$E$22)</f>
        <v>0</v>
      </c>
      <c r="G163" s="6">
        <f>SUM(D163:F163)</f>
        <v>0</v>
      </c>
      <c r="H163" s="232" t="s">
        <v>217</v>
      </c>
    </row>
    <row r="164" spans="1:8" ht="13">
      <c r="A164" s="2">
        <f t="shared" ref="A164:A177" si="30">A163+1</f>
        <v>94</v>
      </c>
      <c r="C164" s="231" t="s">
        <v>2409</v>
      </c>
      <c r="D164" s="6">
        <f t="shared" si="28"/>
        <v>0</v>
      </c>
      <c r="E164" s="6">
        <f t="shared" si="29"/>
        <v>0</v>
      </c>
      <c r="F164" s="6">
        <f>(D164+E164)*('28-FFU'!$D$22+'28-FFU'!$E$22)</f>
        <v>0</v>
      </c>
      <c r="G164" s="6">
        <f t="shared" ref="G164:G171" si="31">SUM(D164:F164)</f>
        <v>0</v>
      </c>
      <c r="H164" s="232" t="s">
        <v>217</v>
      </c>
    </row>
    <row r="165" spans="1:8" ht="13">
      <c r="A165" s="2">
        <f t="shared" si="30"/>
        <v>95</v>
      </c>
      <c r="C165" s="231" t="s">
        <v>2410</v>
      </c>
      <c r="D165" s="6">
        <f t="shared" si="28"/>
        <v>726427.74351916742</v>
      </c>
      <c r="E165" s="6">
        <f t="shared" si="29"/>
        <v>960054.17984632135</v>
      </c>
      <c r="F165" s="6">
        <f>(D165+E165)*('28-FFU'!$D$22+'28-FFU'!$E$22)</f>
        <v>52680.685397245652</v>
      </c>
      <c r="G165" s="6">
        <f t="shared" si="31"/>
        <v>1739162.6087627343</v>
      </c>
      <c r="H165" s="232" t="s">
        <v>217</v>
      </c>
    </row>
    <row r="166" spans="1:8" ht="13">
      <c r="A166" s="2">
        <f t="shared" si="30"/>
        <v>96</v>
      </c>
      <c r="C166" s="231" t="s">
        <v>2411</v>
      </c>
      <c r="D166" s="6">
        <f t="shared" si="28"/>
        <v>726435.05499931786</v>
      </c>
      <c r="E166" s="6">
        <f t="shared" si="29"/>
        <v>-726435.05499931774</v>
      </c>
      <c r="F166" s="6">
        <f>(D166+E166)*('28-FFU'!$D$22+'28-FFU'!$E$22)</f>
        <v>3.6364688287588423E-12</v>
      </c>
      <c r="G166" s="6">
        <f t="shared" si="31"/>
        <v>1.2005179065569366E-10</v>
      </c>
      <c r="H166" s="232" t="s">
        <v>217</v>
      </c>
    </row>
    <row r="167" spans="1:8" ht="13">
      <c r="A167" s="2">
        <f t="shared" si="30"/>
        <v>97</v>
      </c>
      <c r="C167" s="231" t="s">
        <v>2412</v>
      </c>
      <c r="D167" s="6">
        <f t="shared" si="28"/>
        <v>0</v>
      </c>
      <c r="E167" s="6">
        <f t="shared" si="29"/>
        <v>0</v>
      </c>
      <c r="F167" s="6">
        <f>(D167+E167)*('28-FFU'!$D$22+'28-FFU'!$E$22)</f>
        <v>0</v>
      </c>
      <c r="G167" s="6">
        <f t="shared" si="31"/>
        <v>0</v>
      </c>
      <c r="H167" s="232" t="s">
        <v>217</v>
      </c>
    </row>
    <row r="168" spans="1:8" ht="13">
      <c r="A168" s="2">
        <f t="shared" si="30"/>
        <v>98</v>
      </c>
      <c r="C168" s="231" t="s">
        <v>2413</v>
      </c>
      <c r="D168" s="6">
        <f t="shared" si="28"/>
        <v>0</v>
      </c>
      <c r="E168" s="6">
        <f t="shared" si="29"/>
        <v>0</v>
      </c>
      <c r="F168" s="6">
        <f>(D168+E168)*('28-FFU'!$D$22+'28-FFU'!$E$22)</f>
        <v>0</v>
      </c>
      <c r="G168" s="6">
        <f t="shared" si="31"/>
        <v>0</v>
      </c>
      <c r="H168" s="232" t="s">
        <v>217</v>
      </c>
    </row>
    <row r="169" spans="1:8" ht="13">
      <c r="A169" s="2">
        <f t="shared" si="30"/>
        <v>99</v>
      </c>
      <c r="C169" s="231" t="s">
        <v>2414</v>
      </c>
      <c r="D169" s="6">
        <f t="shared" si="28"/>
        <v>0</v>
      </c>
      <c r="E169" s="6">
        <f t="shared" si="29"/>
        <v>0</v>
      </c>
      <c r="F169" s="6">
        <f>(D169+E169)*('28-FFU'!$D$22+'28-FFU'!$E$22)</f>
        <v>0</v>
      </c>
      <c r="G169" s="6">
        <f t="shared" si="31"/>
        <v>0</v>
      </c>
      <c r="H169" s="232" t="s">
        <v>217</v>
      </c>
    </row>
    <row r="170" spans="1:8" ht="13">
      <c r="A170" s="2">
        <f t="shared" si="30"/>
        <v>100</v>
      </c>
      <c r="C170" s="231" t="s">
        <v>2415</v>
      </c>
      <c r="D170" s="6">
        <f t="shared" si="28"/>
        <v>226661.45603621713</v>
      </c>
      <c r="E170" s="6">
        <f t="shared" si="29"/>
        <v>-161444.45467176652</v>
      </c>
      <c r="F170" s="6">
        <f>(D170+E170)*('28-FFU'!$D$22+'28-FFU'!$E$22)</f>
        <v>2037.1853880154488</v>
      </c>
      <c r="G170" s="6">
        <f t="shared" si="31"/>
        <v>67254.186752466063</v>
      </c>
      <c r="H170" s="232" t="s">
        <v>217</v>
      </c>
    </row>
    <row r="171" spans="1:8" ht="13">
      <c r="A171" s="2">
        <f t="shared" si="30"/>
        <v>101</v>
      </c>
      <c r="C171" s="231" t="s">
        <v>2416</v>
      </c>
      <c r="D171" s="6">
        <f t="shared" si="28"/>
        <v>3459587.8598509221</v>
      </c>
      <c r="E171" s="6">
        <f t="shared" si="29"/>
        <v>1549578.9912779022</v>
      </c>
      <c r="F171" s="6">
        <f>(D171+E171)*('28-FFU'!$D$22+'28-FFU'!$E$22)</f>
        <v>156471.49212250445</v>
      </c>
      <c r="G171" s="6">
        <f t="shared" si="31"/>
        <v>5165638.3432513289</v>
      </c>
      <c r="H171" s="232" t="s">
        <v>217</v>
      </c>
    </row>
    <row r="172" spans="1:8" ht="13">
      <c r="A172" s="2">
        <f t="shared" si="30"/>
        <v>102</v>
      </c>
      <c r="C172" s="231" t="s">
        <v>2417</v>
      </c>
      <c r="D172" s="6">
        <f t="shared" si="28"/>
        <v>2378869.6908296118</v>
      </c>
      <c r="E172" s="6">
        <f t="shared" ref="E172" si="32">D138</f>
        <v>-2378869.6908296123</v>
      </c>
      <c r="F172" s="6">
        <f>(D172+E172)*('28-FFU'!$D$22+'28-FFU'!$E$22)</f>
        <v>-1.4545875315035369E-11</v>
      </c>
      <c r="G172" s="6">
        <f t="shared" ref="G172" si="33">SUM(D172:F172)</f>
        <v>-4.8020716262277466E-10</v>
      </c>
      <c r="H172" s="232" t="s">
        <v>217</v>
      </c>
    </row>
    <row r="173" spans="1:8" ht="13">
      <c r="A173" s="2">
        <f t="shared" si="30"/>
        <v>103</v>
      </c>
      <c r="C173" s="231" t="s">
        <v>2418</v>
      </c>
      <c r="D173" s="6">
        <f t="shared" si="28"/>
        <v>9982487.9751884583</v>
      </c>
      <c r="E173" s="6">
        <f t="shared" ref="E173:E175" si="34">D139</f>
        <v>23682348.811485466</v>
      </c>
      <c r="F173" s="6">
        <f>(D173+E173)*('28-FFU'!$D$22+'28-FFU'!$E$22)</f>
        <v>1051589.4959427011</v>
      </c>
      <c r="G173" s="6">
        <f t="shared" ref="G173:G175" si="35">SUM(D173:F173)</f>
        <v>34716426.28261663</v>
      </c>
      <c r="H173" s="232" t="s">
        <v>217</v>
      </c>
    </row>
    <row r="174" spans="1:8" ht="13">
      <c r="A174" s="2" t="s">
        <v>2472</v>
      </c>
      <c r="C174" s="231" t="s">
        <v>2419</v>
      </c>
      <c r="D174" s="6">
        <f t="shared" ref="D174:D175" si="36">D91+E91+F91</f>
        <v>357062.97813814849</v>
      </c>
      <c r="E174" s="6">
        <f t="shared" si="34"/>
        <v>19106.524193788773</v>
      </c>
      <c r="F174" s="6">
        <f>(D174+E174)*('28-FFU'!$D$22+'28-FFU'!$E$22)</f>
        <v>11750.417798040406</v>
      </c>
      <c r="G174" s="6">
        <f t="shared" si="35"/>
        <v>387919.92012997763</v>
      </c>
      <c r="H174" s="232" t="s">
        <v>217</v>
      </c>
    </row>
    <row r="175" spans="1:8" ht="13">
      <c r="A175" s="2" t="s">
        <v>2473</v>
      </c>
      <c r="C175" s="231" t="s">
        <v>1078</v>
      </c>
      <c r="D175" s="6">
        <f t="shared" si="36"/>
        <v>467725.51929301611</v>
      </c>
      <c r="E175" s="6">
        <f t="shared" si="34"/>
        <v>3783454.7243737062</v>
      </c>
      <c r="F175" s="6">
        <f>(D175+E175)*('28-FFU'!$D$22+'28-FFU'!$E$22)</f>
        <v>132794.24219186127</v>
      </c>
      <c r="G175" s="6">
        <f t="shared" si="35"/>
        <v>4383974.4858585838</v>
      </c>
      <c r="H175" s="232" t="s">
        <v>217</v>
      </c>
    </row>
    <row r="176" spans="1:8" ht="13">
      <c r="A176" s="2">
        <f>A173+1</f>
        <v>104</v>
      </c>
      <c r="C176" s="789"/>
      <c r="D176" s="994" t="s">
        <v>389</v>
      </c>
      <c r="E176" s="994" t="s">
        <v>389</v>
      </c>
      <c r="F176" s="994" t="s">
        <v>389</v>
      </c>
      <c r="G176" s="994" t="s">
        <v>389</v>
      </c>
      <c r="H176" s="232" t="s">
        <v>217</v>
      </c>
    </row>
    <row r="177" spans="1:8" ht="13">
      <c r="A177" s="2">
        <f t="shared" si="30"/>
        <v>105</v>
      </c>
      <c r="C177" s="231" t="s">
        <v>440</v>
      </c>
      <c r="D177" s="6">
        <f>SUM(D163:D176)</f>
        <v>18325258.27785486</v>
      </c>
      <c r="E177" s="6">
        <f>SUM(E163:E176)</f>
        <v>26727794.030676488</v>
      </c>
      <c r="F177" s="6">
        <f>SUM(F163:F176)</f>
        <v>1407323.5188403684</v>
      </c>
      <c r="G177" s="6">
        <f>SUM(G163:G176)</f>
        <v>46460375.827371716</v>
      </c>
    </row>
    <row r="179" spans="1:8" ht="14.5">
      <c r="C179" s="186" t="s">
        <v>2474</v>
      </c>
    </row>
    <row r="180" spans="1:8" ht="14.5">
      <c r="C180" s="186"/>
    </row>
    <row r="181" spans="1:8" ht="13">
      <c r="D181" s="48" t="s">
        <v>345</v>
      </c>
      <c r="E181" s="48" t="s">
        <v>346</v>
      </c>
      <c r="F181" s="48" t="s">
        <v>347</v>
      </c>
      <c r="G181" s="48" t="s">
        <v>348</v>
      </c>
    </row>
    <row r="182" spans="1:8" ht="12.75" customHeight="1">
      <c r="D182" s="120" t="s">
        <v>2433</v>
      </c>
      <c r="E182" s="120" t="s">
        <v>10</v>
      </c>
      <c r="F182" s="48"/>
      <c r="G182" s="48"/>
    </row>
    <row r="183" spans="1:8" ht="12.75" customHeight="1">
      <c r="D183" s="3" t="s">
        <v>2457</v>
      </c>
      <c r="E183" s="3" t="s">
        <v>2457</v>
      </c>
      <c r="F183" s="3" t="s">
        <v>2475</v>
      </c>
      <c r="G183" s="121" t="s">
        <v>252</v>
      </c>
      <c r="H183" s="3" t="s">
        <v>684</v>
      </c>
    </row>
    <row r="184" spans="1:8" ht="13">
      <c r="A184" s="2">
        <f>A177+1</f>
        <v>106</v>
      </c>
      <c r="C184" s="231" t="s">
        <v>2408</v>
      </c>
      <c r="D184" s="6">
        <f t="shared" ref="D184:D192" si="37">D80+E80+F80</f>
        <v>0</v>
      </c>
      <c r="E184" s="6">
        <f t="shared" ref="E184:E192" si="38">D129</f>
        <v>0</v>
      </c>
      <c r="F184" s="6">
        <f>(D184+E184)*('28-FFU'!$D$22)</f>
        <v>0</v>
      </c>
      <c r="G184" s="6">
        <f>SUM(D184:F184)</f>
        <v>0</v>
      </c>
      <c r="H184" s="232" t="s">
        <v>129</v>
      </c>
    </row>
    <row r="185" spans="1:8" ht="13">
      <c r="A185" s="2">
        <f t="shared" ref="A185:A198" si="39">A184+1</f>
        <v>107</v>
      </c>
      <c r="C185" s="231" t="s">
        <v>2409</v>
      </c>
      <c r="D185" s="6">
        <f t="shared" si="37"/>
        <v>0</v>
      </c>
      <c r="E185" s="6">
        <f t="shared" si="38"/>
        <v>0</v>
      </c>
      <c r="F185" s="6">
        <f>(D185+E185)*('28-FFU'!$D$22)</f>
        <v>0</v>
      </c>
      <c r="G185" s="6">
        <f t="shared" ref="G185:G192" si="40">SUM(D185:F185)</f>
        <v>0</v>
      </c>
      <c r="H185" s="232" t="s">
        <v>129</v>
      </c>
    </row>
    <row r="186" spans="1:8" ht="13">
      <c r="A186" s="2">
        <f t="shared" si="39"/>
        <v>108</v>
      </c>
      <c r="C186" s="231" t="s">
        <v>2410</v>
      </c>
      <c r="D186" s="6">
        <f t="shared" si="37"/>
        <v>726427.74351916742</v>
      </c>
      <c r="E186" s="6">
        <f t="shared" si="38"/>
        <v>960054.17984632135</v>
      </c>
      <c r="F186" s="6">
        <f>(D186+E186)*('28-FFU'!$D$22)</f>
        <v>15868.777685291267</v>
      </c>
      <c r="G186" s="6">
        <f t="shared" si="40"/>
        <v>1702350.70105078</v>
      </c>
      <c r="H186" s="232" t="s">
        <v>129</v>
      </c>
    </row>
    <row r="187" spans="1:8" ht="13">
      <c r="A187" s="2">
        <f t="shared" si="39"/>
        <v>109</v>
      </c>
      <c r="C187" s="231" t="s">
        <v>2411</v>
      </c>
      <c r="D187" s="6">
        <f t="shared" si="37"/>
        <v>726435.05499931786</v>
      </c>
      <c r="E187" s="6">
        <f t="shared" si="38"/>
        <v>-726435.05499931774</v>
      </c>
      <c r="F187" s="6">
        <f>(D187+E187)*('28-FFU'!$D$22)</f>
        <v>1.0953979616613471E-12</v>
      </c>
      <c r="G187" s="6">
        <f t="shared" si="40"/>
        <v>1.1751071978859615E-10</v>
      </c>
      <c r="H187" s="232" t="s">
        <v>129</v>
      </c>
    </row>
    <row r="188" spans="1:8" ht="13">
      <c r="A188" s="2">
        <f t="shared" si="39"/>
        <v>110</v>
      </c>
      <c r="C188" s="231" t="s">
        <v>2412</v>
      </c>
      <c r="D188" s="6">
        <f t="shared" si="37"/>
        <v>0</v>
      </c>
      <c r="E188" s="6">
        <f t="shared" si="38"/>
        <v>0</v>
      </c>
      <c r="F188" s="6">
        <f>(D188+E188)*('28-FFU'!$D$22)</f>
        <v>0</v>
      </c>
      <c r="G188" s="6">
        <f t="shared" si="40"/>
        <v>0</v>
      </c>
      <c r="H188" s="232" t="s">
        <v>129</v>
      </c>
    </row>
    <row r="189" spans="1:8" ht="13">
      <c r="A189" s="2">
        <f t="shared" si="39"/>
        <v>111</v>
      </c>
      <c r="C189" s="231" t="s">
        <v>2413</v>
      </c>
      <c r="D189" s="6">
        <f t="shared" si="37"/>
        <v>0</v>
      </c>
      <c r="E189" s="6">
        <f t="shared" si="38"/>
        <v>0</v>
      </c>
      <c r="F189" s="6">
        <f>(D189+E189)*('28-FFU'!$D$22)</f>
        <v>0</v>
      </c>
      <c r="G189" s="6">
        <f t="shared" si="40"/>
        <v>0</v>
      </c>
      <c r="H189" s="232" t="s">
        <v>129</v>
      </c>
    </row>
    <row r="190" spans="1:8" ht="13">
      <c r="A190" s="2">
        <f t="shared" si="39"/>
        <v>112</v>
      </c>
      <c r="C190" s="231" t="s">
        <v>2414</v>
      </c>
      <c r="D190" s="6">
        <f t="shared" si="37"/>
        <v>0</v>
      </c>
      <c r="E190" s="6">
        <f t="shared" si="38"/>
        <v>0</v>
      </c>
      <c r="F190" s="6">
        <f>(D190+E190)*('28-FFU'!$D$22)</f>
        <v>0</v>
      </c>
      <c r="G190" s="6">
        <f t="shared" si="40"/>
        <v>0</v>
      </c>
      <c r="H190" s="232" t="s">
        <v>129</v>
      </c>
    </row>
    <row r="191" spans="1:8" ht="13">
      <c r="A191" s="2">
        <f t="shared" si="39"/>
        <v>113</v>
      </c>
      <c r="C191" s="231" t="s">
        <v>2415</v>
      </c>
      <c r="D191" s="6">
        <f t="shared" si="37"/>
        <v>226661.45603621713</v>
      </c>
      <c r="E191" s="6">
        <f t="shared" si="38"/>
        <v>-161444.45467176652</v>
      </c>
      <c r="F191" s="6">
        <f>(D191+E191)*('28-FFU'!$D$22)</f>
        <v>613.65264674083369</v>
      </c>
      <c r="G191" s="6">
        <f t="shared" si="40"/>
        <v>65830.654011191451</v>
      </c>
      <c r="H191" s="232" t="s">
        <v>129</v>
      </c>
    </row>
    <row r="192" spans="1:8" ht="13">
      <c r="A192" s="2">
        <f t="shared" si="39"/>
        <v>114</v>
      </c>
      <c r="C192" s="231" t="s">
        <v>2416</v>
      </c>
      <c r="D192" s="6">
        <f t="shared" si="37"/>
        <v>3459587.8598509221</v>
      </c>
      <c r="E192" s="6">
        <f t="shared" si="38"/>
        <v>1549578.9912779022</v>
      </c>
      <c r="F192" s="6">
        <f>(D192+E192)*('28-FFU'!$D$22)</f>
        <v>47133.238754476195</v>
      </c>
      <c r="G192" s="6">
        <f t="shared" si="40"/>
        <v>5056300.0898833005</v>
      </c>
      <c r="H192" s="232" t="s">
        <v>129</v>
      </c>
    </row>
    <row r="193" spans="1:8" ht="13">
      <c r="A193" s="2">
        <f t="shared" si="39"/>
        <v>115</v>
      </c>
      <c r="C193" s="231" t="s">
        <v>2417</v>
      </c>
      <c r="D193" s="6">
        <f t="shared" ref="D193" si="41">D89+E89+F89</f>
        <v>2378869.6908296118</v>
      </c>
      <c r="E193" s="6">
        <f t="shared" ref="E193" si="42">D138</f>
        <v>-2378869.6908296123</v>
      </c>
      <c r="F193" s="6">
        <f>(D193+E193)*('28-FFU'!$D$22)</f>
        <v>-4.3815918466453884E-12</v>
      </c>
      <c r="G193" s="6">
        <f t="shared" ref="G193" si="43">SUM(D193:F193)</f>
        <v>-4.700428791543846E-10</v>
      </c>
      <c r="H193" s="232" t="s">
        <v>129</v>
      </c>
    </row>
    <row r="194" spans="1:8" ht="13">
      <c r="A194" s="2">
        <f t="shared" si="39"/>
        <v>116</v>
      </c>
      <c r="C194" s="231" t="s">
        <v>2418</v>
      </c>
      <c r="D194" s="6">
        <f t="shared" ref="D194:D196" si="44">D90+E90+F90</f>
        <v>9982487.9751884583</v>
      </c>
      <c r="E194" s="6">
        <f t="shared" ref="E194:E196" si="45">D139</f>
        <v>23682348.811485466</v>
      </c>
      <c r="F194" s="6">
        <f>(D194+E194)*('28-FFU'!$D$22)</f>
        <v>316765.80897663697</v>
      </c>
      <c r="G194" s="6">
        <f t="shared" ref="G194:G196" si="46">SUM(D194:F194)</f>
        <v>33981602.595650561</v>
      </c>
      <c r="H194" s="232" t="s">
        <v>129</v>
      </c>
    </row>
    <row r="195" spans="1:8" ht="13">
      <c r="A195" s="2" t="s">
        <v>2476</v>
      </c>
      <c r="C195" s="231" t="s">
        <v>2419</v>
      </c>
      <c r="D195" s="6">
        <f t="shared" si="44"/>
        <v>357062.97813814849</v>
      </c>
      <c r="E195" s="6">
        <f t="shared" si="45"/>
        <v>19106.524193788773</v>
      </c>
      <c r="F195" s="6">
        <f>(D195+E195)*('28-FFU'!$D$22)</f>
        <v>3539.5281276302831</v>
      </c>
      <c r="G195" s="6">
        <f t="shared" si="46"/>
        <v>379709.03045956756</v>
      </c>
      <c r="H195" s="232" t="s">
        <v>129</v>
      </c>
    </row>
    <row r="196" spans="1:8" ht="13">
      <c r="A196" s="2" t="s">
        <v>2477</v>
      </c>
      <c r="C196" s="231" t="s">
        <v>1078</v>
      </c>
      <c r="D196" s="6">
        <f t="shared" si="44"/>
        <v>467725.51929301611</v>
      </c>
      <c r="E196" s="6">
        <f t="shared" si="45"/>
        <v>3783454.7243737062</v>
      </c>
      <c r="F196" s="6">
        <f>(D196+E196)*('28-FFU'!$D$22)</f>
        <v>40001.04196327614</v>
      </c>
      <c r="G196" s="6">
        <f t="shared" si="46"/>
        <v>4291181.2856299989</v>
      </c>
      <c r="H196" s="232" t="s">
        <v>129</v>
      </c>
    </row>
    <row r="197" spans="1:8" ht="13">
      <c r="A197" s="2">
        <f>A194+1</f>
        <v>117</v>
      </c>
      <c r="C197" s="789"/>
      <c r="D197" s="994" t="s">
        <v>389</v>
      </c>
      <c r="E197" s="994" t="s">
        <v>389</v>
      </c>
      <c r="F197" s="994" t="s">
        <v>389</v>
      </c>
      <c r="G197" s="994" t="s">
        <v>389</v>
      </c>
      <c r="H197" s="232" t="s">
        <v>129</v>
      </c>
    </row>
    <row r="198" spans="1:8" ht="13">
      <c r="A198" s="2">
        <f t="shared" si="39"/>
        <v>118</v>
      </c>
      <c r="C198" s="231" t="s">
        <v>440</v>
      </c>
      <c r="D198" s="6">
        <f>SUM(D184:D197)</f>
        <v>18325258.27785486</v>
      </c>
      <c r="E198" s="6">
        <f>SUM(E184:E197)</f>
        <v>26727794.030676488</v>
      </c>
      <c r="F198" s="6">
        <f>SUM(F184:F197)</f>
        <v>423922.04815405171</v>
      </c>
      <c r="G198" s="6">
        <f>SUM(G184:G197)</f>
        <v>45476974.3566854</v>
      </c>
    </row>
    <row r="200" spans="1:8" ht="13">
      <c r="B200" s="1" t="s">
        <v>233</v>
      </c>
    </row>
    <row r="201" spans="1:8">
      <c r="B201" s="276" t="str">
        <f>"1) (Sum Lines "&amp;A67&amp;" to "&amp;A70&amp;") * (FF + U Factors from 28-FFU) for Prior Year TRR"</f>
        <v>1) (Sum Lines 34 to 37) * (FF + U Factors from 28-FFU) for Prior Year TRR</v>
      </c>
    </row>
    <row r="202" spans="1:8">
      <c r="B202" s="232" t="str">
        <f>"(Sum Lines "&amp;A67&amp;" to "&amp;A70&amp;") * (FF Factor from 28-FFU) for True Up TRR"</f>
        <v>(Sum Lines 34 to 37) * (FF Factor from 28-FFU) for True Up TRR</v>
      </c>
    </row>
    <row r="203" spans="1:8">
      <c r="B203" s="233" t="str">
        <f>"2) Project Cost of capital is a fraction of total Cost of Capital on Line "&amp;A29&amp;" based on fraction of project CWIP Balances on Lines "&amp;A9&amp;" to "&amp;A23&amp;", Col 1."</f>
        <v>2) Project Cost of capital is a fraction of total Cost of Capital on Line 16 based on fraction of project CWIP Balances on Lines 1 to 13, Col 1.</v>
      </c>
    </row>
    <row r="204" spans="1:8">
      <c r="B204" s="232" t="str">
        <f>"Project Income Taxes is a fraction of total Income on Line "&amp;A37&amp;" based on fraction of project CWIP Balances on Lines "&amp;A9&amp;" to "&amp;A23&amp;", Col 1."</f>
        <v>Project Income Taxes is a fraction of total Income on Line 20 based on fraction of project CWIP Balances on Lines 1 to 13, Col 1.</v>
      </c>
    </row>
    <row r="205" spans="1:8">
      <c r="B205" s="12" t="str">
        <f>"ROE Adder is from Lines "&amp;A69&amp;" and "&amp;A70&amp;".  FF&amp;U Expenses are based on FF&amp;U Factors on 28-FFU."</f>
        <v>ROE Adder is from Lines 36 and 37.  FF&amp;U Expenses are based on FF&amp;U Factors on 28-FFU.</v>
      </c>
    </row>
    <row r="206" spans="1:8">
      <c r="B206" s="233" t="str">
        <f>"3) Project Cost of capital is a fraction of total Cost of Capital on Line "&amp;A29&amp;" based on fraction of project CWIP Balances on Lines "&amp;A9&amp;" to "&amp;A23&amp;", Col 2."</f>
        <v>3) Project Cost of capital is a fraction of total Cost of Capital on Line 16 based on fraction of project CWIP Balances on Lines 1 to 13, Col 2.</v>
      </c>
    </row>
    <row r="207" spans="1:8">
      <c r="B207" s="232" t="str">
        <f>"Project Income Taxes is a fraction of total Income on Line "&amp;A37&amp;" based on fraction of project CWIP Balances on Lines "&amp;A9&amp;" to "&amp;A23&amp;", Col 2."</f>
        <v>Project Income Taxes is a fraction of total Income on Line 20 based on fraction of project CWIP Balances on Lines 1 to 13, Col 2.</v>
      </c>
    </row>
    <row r="208" spans="1:8">
      <c r="B208" s="12" t="str">
        <f>"ROE Adder is from Lines "&amp;A69&amp;" and "&amp;A70&amp;".  FF&amp;U Expenses are based on FF&amp;U Factors on 28-FFU."</f>
        <v>ROE Adder is from Lines 36 and 37.  FF&amp;U Expenses are based on FF&amp;U Factors on 28-FFU.</v>
      </c>
    </row>
    <row r="209" spans="2:2">
      <c r="B209" s="233" t="str">
        <f>"4) Project contribution to total IFPTRR is based on fraction of Forecast Period CWIP Balances on Lines "&amp;A9&amp;" to "&amp;A23&amp;", Col 3."</f>
        <v>4) Project contribution to total IFPTRR is based on fraction of Forecast Period CWIP Balances on Lines 1 to 13, Col 3.</v>
      </c>
    </row>
    <row r="210" spans="2:2">
      <c r="B210" s="233" t="str">
        <f>"5) Column 1 is from Lines "&amp;A80&amp;" to "&amp;A93&amp;", Sum of Column 1-3 (no FF&amp;U)."</f>
        <v>5) Column 1 is from Lines 40 to 51, Sum of Column 1-3 (no FF&amp;U).</v>
      </c>
    </row>
    <row r="211" spans="2:2">
      <c r="B211" s="232" t="str">
        <f>"Column 2 is from Lines "&amp;A129&amp;" to "&amp;A142&amp;" (no FF&amp;U)."</f>
        <v>Column 2 is from Lines 71 to 82 (no FF&amp;U).</v>
      </c>
    </row>
    <row r="212" spans="2:2">
      <c r="B212" s="232" t="str">
        <f>"Column 3 is the product of (C1 + C2) and the sum of FF and U factors (28-FFU, L"&amp;'28-FFU'!A22&amp;")"</f>
        <v>Column 3 is the product of (C1 + C2) and the sum of FF and U factors (28-FFU, L5)</v>
      </c>
    </row>
    <row r="213" spans="2:2">
      <c r="B213" s="233" t="s">
        <v>2478</v>
      </c>
    </row>
  </sheetData>
  <phoneticPr fontId="26" type="noConversion"/>
  <pageMargins left="0.7" right="0.7" top="0.75" bottom="0.75" header="0.3" footer="0.3"/>
  <pageSetup scale="70" fitToHeight="0" orientation="portrait" cellComments="asDisplayed" r:id="rId1"/>
  <headerFooter>
    <oddHeader>&amp;CSchedule 24
CWIP TRR
&amp;RTO2027 Draft Annual Update 
Attachment 1</oddHeader>
    <oddFooter>&amp;R&amp;A</oddFooter>
  </headerFooter>
  <rowBreaks count="2" manualBreakCount="2">
    <brk id="72" max="9" man="1"/>
    <brk id="14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98CE9-C0C2-442D-954D-5650409D9AAC}">
  <sheetPr>
    <pageSetUpPr fitToPage="1"/>
  </sheetPr>
  <dimension ref="A1:L80"/>
  <sheetViews>
    <sheetView zoomScaleNormal="100" workbookViewId="0"/>
  </sheetViews>
  <sheetFormatPr defaultRowHeight="12.5"/>
  <cols>
    <col min="1" max="1" width="4.54296875" customWidth="1"/>
    <col min="6" max="6" width="17.81640625" customWidth="1"/>
    <col min="7" max="7" width="23.1796875" customWidth="1"/>
    <col min="8" max="8" width="15.54296875" customWidth="1"/>
    <col min="9" max="9" width="16.54296875" bestFit="1" customWidth="1"/>
    <col min="10" max="10" width="7.453125" customWidth="1"/>
  </cols>
  <sheetData>
    <row r="1" spans="1:12" ht="13">
      <c r="A1" s="1" t="s">
        <v>2479</v>
      </c>
      <c r="B1" s="112"/>
      <c r="C1" s="112"/>
      <c r="D1" s="112"/>
      <c r="E1" s="112"/>
      <c r="F1" s="112"/>
      <c r="G1" s="112"/>
      <c r="H1" s="112"/>
      <c r="I1" s="112"/>
      <c r="J1" s="112"/>
      <c r="K1" s="112"/>
      <c r="L1" s="112"/>
    </row>
    <row r="2" spans="1:12" ht="13">
      <c r="A2" s="1"/>
      <c r="B2" s="112"/>
      <c r="C2" s="39" t="s">
        <v>200</v>
      </c>
      <c r="D2" s="240" t="s">
        <v>2480</v>
      </c>
      <c r="E2" s="794"/>
      <c r="F2" s="198"/>
      <c r="G2" s="112"/>
      <c r="H2" s="226" t="s">
        <v>650</v>
      </c>
      <c r="I2" s="198"/>
      <c r="J2" s="112"/>
      <c r="K2" s="112"/>
      <c r="L2" s="112"/>
    </row>
    <row r="3" spans="1:12" ht="13">
      <c r="A3" s="1"/>
      <c r="B3" s="112" t="s">
        <v>2481</v>
      </c>
      <c r="C3" s="112"/>
      <c r="D3" s="112"/>
      <c r="E3" s="112"/>
      <c r="F3" s="112"/>
      <c r="G3" s="112"/>
      <c r="H3" s="112"/>
      <c r="I3" s="112"/>
      <c r="J3" s="112"/>
      <c r="K3" s="112"/>
      <c r="L3" s="112"/>
    </row>
    <row r="4" spans="1:12" ht="13">
      <c r="A4" s="1"/>
      <c r="B4" s="112" t="s">
        <v>2482</v>
      </c>
      <c r="C4" s="112"/>
      <c r="D4" s="112"/>
      <c r="E4" s="112"/>
      <c r="F4" s="112"/>
      <c r="G4" s="112"/>
      <c r="H4" s="112"/>
      <c r="I4" s="112"/>
      <c r="J4" s="112"/>
      <c r="K4" s="112"/>
      <c r="L4" s="112"/>
    </row>
    <row r="5" spans="1:12" ht="13">
      <c r="A5" s="1"/>
      <c r="B5" s="112"/>
      <c r="C5" s="112"/>
      <c r="D5" s="112"/>
      <c r="E5" s="112"/>
      <c r="F5" s="112"/>
      <c r="G5" s="112"/>
      <c r="H5" s="112"/>
      <c r="I5" s="112"/>
      <c r="J5" s="112"/>
      <c r="K5" s="112"/>
      <c r="L5" s="112"/>
    </row>
    <row r="6" spans="1:12" ht="13">
      <c r="A6" s="1"/>
      <c r="B6" s="112"/>
      <c r="C6" s="112"/>
      <c r="D6" s="112"/>
      <c r="E6" s="112"/>
      <c r="F6" s="112"/>
      <c r="G6" s="112"/>
      <c r="H6" s="112"/>
      <c r="I6" s="112"/>
      <c r="J6" s="112"/>
      <c r="K6" s="112"/>
      <c r="L6" s="112"/>
    </row>
    <row r="7" spans="1:12" ht="13">
      <c r="A7" s="30" t="s">
        <v>282</v>
      </c>
      <c r="B7" s="40" t="s">
        <v>2483</v>
      </c>
      <c r="G7" s="232"/>
      <c r="H7" s="6"/>
    </row>
    <row r="8" spans="1:12" ht="13">
      <c r="A8" s="4">
        <v>1</v>
      </c>
      <c r="B8" s="123"/>
      <c r="G8" s="18" t="s">
        <v>684</v>
      </c>
      <c r="H8" s="6"/>
      <c r="I8" s="32" t="s">
        <v>2484</v>
      </c>
    </row>
    <row r="9" spans="1:12" ht="13">
      <c r="A9" s="4">
        <v>2</v>
      </c>
      <c r="B9" s="123" t="s">
        <v>2485</v>
      </c>
      <c r="G9" s="232" t="s">
        <v>957</v>
      </c>
      <c r="H9" s="59">
        <v>601926.38500000001</v>
      </c>
      <c r="I9" s="232" t="s">
        <v>147</v>
      </c>
    </row>
    <row r="10" spans="1:12" ht="13">
      <c r="A10" s="4">
        <v>3</v>
      </c>
      <c r="B10" s="123" t="s">
        <v>2486</v>
      </c>
      <c r="G10" s="232" t="s">
        <v>957</v>
      </c>
      <c r="H10" s="61">
        <v>0</v>
      </c>
      <c r="I10" s="232" t="s">
        <v>147</v>
      </c>
    </row>
    <row r="11" spans="1:12" ht="13">
      <c r="A11" s="4">
        <v>4</v>
      </c>
      <c r="B11" s="123" t="s">
        <v>2487</v>
      </c>
      <c r="G11" s="279" t="s">
        <v>2488</v>
      </c>
      <c r="H11" s="235">
        <f>SUM(H9:H10)</f>
        <v>601926.38500000001</v>
      </c>
    </row>
    <row r="12" spans="1:12" ht="13">
      <c r="A12" s="4">
        <v>5</v>
      </c>
      <c r="B12" s="123" t="s">
        <v>145</v>
      </c>
      <c r="G12" s="123" t="str">
        <f>"27-Allocators, Line "&amp;'27-Allocators'!A15&amp;""</f>
        <v>27-Allocators, Line 9</v>
      </c>
      <c r="H12" s="29">
        <f>'27-Allocators'!G15</f>
        <v>6.4531762547854879E-2</v>
      </c>
    </row>
    <row r="13" spans="1:12" ht="13">
      <c r="A13" s="4">
        <v>6</v>
      </c>
      <c r="B13" s="123" t="s">
        <v>2489</v>
      </c>
      <c r="G13" s="279" t="s">
        <v>2490</v>
      </c>
      <c r="H13" s="6">
        <f>H11*H12</f>
        <v>38843.37054810868</v>
      </c>
    </row>
    <row r="14" spans="1:12" ht="13">
      <c r="A14" s="2">
        <v>7</v>
      </c>
      <c r="B14" s="232" t="s">
        <v>2491</v>
      </c>
      <c r="C14" s="610"/>
      <c r="D14" s="610"/>
      <c r="E14" s="610"/>
      <c r="F14" s="610"/>
      <c r="G14" s="1020"/>
      <c r="H14" s="199">
        <v>63144.106028019793</v>
      </c>
      <c r="I14" s="232" t="s">
        <v>168</v>
      </c>
    </row>
    <row r="15" spans="1:12" ht="13">
      <c r="A15" s="2">
        <v>8</v>
      </c>
      <c r="B15" s="123"/>
      <c r="G15" s="231" t="s">
        <v>2492</v>
      </c>
      <c r="H15" s="235">
        <f>SUM(H13:H14)</f>
        <v>101987.47657612848</v>
      </c>
      <c r="I15" s="232" t="s">
        <v>2493</v>
      </c>
    </row>
    <row r="16" spans="1:12">
      <c r="A16" s="233"/>
      <c r="B16" s="112"/>
      <c r="C16" s="112"/>
      <c r="D16" s="112"/>
      <c r="E16" s="112"/>
      <c r="F16" s="112"/>
      <c r="G16" s="112"/>
      <c r="H16" s="112"/>
      <c r="I16" s="112"/>
      <c r="J16" s="112"/>
      <c r="K16" s="112"/>
      <c r="L16" s="112"/>
    </row>
    <row r="17" spans="1:12" ht="13">
      <c r="A17" s="233"/>
      <c r="B17" s="40" t="s">
        <v>2494</v>
      </c>
      <c r="C17" s="112"/>
      <c r="D17" s="112"/>
      <c r="E17" s="112"/>
      <c r="F17" s="112"/>
      <c r="G17" s="112"/>
      <c r="H17" s="112"/>
      <c r="I17" s="112"/>
      <c r="J17" s="112"/>
      <c r="K17" s="112"/>
      <c r="L17" s="112"/>
    </row>
    <row r="18" spans="1:12" ht="13">
      <c r="A18" s="233"/>
      <c r="C18" s="112"/>
      <c r="D18" s="112"/>
      <c r="E18" s="112"/>
      <c r="F18" s="112"/>
      <c r="G18" s="18" t="s">
        <v>684</v>
      </c>
      <c r="H18" s="3" t="s">
        <v>105</v>
      </c>
      <c r="I18" s="32" t="s">
        <v>2484</v>
      </c>
      <c r="J18" s="112"/>
      <c r="K18" s="112"/>
      <c r="L18" s="112"/>
    </row>
    <row r="19" spans="1:12" ht="13">
      <c r="A19" s="4">
        <v>9</v>
      </c>
      <c r="B19" s="112" t="s">
        <v>2495</v>
      </c>
      <c r="C19" s="112"/>
      <c r="D19" s="112"/>
      <c r="E19" s="112"/>
      <c r="F19" s="112"/>
      <c r="G19" s="279" t="s">
        <v>2496</v>
      </c>
      <c r="H19" s="114">
        <f>-H15</f>
        <v>-101987.47657612848</v>
      </c>
      <c r="I19" s="112"/>
      <c r="J19" s="112"/>
      <c r="K19" s="112"/>
      <c r="L19" s="112"/>
    </row>
    <row r="20" spans="1:12" ht="13">
      <c r="A20" s="4">
        <v>10</v>
      </c>
      <c r="B20" s="233" t="s">
        <v>2497</v>
      </c>
      <c r="C20" s="112"/>
      <c r="D20" s="112"/>
      <c r="E20" s="112"/>
      <c r="F20" s="112"/>
      <c r="G20" s="123" t="s">
        <v>2498</v>
      </c>
      <c r="H20" s="114">
        <f>-'1-BaseTRR'!K142</f>
        <v>-29372238.856901288</v>
      </c>
      <c r="I20" s="112"/>
      <c r="J20" s="112"/>
      <c r="K20" s="112"/>
      <c r="L20" s="112"/>
    </row>
    <row r="21" spans="1:12" ht="13">
      <c r="A21" s="4">
        <v>11</v>
      </c>
      <c r="B21" s="233" t="s">
        <v>2499</v>
      </c>
      <c r="C21" s="112"/>
      <c r="D21" s="112"/>
      <c r="E21" s="112"/>
      <c r="F21" s="112"/>
      <c r="G21" s="123" t="s">
        <v>2500</v>
      </c>
      <c r="H21" s="183">
        <f>-'2-IFPTRR'!D89</f>
        <v>-2512632.0948788831</v>
      </c>
      <c r="I21" s="112"/>
      <c r="J21" s="112"/>
      <c r="K21" s="112"/>
      <c r="L21" s="112"/>
    </row>
    <row r="22" spans="1:12" ht="13">
      <c r="A22" s="4">
        <v>12</v>
      </c>
      <c r="B22" s="233" t="s">
        <v>2501</v>
      </c>
      <c r="C22" s="112"/>
      <c r="D22" s="112"/>
      <c r="E22" s="112"/>
      <c r="F22" s="112"/>
      <c r="G22" s="232" t="s">
        <v>2502</v>
      </c>
      <c r="H22" s="114">
        <f>SUM(H19:H21)</f>
        <v>-31986858.428356297</v>
      </c>
      <c r="I22" s="112"/>
      <c r="J22" s="112"/>
      <c r="K22" s="112"/>
      <c r="L22" s="112"/>
    </row>
    <row r="23" spans="1:12" ht="13">
      <c r="A23" s="4">
        <v>13</v>
      </c>
      <c r="B23" s="233" t="s">
        <v>2503</v>
      </c>
      <c r="C23" s="112"/>
      <c r="D23" s="112"/>
      <c r="E23" s="112"/>
      <c r="F23" s="112"/>
      <c r="H23" s="183">
        <f>'28-FFU'!D22*H19</f>
        <v>-959.64064010883294</v>
      </c>
      <c r="I23" s="232" t="s">
        <v>2449</v>
      </c>
      <c r="J23" s="112"/>
      <c r="K23" s="112"/>
      <c r="L23" s="112"/>
    </row>
    <row r="24" spans="1:12" ht="13">
      <c r="A24" s="4">
        <v>14</v>
      </c>
      <c r="B24" t="s">
        <v>2504</v>
      </c>
      <c r="C24" s="112"/>
      <c r="D24" s="112"/>
      <c r="E24" s="112"/>
      <c r="F24" s="112"/>
      <c r="G24" s="232" t="s">
        <v>2505</v>
      </c>
      <c r="H24" s="114">
        <f>H22+H23</f>
        <v>-31987818.068996407</v>
      </c>
      <c r="I24" s="1021"/>
      <c r="J24" s="112"/>
      <c r="K24" s="112"/>
      <c r="L24" s="112"/>
    </row>
    <row r="25" spans="1:12">
      <c r="A25" s="112"/>
      <c r="C25" s="112"/>
      <c r="D25" s="112"/>
      <c r="E25" s="112"/>
      <c r="F25" s="112"/>
      <c r="G25" s="112"/>
      <c r="H25" s="112"/>
      <c r="I25" s="112"/>
      <c r="J25" s="112"/>
      <c r="K25" s="112"/>
      <c r="L25" s="112"/>
    </row>
    <row r="26" spans="1:12" ht="13">
      <c r="A26" s="112"/>
      <c r="B26" s="197" t="s">
        <v>2506</v>
      </c>
      <c r="C26" s="112"/>
      <c r="D26" s="112"/>
      <c r="E26" s="112"/>
      <c r="F26" s="112"/>
      <c r="G26" s="112"/>
      <c r="H26" s="112"/>
      <c r="I26" s="112"/>
      <c r="J26" s="112"/>
      <c r="K26" s="112"/>
      <c r="L26" s="112"/>
    </row>
    <row r="27" spans="1:12">
      <c r="A27" s="112"/>
      <c r="B27" s="232" t="s">
        <v>2507</v>
      </c>
      <c r="C27" s="610"/>
      <c r="D27" s="610"/>
      <c r="E27" s="610"/>
      <c r="F27" s="610"/>
      <c r="G27" s="610"/>
      <c r="H27" s="812"/>
      <c r="I27" s="112"/>
      <c r="J27" s="586"/>
      <c r="K27" s="112"/>
      <c r="L27" s="112"/>
    </row>
    <row r="28" spans="1:12" ht="13">
      <c r="A28" s="112"/>
      <c r="B28" s="232" t="s">
        <v>2508</v>
      </c>
      <c r="C28" s="610"/>
      <c r="D28" s="610"/>
      <c r="E28" s="610"/>
      <c r="F28" s="610"/>
      <c r="G28" s="661"/>
      <c r="I28" s="112"/>
      <c r="J28" s="112"/>
      <c r="K28" s="112"/>
      <c r="L28" s="112"/>
    </row>
    <row r="29" spans="1:12">
      <c r="A29" s="112"/>
      <c r="B29" s="232" t="s">
        <v>2509</v>
      </c>
      <c r="C29" s="610"/>
      <c r="D29" s="610"/>
      <c r="E29" s="610"/>
      <c r="F29" s="610"/>
      <c r="G29" s="610"/>
      <c r="I29" s="112"/>
      <c r="J29" s="112"/>
      <c r="K29" s="112"/>
      <c r="L29" s="112"/>
    </row>
    <row r="30" spans="1:12">
      <c r="A30" s="112"/>
      <c r="B30" s="247" t="s">
        <v>2510</v>
      </c>
      <c r="C30" s="610"/>
      <c r="D30" s="610"/>
      <c r="E30" s="610"/>
      <c r="F30" s="610"/>
      <c r="G30" s="610"/>
      <c r="I30" s="112"/>
      <c r="J30" s="112"/>
      <c r="K30" s="112"/>
      <c r="L30" s="112"/>
    </row>
    <row r="31" spans="1:12">
      <c r="A31" s="112"/>
      <c r="B31" s="112"/>
      <c r="C31" s="112"/>
      <c r="D31" s="112"/>
      <c r="E31" s="112"/>
      <c r="F31" s="112"/>
      <c r="G31" s="112"/>
      <c r="H31" s="112"/>
      <c r="I31" s="112"/>
      <c r="J31" s="112"/>
      <c r="K31" s="112"/>
      <c r="L31" s="112"/>
    </row>
    <row r="32" spans="1:12">
      <c r="A32" s="112"/>
      <c r="B32" s="112"/>
      <c r="C32" s="112"/>
      <c r="D32" s="112"/>
      <c r="E32" s="112"/>
      <c r="F32" s="112"/>
      <c r="G32" s="112"/>
      <c r="H32" s="112"/>
      <c r="I32" s="112"/>
      <c r="J32" s="112"/>
      <c r="K32" s="112"/>
      <c r="L32" s="112"/>
    </row>
    <row r="33" spans="1:12">
      <c r="A33" s="112"/>
      <c r="B33" s="112"/>
      <c r="C33" s="112"/>
      <c r="D33" s="112"/>
      <c r="E33" s="112"/>
      <c r="F33" s="112"/>
      <c r="G33" s="112"/>
      <c r="H33" s="112"/>
      <c r="I33" s="112"/>
      <c r="J33" s="112"/>
      <c r="K33" s="112"/>
      <c r="L33" s="112"/>
    </row>
    <row r="34" spans="1:12">
      <c r="A34" s="112"/>
      <c r="B34" s="112"/>
      <c r="C34" s="112"/>
      <c r="D34" s="112"/>
      <c r="E34" s="112"/>
      <c r="F34" s="112"/>
      <c r="G34" s="112"/>
      <c r="H34" s="112"/>
      <c r="I34" s="112"/>
      <c r="J34" s="112"/>
      <c r="K34" s="112"/>
      <c r="L34" s="112"/>
    </row>
    <row r="35" spans="1:12">
      <c r="A35" s="112"/>
      <c r="B35" s="112"/>
      <c r="C35" s="112"/>
      <c r="D35" s="112"/>
      <c r="E35" s="112"/>
      <c r="F35" s="112"/>
      <c r="G35" s="112"/>
      <c r="H35" s="112"/>
      <c r="I35" s="112"/>
      <c r="J35" s="112"/>
      <c r="K35" s="112"/>
      <c r="L35" s="112"/>
    </row>
    <row r="36" spans="1:12">
      <c r="A36" s="112"/>
      <c r="B36" s="112"/>
      <c r="C36" s="112"/>
      <c r="D36" s="112"/>
      <c r="E36" s="112"/>
      <c r="F36" s="112"/>
      <c r="G36" s="112"/>
      <c r="H36" s="112"/>
      <c r="I36" s="112"/>
      <c r="J36" s="112"/>
      <c r="K36" s="112"/>
      <c r="L36" s="112"/>
    </row>
    <row r="37" spans="1:12">
      <c r="A37" s="112"/>
      <c r="B37" s="112"/>
      <c r="C37" s="112"/>
      <c r="D37" s="112"/>
      <c r="E37" s="112"/>
      <c r="F37" s="112"/>
      <c r="G37" s="112"/>
      <c r="H37" s="112"/>
      <c r="I37" s="112"/>
      <c r="J37" s="112"/>
      <c r="K37" s="112"/>
      <c r="L37" s="112"/>
    </row>
    <row r="38" spans="1:12">
      <c r="A38" s="112"/>
      <c r="B38" s="112"/>
      <c r="C38" s="112"/>
      <c r="D38" s="112"/>
      <c r="E38" s="112"/>
      <c r="F38" s="112"/>
      <c r="G38" s="112"/>
      <c r="H38" s="112"/>
      <c r="I38" s="112"/>
      <c r="J38" s="112"/>
      <c r="K38" s="112"/>
      <c r="L38" s="112"/>
    </row>
    <row r="39" spans="1:12">
      <c r="A39" s="112"/>
      <c r="B39" s="112"/>
      <c r="C39" s="112"/>
      <c r="D39" s="112"/>
      <c r="E39" s="112"/>
      <c r="F39" s="112"/>
      <c r="G39" s="112"/>
      <c r="H39" s="112"/>
      <c r="I39" s="112"/>
      <c r="J39" s="112"/>
      <c r="K39" s="112"/>
      <c r="L39" s="112"/>
    </row>
    <row r="40" spans="1:12">
      <c r="A40" s="112"/>
      <c r="B40" s="112"/>
      <c r="C40" s="112"/>
      <c r="D40" s="112"/>
      <c r="E40" s="112"/>
      <c r="F40" s="112"/>
      <c r="G40" s="112"/>
      <c r="H40" s="112"/>
      <c r="I40" s="112"/>
      <c r="J40" s="112"/>
      <c r="K40" s="112"/>
      <c r="L40" s="112"/>
    </row>
    <row r="41" spans="1:12">
      <c r="A41" s="112"/>
      <c r="B41" s="112"/>
      <c r="C41" s="112"/>
      <c r="D41" s="112"/>
      <c r="E41" s="112"/>
      <c r="F41" s="112"/>
      <c r="G41" s="112"/>
      <c r="H41" s="112"/>
      <c r="I41" s="112"/>
      <c r="J41" s="112"/>
      <c r="K41" s="112"/>
      <c r="L41" s="112"/>
    </row>
    <row r="42" spans="1:12">
      <c r="A42" s="112"/>
      <c r="B42" s="112"/>
      <c r="C42" s="112"/>
      <c r="D42" s="112"/>
      <c r="E42" s="112"/>
      <c r="F42" s="112"/>
      <c r="G42" s="112"/>
      <c r="H42" s="112"/>
      <c r="I42" s="112"/>
      <c r="J42" s="112"/>
      <c r="K42" s="112"/>
      <c r="L42" s="112"/>
    </row>
    <row r="43" spans="1:12">
      <c r="A43" s="112"/>
      <c r="B43" s="112"/>
      <c r="C43" s="112"/>
      <c r="D43" s="112"/>
      <c r="E43" s="112"/>
      <c r="F43" s="112"/>
      <c r="G43" s="112"/>
      <c r="H43" s="112"/>
      <c r="I43" s="112"/>
      <c r="J43" s="112"/>
      <c r="K43" s="112"/>
      <c r="L43" s="112"/>
    </row>
    <row r="44" spans="1:12">
      <c r="A44" s="112"/>
      <c r="B44" s="112"/>
      <c r="C44" s="112"/>
      <c r="D44" s="112"/>
      <c r="E44" s="112"/>
      <c r="F44" s="112"/>
      <c r="G44" s="112"/>
      <c r="H44" s="112"/>
      <c r="I44" s="112"/>
      <c r="J44" s="112"/>
      <c r="K44" s="112"/>
      <c r="L44" s="112"/>
    </row>
    <row r="45" spans="1:12">
      <c r="A45" s="112"/>
      <c r="B45" s="112"/>
      <c r="C45" s="112"/>
      <c r="D45" s="112"/>
      <c r="E45" s="112"/>
      <c r="F45" s="112"/>
      <c r="G45" s="112"/>
      <c r="H45" s="112"/>
      <c r="I45" s="112"/>
      <c r="J45" s="112"/>
      <c r="K45" s="112"/>
      <c r="L45" s="112"/>
    </row>
    <row r="46" spans="1:12">
      <c r="A46" s="112"/>
      <c r="B46" s="112"/>
      <c r="C46" s="112"/>
      <c r="D46" s="112"/>
      <c r="E46" s="112"/>
      <c r="F46" s="112"/>
      <c r="G46" s="112"/>
      <c r="H46" s="112"/>
      <c r="I46" s="112"/>
      <c r="J46" s="112"/>
      <c r="K46" s="112"/>
      <c r="L46" s="112"/>
    </row>
    <row r="47" spans="1:12">
      <c r="A47" s="112"/>
      <c r="B47" s="112"/>
      <c r="C47" s="112"/>
      <c r="D47" s="112"/>
      <c r="E47" s="112"/>
      <c r="F47" s="112"/>
      <c r="G47" s="112"/>
      <c r="H47" s="112"/>
      <c r="I47" s="112"/>
      <c r="J47" s="112"/>
      <c r="K47" s="112"/>
      <c r="L47" s="112"/>
    </row>
    <row r="48" spans="1:12">
      <c r="A48" s="112"/>
      <c r="B48" s="112"/>
      <c r="C48" s="112"/>
      <c r="D48" s="112"/>
      <c r="E48" s="112"/>
      <c r="F48" s="112"/>
      <c r="G48" s="112"/>
      <c r="H48" s="112"/>
      <c r="I48" s="112"/>
      <c r="J48" s="112"/>
      <c r="K48" s="112"/>
      <c r="L48" s="112"/>
    </row>
    <row r="49" spans="1:12">
      <c r="A49" s="112"/>
      <c r="B49" s="112"/>
      <c r="C49" s="112"/>
      <c r="D49" s="112"/>
      <c r="E49" s="112"/>
      <c r="F49" s="112"/>
      <c r="G49" s="112"/>
      <c r="H49" s="112"/>
      <c r="I49" s="112"/>
      <c r="J49" s="112"/>
      <c r="K49" s="112"/>
      <c r="L49" s="112"/>
    </row>
    <row r="50" spans="1:12">
      <c r="A50" s="112"/>
      <c r="B50" s="112"/>
      <c r="C50" s="112"/>
      <c r="D50" s="112"/>
      <c r="E50" s="112"/>
      <c r="F50" s="112"/>
      <c r="G50" s="112"/>
      <c r="H50" s="112"/>
      <c r="I50" s="112"/>
      <c r="J50" s="112"/>
      <c r="K50" s="112"/>
      <c r="L50" s="112"/>
    </row>
    <row r="51" spans="1:12">
      <c r="A51" s="112"/>
      <c r="B51" s="112"/>
      <c r="C51" s="112"/>
      <c r="D51" s="112"/>
      <c r="E51" s="112"/>
      <c r="F51" s="112"/>
      <c r="G51" s="112"/>
      <c r="H51" s="112"/>
      <c r="I51" s="112"/>
      <c r="J51" s="112"/>
      <c r="K51" s="112"/>
      <c r="L51" s="112"/>
    </row>
    <row r="52" spans="1:12">
      <c r="A52" s="112"/>
      <c r="B52" s="112"/>
      <c r="C52" s="112"/>
      <c r="D52" s="112"/>
      <c r="E52" s="112"/>
      <c r="F52" s="112"/>
      <c r="G52" s="112"/>
      <c r="H52" s="112"/>
      <c r="I52" s="112"/>
      <c r="J52" s="112"/>
      <c r="K52" s="112"/>
      <c r="L52" s="112"/>
    </row>
    <row r="53" spans="1:12">
      <c r="A53" s="112"/>
      <c r="B53" s="112"/>
      <c r="C53" s="112"/>
      <c r="D53" s="112"/>
      <c r="E53" s="112"/>
      <c r="F53" s="112"/>
      <c r="G53" s="112"/>
      <c r="H53" s="112"/>
      <c r="I53" s="112"/>
      <c r="J53" s="112"/>
      <c r="K53" s="112"/>
      <c r="L53" s="112"/>
    </row>
    <row r="54" spans="1:12">
      <c r="A54" s="112"/>
      <c r="B54" s="112"/>
      <c r="C54" s="112"/>
      <c r="D54" s="112"/>
      <c r="E54" s="112"/>
      <c r="F54" s="112"/>
      <c r="G54" s="112"/>
      <c r="H54" s="112"/>
      <c r="I54" s="112"/>
      <c r="J54" s="112"/>
      <c r="K54" s="112"/>
      <c r="L54" s="112"/>
    </row>
    <row r="55" spans="1:12">
      <c r="A55" s="112"/>
      <c r="B55" s="112"/>
      <c r="C55" s="112"/>
      <c r="D55" s="112"/>
      <c r="E55" s="112"/>
      <c r="F55" s="112"/>
      <c r="G55" s="112"/>
      <c r="H55" s="112"/>
      <c r="I55" s="112"/>
      <c r="J55" s="112"/>
      <c r="K55" s="112"/>
      <c r="L55" s="112"/>
    </row>
    <row r="56" spans="1:12">
      <c r="A56" s="112"/>
      <c r="B56" s="112"/>
      <c r="C56" s="112"/>
      <c r="D56" s="112"/>
      <c r="E56" s="112"/>
      <c r="F56" s="112"/>
      <c r="G56" s="112"/>
      <c r="H56" s="112"/>
      <c r="I56" s="112"/>
      <c r="J56" s="112"/>
      <c r="K56" s="112"/>
      <c r="L56" s="112"/>
    </row>
    <row r="57" spans="1:12">
      <c r="A57" s="112"/>
      <c r="B57" s="112"/>
      <c r="C57" s="112"/>
      <c r="D57" s="112"/>
      <c r="E57" s="112"/>
      <c r="F57" s="112"/>
      <c r="G57" s="112"/>
      <c r="H57" s="112"/>
      <c r="I57" s="112"/>
      <c r="J57" s="112"/>
      <c r="K57" s="112"/>
      <c r="L57" s="112"/>
    </row>
    <row r="58" spans="1:12">
      <c r="A58" s="112"/>
      <c r="B58" s="112"/>
      <c r="C58" s="112"/>
      <c r="D58" s="112"/>
      <c r="E58" s="112"/>
      <c r="F58" s="112"/>
      <c r="G58" s="112"/>
      <c r="H58" s="112"/>
      <c r="I58" s="112"/>
      <c r="J58" s="112"/>
      <c r="K58" s="112"/>
      <c r="L58" s="112"/>
    </row>
    <row r="59" spans="1:12">
      <c r="A59" s="112"/>
      <c r="B59" s="112"/>
      <c r="C59" s="112"/>
      <c r="D59" s="112"/>
      <c r="E59" s="112"/>
      <c r="F59" s="112"/>
      <c r="G59" s="112"/>
      <c r="H59" s="112"/>
      <c r="I59" s="112"/>
      <c r="J59" s="112"/>
      <c r="K59" s="112"/>
      <c r="L59" s="112"/>
    </row>
    <row r="60" spans="1:12">
      <c r="A60" s="112"/>
      <c r="B60" s="112"/>
      <c r="C60" s="112"/>
      <c r="D60" s="112"/>
      <c r="E60" s="112"/>
      <c r="F60" s="112"/>
      <c r="G60" s="112"/>
      <c r="H60" s="112"/>
      <c r="I60" s="112"/>
      <c r="J60" s="112"/>
      <c r="K60" s="112"/>
      <c r="L60" s="112"/>
    </row>
    <row r="61" spans="1:12">
      <c r="A61" s="112"/>
      <c r="B61" s="112"/>
      <c r="C61" s="112"/>
      <c r="D61" s="112"/>
      <c r="E61" s="112"/>
      <c r="F61" s="112"/>
      <c r="G61" s="112"/>
      <c r="H61" s="112"/>
      <c r="I61" s="112"/>
      <c r="J61" s="112"/>
      <c r="K61" s="112"/>
      <c r="L61" s="112"/>
    </row>
    <row r="62" spans="1:12">
      <c r="A62" s="112"/>
      <c r="B62" s="112"/>
      <c r="C62" s="112"/>
      <c r="D62" s="112"/>
      <c r="E62" s="112"/>
      <c r="F62" s="112"/>
      <c r="G62" s="112"/>
      <c r="H62" s="112"/>
      <c r="I62" s="112"/>
      <c r="J62" s="112"/>
      <c r="K62" s="112"/>
      <c r="L62" s="112"/>
    </row>
    <row r="63" spans="1:12">
      <c r="A63" s="112"/>
      <c r="B63" s="112"/>
      <c r="C63" s="112"/>
      <c r="D63" s="112"/>
      <c r="E63" s="112"/>
      <c r="F63" s="112"/>
      <c r="G63" s="112"/>
      <c r="H63" s="112"/>
      <c r="I63" s="112"/>
      <c r="J63" s="112"/>
      <c r="K63" s="112"/>
      <c r="L63" s="112"/>
    </row>
    <row r="64" spans="1:12">
      <c r="A64" s="112"/>
      <c r="B64" s="112"/>
      <c r="C64" s="112"/>
      <c r="D64" s="112"/>
      <c r="E64" s="112"/>
      <c r="F64" s="112"/>
      <c r="G64" s="112"/>
      <c r="H64" s="112"/>
      <c r="I64" s="112"/>
      <c r="J64" s="112"/>
      <c r="K64" s="112"/>
      <c r="L64" s="112"/>
    </row>
    <row r="65" spans="1:12">
      <c r="A65" s="112"/>
      <c r="B65" s="112"/>
      <c r="C65" s="112"/>
      <c r="D65" s="112"/>
      <c r="E65" s="112"/>
      <c r="F65" s="112"/>
      <c r="G65" s="112"/>
      <c r="H65" s="112"/>
      <c r="I65" s="112"/>
      <c r="J65" s="112"/>
      <c r="K65" s="112"/>
      <c r="L65" s="112"/>
    </row>
    <row r="66" spans="1:12">
      <c r="A66" s="112"/>
      <c r="B66" s="112"/>
      <c r="C66" s="112"/>
      <c r="D66" s="112"/>
      <c r="E66" s="112"/>
      <c r="F66" s="112"/>
      <c r="G66" s="112"/>
      <c r="H66" s="112"/>
      <c r="I66" s="112"/>
      <c r="J66" s="112"/>
      <c r="K66" s="112"/>
      <c r="L66" s="112"/>
    </row>
    <row r="67" spans="1:12">
      <c r="A67" s="112"/>
      <c r="B67" s="112"/>
      <c r="C67" s="112"/>
      <c r="D67" s="112"/>
      <c r="E67" s="112"/>
      <c r="F67" s="112"/>
      <c r="G67" s="112"/>
      <c r="H67" s="112"/>
      <c r="I67" s="112"/>
      <c r="J67" s="112"/>
      <c r="K67" s="112"/>
      <c r="L67" s="112"/>
    </row>
    <row r="68" spans="1:12">
      <c r="A68" s="112"/>
      <c r="B68" s="112"/>
      <c r="C68" s="112"/>
      <c r="D68" s="112"/>
      <c r="E68" s="112"/>
      <c r="F68" s="112"/>
      <c r="G68" s="112"/>
      <c r="H68" s="112"/>
      <c r="I68" s="112"/>
      <c r="J68" s="112"/>
      <c r="K68" s="112"/>
      <c r="L68" s="112"/>
    </row>
    <row r="69" spans="1:12">
      <c r="A69" s="112"/>
      <c r="B69" s="112"/>
      <c r="C69" s="112"/>
      <c r="D69" s="112"/>
      <c r="E69" s="112"/>
      <c r="F69" s="112"/>
      <c r="G69" s="112"/>
      <c r="H69" s="112"/>
      <c r="I69" s="112"/>
      <c r="J69" s="112"/>
      <c r="K69" s="112"/>
      <c r="L69" s="112"/>
    </row>
    <row r="70" spans="1:12">
      <c r="A70" s="112"/>
      <c r="B70" s="112"/>
      <c r="C70" s="112"/>
      <c r="D70" s="112"/>
      <c r="E70" s="112"/>
      <c r="F70" s="112"/>
      <c r="G70" s="112"/>
      <c r="H70" s="112"/>
      <c r="I70" s="112"/>
      <c r="J70" s="112"/>
      <c r="K70" s="112"/>
      <c r="L70" s="112"/>
    </row>
    <row r="71" spans="1:12">
      <c r="A71" s="112"/>
      <c r="B71" s="112"/>
      <c r="C71" s="112"/>
      <c r="D71" s="112"/>
      <c r="E71" s="112"/>
      <c r="F71" s="112"/>
      <c r="G71" s="112"/>
      <c r="H71" s="112"/>
      <c r="I71" s="112"/>
      <c r="J71" s="112"/>
      <c r="K71" s="112"/>
      <c r="L71" s="112"/>
    </row>
    <row r="72" spans="1:12">
      <c r="A72" s="112"/>
      <c r="B72" s="112"/>
      <c r="C72" s="112"/>
      <c r="D72" s="112"/>
      <c r="E72" s="112"/>
      <c r="F72" s="112"/>
      <c r="G72" s="112"/>
      <c r="H72" s="112"/>
      <c r="I72" s="112"/>
      <c r="J72" s="112"/>
      <c r="K72" s="112"/>
      <c r="L72" s="112"/>
    </row>
    <row r="73" spans="1:12">
      <c r="A73" s="112"/>
      <c r="B73" s="112"/>
      <c r="C73" s="112"/>
      <c r="D73" s="112"/>
      <c r="E73" s="112"/>
      <c r="F73" s="112"/>
      <c r="G73" s="112"/>
      <c r="H73" s="112"/>
      <c r="I73" s="112"/>
      <c r="J73" s="112"/>
      <c r="K73" s="112"/>
      <c r="L73" s="112"/>
    </row>
    <row r="74" spans="1:12">
      <c r="A74" s="112"/>
      <c r="B74" s="112"/>
      <c r="C74" s="112"/>
      <c r="D74" s="112"/>
      <c r="E74" s="112"/>
      <c r="F74" s="112"/>
      <c r="G74" s="112"/>
      <c r="H74" s="112"/>
      <c r="I74" s="112"/>
      <c r="J74" s="112"/>
      <c r="K74" s="112"/>
      <c r="L74" s="112"/>
    </row>
    <row r="75" spans="1:12">
      <c r="A75" s="112"/>
      <c r="B75" s="112"/>
      <c r="C75" s="112"/>
      <c r="D75" s="112"/>
      <c r="E75" s="112"/>
      <c r="F75" s="112"/>
      <c r="G75" s="112"/>
      <c r="H75" s="112"/>
      <c r="I75" s="112"/>
      <c r="J75" s="112"/>
      <c r="K75" s="112"/>
      <c r="L75" s="112"/>
    </row>
    <row r="76" spans="1:12">
      <c r="A76" s="112"/>
      <c r="B76" s="112"/>
      <c r="C76" s="112"/>
      <c r="D76" s="112"/>
      <c r="E76" s="112"/>
      <c r="F76" s="112"/>
      <c r="G76" s="112"/>
      <c r="H76" s="112"/>
      <c r="I76" s="112"/>
      <c r="J76" s="112"/>
      <c r="K76" s="112"/>
      <c r="L76" s="112"/>
    </row>
    <row r="77" spans="1:12">
      <c r="A77" s="112"/>
      <c r="B77" s="112"/>
      <c r="C77" s="112"/>
      <c r="D77" s="112"/>
      <c r="E77" s="112"/>
      <c r="F77" s="112"/>
      <c r="G77" s="112"/>
      <c r="H77" s="112"/>
      <c r="I77" s="112"/>
      <c r="J77" s="112"/>
      <c r="K77" s="112"/>
      <c r="L77" s="112"/>
    </row>
    <row r="78" spans="1:12">
      <c r="A78" s="112"/>
      <c r="B78" s="112"/>
      <c r="C78" s="112"/>
      <c r="D78" s="112"/>
      <c r="E78" s="112"/>
      <c r="F78" s="112"/>
      <c r="G78" s="112"/>
      <c r="H78" s="112"/>
      <c r="I78" s="112"/>
      <c r="J78" s="112"/>
      <c r="K78" s="112"/>
      <c r="L78" s="112"/>
    </row>
    <row r="79" spans="1:12">
      <c r="A79" s="112"/>
      <c r="B79" s="112"/>
      <c r="C79" s="112"/>
      <c r="D79" s="112"/>
      <c r="E79" s="112"/>
      <c r="F79" s="112"/>
      <c r="G79" s="112"/>
      <c r="H79" s="112"/>
      <c r="I79" s="112"/>
      <c r="J79" s="112"/>
      <c r="K79" s="112"/>
      <c r="L79" s="112"/>
    </row>
    <row r="80" spans="1:12">
      <c r="A80" s="112"/>
      <c r="B80" s="112"/>
      <c r="C80" s="112"/>
      <c r="D80" s="112"/>
      <c r="E80" s="112"/>
      <c r="F80" s="112"/>
      <c r="G80" s="112"/>
      <c r="H80" s="112"/>
      <c r="I80" s="112"/>
      <c r="J80" s="112"/>
      <c r="K80" s="112"/>
      <c r="L80" s="112"/>
    </row>
  </sheetData>
  <pageMargins left="0.7" right="0.7" top="0.75" bottom="0.75" header="0.3" footer="0.3"/>
  <pageSetup fitToHeight="0" orientation="landscape" horizontalDpi="1200" verticalDpi="1200" r:id="rId1"/>
  <headerFooter>
    <oddHeader>&amp;CSchedule 25
Wholesale Differences to Base TRR
&amp;RTO2027 Draft Annual Update 
Attachment 1</oddHead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2511</v>
      </c>
    </row>
    <row r="3" spans="1:5" ht="13">
      <c r="B3" s="1" t="s">
        <v>2512</v>
      </c>
      <c r="E3" s="54" t="s">
        <v>650</v>
      </c>
    </row>
    <row r="4" spans="1:5" ht="13">
      <c r="D4" s="2" t="s">
        <v>2513</v>
      </c>
    </row>
    <row r="5" spans="1:5" ht="13">
      <c r="C5" s="2" t="s">
        <v>385</v>
      </c>
      <c r="D5" s="2" t="s">
        <v>2514</v>
      </c>
    </row>
    <row r="6" spans="1:5" ht="13">
      <c r="A6" s="3" t="s">
        <v>282</v>
      </c>
      <c r="C6" s="3" t="s">
        <v>381</v>
      </c>
      <c r="D6" s="3" t="s">
        <v>2515</v>
      </c>
      <c r="E6" s="3" t="s">
        <v>684</v>
      </c>
    </row>
    <row r="7" spans="1:5" ht="13">
      <c r="A7" s="2">
        <v>1</v>
      </c>
      <c r="C7" s="274">
        <v>2025</v>
      </c>
      <c r="D7" s="609">
        <v>0.21</v>
      </c>
      <c r="E7" s="304" t="s">
        <v>2516</v>
      </c>
    </row>
    <row r="8" spans="1:5" ht="13">
      <c r="A8" s="2">
        <f>A7+1</f>
        <v>2</v>
      </c>
      <c r="D8">
        <v>0</v>
      </c>
      <c r="E8" s="232"/>
    </row>
    <row r="9" spans="1:5" ht="13">
      <c r="A9" s="2">
        <f t="shared" ref="A9:A23" si="0">A8+1</f>
        <v>3</v>
      </c>
      <c r="B9" s="1" t="s">
        <v>2517</v>
      </c>
    </row>
    <row r="10" spans="1:5" ht="13">
      <c r="A10" s="2">
        <f t="shared" si="0"/>
        <v>4</v>
      </c>
      <c r="B10" s="1"/>
      <c r="D10" s="2"/>
    </row>
    <row r="11" spans="1:5" ht="13">
      <c r="A11" s="2">
        <f t="shared" si="0"/>
        <v>5</v>
      </c>
      <c r="D11" s="2" t="s">
        <v>2518</v>
      </c>
    </row>
    <row r="12" spans="1:5" ht="13">
      <c r="A12" s="2">
        <f t="shared" si="0"/>
        <v>6</v>
      </c>
      <c r="C12" s="2" t="s">
        <v>385</v>
      </c>
      <c r="D12" s="2" t="s">
        <v>2514</v>
      </c>
    </row>
    <row r="13" spans="1:5" ht="13">
      <c r="A13" s="2">
        <f t="shared" si="0"/>
        <v>7</v>
      </c>
      <c r="C13" s="3" t="s">
        <v>381</v>
      </c>
      <c r="D13" s="3" t="s">
        <v>2519</v>
      </c>
      <c r="E13" s="3" t="s">
        <v>684</v>
      </c>
    </row>
    <row r="14" spans="1:5" ht="13">
      <c r="A14" s="2">
        <f t="shared" si="0"/>
        <v>8</v>
      </c>
      <c r="C14" s="274">
        <v>2025</v>
      </c>
      <c r="D14" s="555">
        <v>8.8400000000000006E-2</v>
      </c>
      <c r="E14" s="304" t="s">
        <v>168</v>
      </c>
    </row>
    <row r="15" spans="1:5" ht="13">
      <c r="A15" s="2">
        <f t="shared" si="0"/>
        <v>9</v>
      </c>
      <c r="C15" s="33"/>
      <c r="E15" s="232"/>
    </row>
    <row r="16" spans="1:5" ht="13">
      <c r="A16" s="2">
        <f t="shared" si="0"/>
        <v>10</v>
      </c>
      <c r="C16" s="33"/>
      <c r="E16" s="12"/>
    </row>
    <row r="17" spans="1:9" ht="13">
      <c r="A17" s="2">
        <f t="shared" si="0"/>
        <v>11</v>
      </c>
      <c r="C17" s="37"/>
      <c r="E17" s="12"/>
    </row>
    <row r="18" spans="1:9" ht="12.75" customHeight="1">
      <c r="A18" s="2">
        <f t="shared" si="0"/>
        <v>12</v>
      </c>
      <c r="B18" s="1" t="s">
        <v>2520</v>
      </c>
      <c r="E18" s="12"/>
    </row>
    <row r="19" spans="1:9" ht="12.75" customHeight="1">
      <c r="A19" s="2">
        <f t="shared" si="0"/>
        <v>13</v>
      </c>
      <c r="E19" s="279"/>
      <c r="F19" s="3" t="s">
        <v>81</v>
      </c>
    </row>
    <row r="20" spans="1:9" ht="12.75" customHeight="1">
      <c r="A20" s="2">
        <f t="shared" si="0"/>
        <v>14</v>
      </c>
      <c r="C20" t="str">
        <f>"Total Electric Payroll Tax Expense (From 1-BaseTRR, Line "&amp;'1-BaseTRR'!A52&amp;")"</f>
        <v>Total Electric Payroll Tax Expense (From 1-BaseTRR, Line 31)</v>
      </c>
      <c r="F20" s="6">
        <f>'1-BaseTRR'!K52</f>
        <v>184696842.62365845</v>
      </c>
      <c r="G20" s="233"/>
    </row>
    <row r="21" spans="1:9" ht="12.75" customHeight="1">
      <c r="A21" s="2">
        <f t="shared" si="0"/>
        <v>15</v>
      </c>
      <c r="C21" s="233" t="s">
        <v>2521</v>
      </c>
      <c r="F21" s="299">
        <v>0.52900000000000003</v>
      </c>
      <c r="G21" s="233"/>
    </row>
    <row r="22" spans="1:9" ht="12.75" customHeight="1">
      <c r="A22" s="2">
        <f t="shared" si="0"/>
        <v>16</v>
      </c>
      <c r="C22" s="233" t="str">
        <f>"Capitalized Overhead portion of Electric Payroll Tax Expense (Line "&amp;A20&amp;" * Line "&amp;A21&amp;")"</f>
        <v>Capitalized Overhead portion of Electric Payroll Tax Expense (Line 14 * Line 15)</v>
      </c>
      <c r="F22" s="183">
        <f>F20*F21</f>
        <v>97704629.747915328</v>
      </c>
      <c r="G22" s="233"/>
      <c r="I22" s="233"/>
    </row>
    <row r="23" spans="1:9" ht="13">
      <c r="A23" s="2">
        <f t="shared" si="0"/>
        <v>17</v>
      </c>
      <c r="C23" s="233" t="str">
        <f>"Non-Capitalized Overhead portion of Electric Payroll Tax Expense (Line "&amp;A20&amp;" - Line "&amp;A22&amp;")"</f>
        <v>Non-Capitalized Overhead portion of Electric Payroll Tax Expense (Line 14 - Line 16)</v>
      </c>
      <c r="F23" s="6">
        <f>F20-F22</f>
        <v>86992212.875743121</v>
      </c>
      <c r="G23" s="233"/>
    </row>
    <row r="25" spans="1:9" ht="13">
      <c r="B25" s="30" t="s">
        <v>233</v>
      </c>
    </row>
    <row r="26" spans="1:9">
      <c r="B26" s="276" t="s">
        <v>2522</v>
      </c>
      <c r="D26" s="240" t="s">
        <v>2523</v>
      </c>
      <c r="E26" s="240"/>
      <c r="F26" s="54"/>
    </row>
    <row r="27" spans="1:9">
      <c r="B27" s="276" t="s">
        <v>2524</v>
      </c>
    </row>
    <row r="28" spans="1:9">
      <c r="B28" s="232"/>
      <c r="D28" s="54" t="s">
        <v>3197</v>
      </c>
      <c r="E28" s="54"/>
      <c r="F28" s="54"/>
    </row>
    <row r="29" spans="1:9">
      <c r="B29" s="233" t="s">
        <v>2525</v>
      </c>
      <c r="E29" s="240" t="s">
        <v>3198</v>
      </c>
    </row>
    <row r="30" spans="1:9">
      <c r="B30" s="232" t="s">
        <v>2526</v>
      </c>
      <c r="E30" s="266" t="s">
        <v>3199</v>
      </c>
    </row>
    <row r="31" spans="1:9">
      <c r="B31" s="233" t="s">
        <v>2527</v>
      </c>
    </row>
    <row r="32" spans="1:9">
      <c r="B32" s="233" t="s">
        <v>2528</v>
      </c>
    </row>
    <row r="33" spans="2:2">
      <c r="B33" s="233" t="s">
        <v>2529</v>
      </c>
    </row>
    <row r="34" spans="2:2">
      <c r="B34" s="233" t="s">
        <v>2530</v>
      </c>
    </row>
    <row r="35" spans="2:2">
      <c r="B35" s="233" t="s">
        <v>2531</v>
      </c>
    </row>
    <row r="36" spans="2:2">
      <c r="B36" s="233" t="s">
        <v>2532</v>
      </c>
    </row>
    <row r="37" spans="2:2">
      <c r="B37" s="233" t="s">
        <v>2533</v>
      </c>
    </row>
    <row r="38" spans="2:2">
      <c r="B38" s="233" t="s">
        <v>2534</v>
      </c>
    </row>
    <row r="39" spans="2:2">
      <c r="B39" s="233" t="s">
        <v>2535</v>
      </c>
    </row>
    <row r="40" spans="2:2">
      <c r="B40" s="233" t="s">
        <v>2536</v>
      </c>
    </row>
  </sheetData>
  <phoneticPr fontId="26" type="noConversion"/>
  <pageMargins left="0.75" right="0.75" top="1" bottom="1" header="0.5" footer="0.5"/>
  <pageSetup scale="89" fitToHeight="0" orientation="landscape" cellComments="asDisplayed" r:id="rId1"/>
  <headerFooter alignWithMargins="0">
    <oddHeader>&amp;CSchedule 26
Tax Rates
&amp;RTO2027 Draft Annual Update 
Attachment 1</oddHeader>
    <oddFooter>&amp;R&amp;A</oddFooter>
  </headerFooter>
  <rowBreaks count="1" manualBreakCount="1">
    <brk id="40"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6"/>
  <sheetViews>
    <sheetView zoomScaleNormal="100" workbookViewId="0"/>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61</v>
      </c>
      <c r="B1" s="1"/>
      <c r="E1" s="54" t="s">
        <v>650</v>
      </c>
    </row>
    <row r="2" spans="1:9" ht="13">
      <c r="A2" s="1"/>
      <c r="B2" s="1"/>
      <c r="C2" s="39" t="s">
        <v>200</v>
      </c>
      <c r="D2" s="240" t="s">
        <v>2537</v>
      </c>
      <c r="E2" s="264"/>
    </row>
    <row r="3" spans="1:9" ht="13">
      <c r="A3" s="1"/>
      <c r="B3" s="1"/>
      <c r="C3" s="661"/>
      <c r="D3" s="661"/>
      <c r="E3" s="661"/>
    </row>
    <row r="4" spans="1:9" ht="13">
      <c r="A4" s="2"/>
      <c r="B4" s="1" t="s">
        <v>2538</v>
      </c>
      <c r="G4" s="56"/>
    </row>
    <row r="5" spans="1:9" ht="13">
      <c r="A5" s="2"/>
      <c r="C5" s="1"/>
      <c r="D5" s="2"/>
      <c r="E5" s="2" t="s">
        <v>101</v>
      </c>
      <c r="G5" s="4" t="s">
        <v>921</v>
      </c>
    </row>
    <row r="6" spans="1:9" ht="13">
      <c r="A6" s="30" t="s">
        <v>282</v>
      </c>
      <c r="C6" s="1"/>
      <c r="D6" s="3" t="s">
        <v>103</v>
      </c>
      <c r="E6" s="3" t="s">
        <v>104</v>
      </c>
      <c r="G6" s="3" t="s">
        <v>105</v>
      </c>
    </row>
    <row r="7" spans="1:9" ht="13">
      <c r="A7" s="2">
        <v>1</v>
      </c>
      <c r="C7" s="276" t="s">
        <v>2539</v>
      </c>
      <c r="E7" s="233" t="str">
        <f>"19-OandM Line "&amp;'19-OandM'!A124&amp;", Col. 7"</f>
        <v>19-OandM Line 91, Col. 7</v>
      </c>
      <c r="G7" s="6">
        <f>'19-OandM'!H124</f>
        <v>44935379.08684855</v>
      </c>
      <c r="I7" s="233"/>
    </row>
    <row r="8" spans="1:9" ht="13">
      <c r="A8" s="2">
        <f>A7+1</f>
        <v>2</v>
      </c>
      <c r="C8" s="276" t="s">
        <v>2540</v>
      </c>
      <c r="E8" s="233" t="s">
        <v>923</v>
      </c>
      <c r="G8" s="5">
        <v>955416937</v>
      </c>
    </row>
    <row r="9" spans="1:9" ht="13">
      <c r="A9" s="2">
        <f t="shared" ref="A9:A44" si="0">A8+1</f>
        <v>3</v>
      </c>
      <c r="C9" s="232" t="s">
        <v>2541</v>
      </c>
      <c r="E9" s="233" t="s">
        <v>2542</v>
      </c>
      <c r="G9" s="5">
        <v>253569126</v>
      </c>
    </row>
    <row r="10" spans="1:9" ht="13">
      <c r="A10" s="2">
        <f t="shared" si="0"/>
        <v>4</v>
      </c>
      <c r="C10" s="276" t="s">
        <v>2543</v>
      </c>
      <c r="E10" s="233" t="str">
        <f>"Line "&amp;A8&amp;" - Line "&amp;A9&amp;""</f>
        <v>Line 2 - Line 3</v>
      </c>
      <c r="G10" s="6">
        <f>G8-G9</f>
        <v>701847811</v>
      </c>
    </row>
    <row r="11" spans="1:9" ht="13">
      <c r="A11" s="2">
        <f t="shared" si="0"/>
        <v>5</v>
      </c>
      <c r="C11" s="276" t="s">
        <v>2544</v>
      </c>
      <c r="E11" s="233" t="str">
        <f>"20-AandG, Note 2"</f>
        <v>20-AandG, Note 2</v>
      </c>
      <c r="G11" s="6">
        <f>'20-AandG'!E71</f>
        <v>-9735225.2949974462</v>
      </c>
      <c r="I11" s="233"/>
    </row>
    <row r="12" spans="1:9" ht="13">
      <c r="A12" s="2">
        <f t="shared" si="0"/>
        <v>6</v>
      </c>
      <c r="C12" s="232" t="s">
        <v>2545</v>
      </c>
      <c r="E12" s="233" t="str">
        <f>"20-AandG, Note 2"</f>
        <v>20-AandG, Note 2</v>
      </c>
      <c r="G12" s="235">
        <f>'20-AandG'!E68</f>
        <v>-4217055.8963062838</v>
      </c>
    </row>
    <row r="13" spans="1:9" ht="13">
      <c r="A13" s="2">
        <f t="shared" si="0"/>
        <v>7</v>
      </c>
      <c r="C13" s="276" t="s">
        <v>2546</v>
      </c>
      <c r="E13" s="233" t="str">
        <f>"Line "&amp;A11&amp;" - Line "&amp;A12&amp;""</f>
        <v>Line 5 - Line 6</v>
      </c>
      <c r="G13" s="6">
        <f>G11-G12</f>
        <v>-5518169.3986911625</v>
      </c>
    </row>
    <row r="14" spans="1:9" ht="13">
      <c r="A14" s="2">
        <f t="shared" si="0"/>
        <v>8</v>
      </c>
      <c r="C14" s="276" t="s">
        <v>2547</v>
      </c>
      <c r="E14" s="233" t="str">
        <f>"Line "&amp;A10&amp;" + Line "&amp;A13&amp;""</f>
        <v>Line 4 + Line 7</v>
      </c>
      <c r="G14" s="6">
        <f>G10+G13</f>
        <v>696329641.60130882</v>
      </c>
    </row>
    <row r="15" spans="1:9" ht="13">
      <c r="A15" s="2">
        <f t="shared" si="0"/>
        <v>9</v>
      </c>
      <c r="C15" t="s">
        <v>2548</v>
      </c>
      <c r="E15" s="233" t="str">
        <f>"Line "&amp;A7&amp;" / Line "&amp;A14&amp;""</f>
        <v>Line 1 / Line 8</v>
      </c>
      <c r="G15" s="7">
        <f>G7/G14</f>
        <v>6.4531762547854879E-2</v>
      </c>
    </row>
    <row r="16" spans="1:9" ht="13">
      <c r="A16" s="2">
        <f t="shared" si="0"/>
        <v>10</v>
      </c>
    </row>
    <row r="17" spans="1:9" ht="13">
      <c r="A17" s="2">
        <f t="shared" si="0"/>
        <v>11</v>
      </c>
      <c r="B17" s="1" t="s">
        <v>2549</v>
      </c>
      <c r="G17" s="56"/>
    </row>
    <row r="18" spans="1:9" ht="13">
      <c r="A18" s="2">
        <f t="shared" si="0"/>
        <v>12</v>
      </c>
      <c r="D18" s="2"/>
      <c r="E18" s="2" t="s">
        <v>101</v>
      </c>
      <c r="G18" s="4" t="s">
        <v>921</v>
      </c>
    </row>
    <row r="19" spans="1:9" ht="13">
      <c r="A19" s="2">
        <f t="shared" si="0"/>
        <v>13</v>
      </c>
      <c r="D19" s="3" t="s">
        <v>103</v>
      </c>
      <c r="E19" s="3" t="s">
        <v>104</v>
      </c>
      <c r="G19" s="3" t="s">
        <v>105</v>
      </c>
    </row>
    <row r="20" spans="1:9" ht="13">
      <c r="A20" s="2">
        <f t="shared" si="0"/>
        <v>14</v>
      </c>
      <c r="C20" t="s">
        <v>659</v>
      </c>
      <c r="E20" s="233" t="s">
        <v>3111</v>
      </c>
      <c r="G20" s="6">
        <f>'7-PlantStudy'!E42</f>
        <v>11828275665.428308</v>
      </c>
    </row>
    <row r="21" spans="1:9" ht="13">
      <c r="A21" s="2">
        <f t="shared" si="0"/>
        <v>15</v>
      </c>
      <c r="C21" t="s">
        <v>2550</v>
      </c>
      <c r="E21" s="233" t="str">
        <f>"7-PlantStudy, Line "&amp;'7-PlantStudy'!A55&amp;""</f>
        <v>7-PlantStudy, Line 30</v>
      </c>
      <c r="G21" s="6">
        <f>'7-PlantStudy'!E55</f>
        <v>0</v>
      </c>
      <c r="I21" s="1105"/>
    </row>
    <row r="22" spans="1:9" ht="13">
      <c r="A22" s="2">
        <f t="shared" si="0"/>
        <v>16</v>
      </c>
      <c r="C22" t="s">
        <v>2551</v>
      </c>
      <c r="E22" s="233" t="str">
        <f>"6-PlantInService, Line "&amp;'6-PlantInService'!A75&amp;", C2"</f>
        <v>6-PlantInService, Line 21, C2</v>
      </c>
      <c r="G22" s="6">
        <f>'6-PlantInService'!G75</f>
        <v>344800685</v>
      </c>
      <c r="H22" s="56"/>
    </row>
    <row r="23" spans="1:9" ht="13">
      <c r="A23" s="2">
        <f t="shared" si="0"/>
        <v>17</v>
      </c>
      <c r="C23" t="s">
        <v>2552</v>
      </c>
      <c r="E23" t="str">
        <f>"Line "&amp;A22&amp;" * Line "&amp;A15&amp;""</f>
        <v>Line 16 * Line 9</v>
      </c>
      <c r="G23" s="6">
        <f>G22*G15</f>
        <v>22250595.930757709</v>
      </c>
    </row>
    <row r="24" spans="1:9" ht="13">
      <c r="A24" s="2">
        <f t="shared" si="0"/>
        <v>18</v>
      </c>
      <c r="C24" t="s">
        <v>2553</v>
      </c>
      <c r="E24" s="233" t="str">
        <f>"6-PlantInService, Line "&amp;'6-PlantInService'!A75&amp;", C1"</f>
        <v>6-PlantInService, Line 21, C1</v>
      </c>
      <c r="G24" s="6">
        <f>'6-PlantInService'!F75</f>
        <v>6341550135</v>
      </c>
    </row>
    <row r="25" spans="1:9" ht="13">
      <c r="A25" s="2">
        <f t="shared" si="0"/>
        <v>19</v>
      </c>
      <c r="C25" t="s">
        <v>2554</v>
      </c>
      <c r="E25" t="str">
        <f>"Line "&amp;A24&amp;" * Line "&amp;A15&amp;""</f>
        <v>Line 18 * Line 9</v>
      </c>
      <c r="G25" s="6">
        <f>G24*G15</f>
        <v>409231407.49713707</v>
      </c>
    </row>
    <row r="26" spans="1:9" ht="13">
      <c r="A26" s="2">
        <f t="shared" si="0"/>
        <v>20</v>
      </c>
      <c r="C26" s="233" t="s">
        <v>2555</v>
      </c>
      <c r="E26" t="s">
        <v>934</v>
      </c>
      <c r="G26" s="5">
        <v>72457311326</v>
      </c>
    </row>
    <row r="27" spans="1:9" ht="13">
      <c r="A27" s="2">
        <f t="shared" si="0"/>
        <v>21</v>
      </c>
      <c r="G27" s="56"/>
    </row>
    <row r="28" spans="1:9" ht="13">
      <c r="A28" s="2">
        <f t="shared" si="0"/>
        <v>22</v>
      </c>
      <c r="C28" t="s">
        <v>130</v>
      </c>
      <c r="E28" s="233" t="str">
        <f>"(L"&amp;A20&amp;" + L"&amp;A21&amp;" + L"&amp;A23&amp;" + L"&amp;A25&amp;") / L"&amp;A26&amp;""</f>
        <v>(L14 + L15 + L17 + L19) / L20</v>
      </c>
      <c r="G28" s="7">
        <f>(G20+G21+G23+G25)/G26</f>
        <v>0.16919973215259246</v>
      </c>
    </row>
    <row r="29" spans="1:9" ht="13">
      <c r="A29" s="2">
        <f t="shared" si="0"/>
        <v>23</v>
      </c>
      <c r="E29" s="233"/>
      <c r="G29" s="7"/>
    </row>
    <row r="30" spans="1:9" ht="13">
      <c r="A30" s="2">
        <f t="shared" si="0"/>
        <v>24</v>
      </c>
      <c r="B30" s="1" t="s">
        <v>2556</v>
      </c>
    </row>
    <row r="31" spans="1:9" ht="13">
      <c r="A31" s="2">
        <f t="shared" si="0"/>
        <v>25</v>
      </c>
      <c r="B31" s="233"/>
    </row>
    <row r="32" spans="1:9" ht="13">
      <c r="A32" s="2">
        <f t="shared" si="0"/>
        <v>26</v>
      </c>
      <c r="B32" s="233" t="s">
        <v>2557</v>
      </c>
      <c r="D32" s="3" t="s">
        <v>2558</v>
      </c>
      <c r="E32" s="3" t="s">
        <v>103</v>
      </c>
      <c r="G32" s="32" t="s">
        <v>2559</v>
      </c>
    </row>
    <row r="33" spans="1:7" ht="13">
      <c r="A33" s="2">
        <f t="shared" si="0"/>
        <v>27</v>
      </c>
      <c r="C33" s="233" t="s">
        <v>2560</v>
      </c>
      <c r="D33" s="520">
        <v>5756.0299242424235</v>
      </c>
      <c r="E33" s="3"/>
      <c r="G33" s="243" t="s">
        <v>2561</v>
      </c>
    </row>
    <row r="34" spans="1:7" ht="13">
      <c r="A34" s="2">
        <f t="shared" si="0"/>
        <v>28</v>
      </c>
      <c r="C34" s="233" t="s">
        <v>2562</v>
      </c>
      <c r="D34" s="57">
        <v>6592.3838636363671</v>
      </c>
      <c r="E34" s="3"/>
      <c r="G34" s="243" t="s">
        <v>1657</v>
      </c>
    </row>
    <row r="35" spans="1:7" ht="13">
      <c r="A35" s="2">
        <f t="shared" si="0"/>
        <v>29</v>
      </c>
      <c r="C35" s="233" t="s">
        <v>2563</v>
      </c>
      <c r="D35" s="56">
        <f>SUM(D33:D34)</f>
        <v>12348.413787878791</v>
      </c>
      <c r="E35" s="233" t="str">
        <f>" = L"&amp;A33&amp;" + L"&amp;A34&amp;""</f>
        <v xml:space="preserve"> = L27 + L28</v>
      </c>
      <c r="G35" s="243" t="s">
        <v>2564</v>
      </c>
    </row>
    <row r="36" spans="1:7" ht="13">
      <c r="A36" s="2">
        <f t="shared" si="0"/>
        <v>30</v>
      </c>
      <c r="C36" s="233" t="s">
        <v>2565</v>
      </c>
      <c r="D36" s="501">
        <f>D33/D35</f>
        <v>0.46613516708458091</v>
      </c>
      <c r="E36" s="233" t="str">
        <f>" = L"&amp;A33&amp;" / L"&amp;A35&amp;""</f>
        <v xml:space="preserve"> = L27 / L29</v>
      </c>
      <c r="G36" s="31"/>
    </row>
    <row r="37" spans="1:7" ht="13">
      <c r="A37" s="2">
        <f t="shared" si="0"/>
        <v>31</v>
      </c>
      <c r="B37" s="3"/>
      <c r="C37" s="3"/>
      <c r="E37" s="3"/>
      <c r="G37" s="3"/>
    </row>
    <row r="38" spans="1:7" ht="13">
      <c r="A38" s="2">
        <f t="shared" si="0"/>
        <v>32</v>
      </c>
      <c r="B38" s="233" t="s">
        <v>2566</v>
      </c>
      <c r="D38" s="3" t="s">
        <v>2558</v>
      </c>
      <c r="E38" s="3" t="s">
        <v>103</v>
      </c>
      <c r="G38" s="32" t="s">
        <v>2559</v>
      </c>
    </row>
    <row r="39" spans="1:7" ht="13">
      <c r="A39" s="2">
        <f t="shared" si="0"/>
        <v>33</v>
      </c>
      <c r="B39" s="37"/>
      <c r="C39" s="233" t="s">
        <v>2567</v>
      </c>
      <c r="D39" s="1180">
        <v>7.3590909090909093</v>
      </c>
      <c r="E39" s="3"/>
      <c r="G39" s="31" t="s">
        <v>2568</v>
      </c>
    </row>
    <row r="40" spans="1:7" ht="13">
      <c r="A40" s="2">
        <f t="shared" si="0"/>
        <v>34</v>
      </c>
      <c r="B40" s="37"/>
      <c r="C40" s="233" t="s">
        <v>2569</v>
      </c>
      <c r="D40" s="1181">
        <v>373.69526515151517</v>
      </c>
      <c r="E40" s="3"/>
      <c r="G40" s="31" t="s">
        <v>2570</v>
      </c>
    </row>
    <row r="41" spans="1:7" ht="13">
      <c r="A41" s="2">
        <f t="shared" si="0"/>
        <v>35</v>
      </c>
      <c r="B41" s="37"/>
      <c r="C41" s="233" t="s">
        <v>2571</v>
      </c>
      <c r="D41" s="56">
        <f>SUM(D39:D40)</f>
        <v>381.0543560606061</v>
      </c>
      <c r="E41" s="233" t="str">
        <f>" = L"&amp;A39&amp;" + L"&amp;A40&amp;""</f>
        <v xml:space="preserve"> = L33 + L34</v>
      </c>
    </row>
    <row r="42" spans="1:7" ht="13">
      <c r="A42" s="2">
        <f t="shared" si="0"/>
        <v>36</v>
      </c>
      <c r="B42" s="37"/>
      <c r="C42" s="233" t="s">
        <v>2572</v>
      </c>
      <c r="D42" s="501">
        <f>D39/D41</f>
        <v>1.931244399137759E-2</v>
      </c>
      <c r="E42" s="233" t="str">
        <f>" = L"&amp;A39&amp;" / L"&amp;A41&amp;""</f>
        <v xml:space="preserve"> = L33 / L35</v>
      </c>
    </row>
    <row r="43" spans="1:7" ht="13">
      <c r="A43" s="2">
        <f t="shared" si="0"/>
        <v>37</v>
      </c>
      <c r="B43" s="37"/>
      <c r="C43" s="12"/>
      <c r="E43" s="3"/>
      <c r="G43" s="6"/>
    </row>
    <row r="44" spans="1:7" ht="13">
      <c r="A44" s="2">
        <f t="shared" si="0"/>
        <v>38</v>
      </c>
      <c r="B44" s="233" t="s">
        <v>2573</v>
      </c>
      <c r="D44" s="3" t="s">
        <v>2558</v>
      </c>
      <c r="E44" s="3" t="s">
        <v>103</v>
      </c>
      <c r="G44" s="32" t="s">
        <v>2559</v>
      </c>
    </row>
    <row r="45" spans="1:7" ht="13">
      <c r="A45" s="2">
        <f t="shared" ref="A45:A54" si="1">A44+1</f>
        <v>39</v>
      </c>
      <c r="B45" s="37"/>
      <c r="C45" s="233" t="s">
        <v>2574</v>
      </c>
      <c r="D45" s="520">
        <v>1365</v>
      </c>
      <c r="E45" s="3"/>
      <c r="G45" s="31" t="s">
        <v>2575</v>
      </c>
    </row>
    <row r="46" spans="1:7" ht="13">
      <c r="A46" s="2">
        <f t="shared" si="1"/>
        <v>40</v>
      </c>
      <c r="B46" s="37"/>
      <c r="C46" s="233" t="s">
        <v>2576</v>
      </c>
      <c r="D46" s="57">
        <v>2066</v>
      </c>
      <c r="E46" s="1182"/>
      <c r="G46" s="31"/>
    </row>
    <row r="47" spans="1:7" ht="13">
      <c r="A47" s="2">
        <f t="shared" si="1"/>
        <v>41</v>
      </c>
      <c r="B47" s="37"/>
      <c r="C47" s="233" t="s">
        <v>2577</v>
      </c>
      <c r="D47" s="56">
        <f>SUM(D45:D46)</f>
        <v>3431</v>
      </c>
      <c r="E47" s="233" t="str">
        <f>" = L"&amp;A45&amp;" + L"&amp;A46&amp;""</f>
        <v xml:space="preserve"> = L39 + L40</v>
      </c>
    </row>
    <row r="48" spans="1:7" ht="13">
      <c r="A48" s="2">
        <f t="shared" si="1"/>
        <v>42</v>
      </c>
      <c r="B48" s="37"/>
      <c r="C48" s="233" t="s">
        <v>2578</v>
      </c>
      <c r="D48" s="501">
        <f>D45/D47</f>
        <v>0.39784319440396387</v>
      </c>
      <c r="E48" s="233" t="str">
        <f>" = L"&amp;A45&amp;" / L"&amp;A47&amp;""</f>
        <v xml:space="preserve"> = L39 / L41</v>
      </c>
    </row>
    <row r="49" spans="1:7" ht="13">
      <c r="A49" s="2">
        <f t="shared" si="1"/>
        <v>43</v>
      </c>
      <c r="C49" s="25"/>
    </row>
    <row r="50" spans="1:7" ht="13">
      <c r="A50" s="2">
        <f t="shared" si="1"/>
        <v>44</v>
      </c>
      <c r="B50" s="233" t="s">
        <v>2579</v>
      </c>
      <c r="D50" s="3" t="s">
        <v>2558</v>
      </c>
      <c r="E50" s="3" t="s">
        <v>103</v>
      </c>
      <c r="G50" s="32" t="s">
        <v>2559</v>
      </c>
    </row>
    <row r="51" spans="1:7" ht="13">
      <c r="A51" s="2">
        <f t="shared" si="1"/>
        <v>45</v>
      </c>
      <c r="B51" s="37"/>
      <c r="C51" s="233" t="s">
        <v>2580</v>
      </c>
      <c r="D51" s="520">
        <v>0</v>
      </c>
      <c r="E51" s="3"/>
      <c r="G51" s="243" t="s">
        <v>1676</v>
      </c>
    </row>
    <row r="52" spans="1:7" ht="13">
      <c r="A52" s="2">
        <f t="shared" si="1"/>
        <v>46</v>
      </c>
      <c r="B52" s="37"/>
      <c r="C52" s="233" t="s">
        <v>2581</v>
      </c>
      <c r="D52" s="57">
        <v>9023</v>
      </c>
      <c r="E52" s="3"/>
      <c r="G52" s="243" t="s">
        <v>1677</v>
      </c>
    </row>
    <row r="53" spans="1:7" ht="13">
      <c r="A53" s="2">
        <f t="shared" si="1"/>
        <v>47</v>
      </c>
      <c r="B53" s="37"/>
      <c r="C53" s="233" t="s">
        <v>2582</v>
      </c>
      <c r="D53" s="56">
        <f>D51+D52</f>
        <v>9023</v>
      </c>
      <c r="E53" s="233" t="str">
        <f>" = L"&amp;A51&amp;" + L"&amp;A52&amp;""</f>
        <v xml:space="preserve"> = L45 + L46</v>
      </c>
      <c r="G53" s="243" t="s">
        <v>1678</v>
      </c>
    </row>
    <row r="54" spans="1:7" ht="13">
      <c r="A54" s="2">
        <f t="shared" si="1"/>
        <v>48</v>
      </c>
      <c r="B54" s="37"/>
      <c r="C54" s="233" t="s">
        <v>2583</v>
      </c>
      <c r="D54" s="501">
        <f>D51/D53</f>
        <v>0</v>
      </c>
      <c r="E54" s="233" t="str">
        <f>" = L"&amp;A51&amp;" / L"&amp;A53&amp;""</f>
        <v xml:space="preserve"> = L45 / L47</v>
      </c>
      <c r="G54" s="243" t="s">
        <v>1679</v>
      </c>
    </row>
    <row r="55" spans="1:7" ht="13">
      <c r="A55" s="2"/>
    </row>
    <row r="56" spans="1:7" ht="13">
      <c r="A56" s="2"/>
    </row>
    <row r="57" spans="1:7" ht="13">
      <c r="A57" s="2"/>
    </row>
    <row r="58" spans="1:7" ht="13">
      <c r="A58" s="2"/>
    </row>
    <row r="59" spans="1:7" ht="13">
      <c r="A59" s="2"/>
    </row>
    <row r="60" spans="1:7" ht="13">
      <c r="A60" s="2"/>
    </row>
    <row r="61" spans="1:7" ht="13">
      <c r="A61" s="2"/>
    </row>
    <row r="62" spans="1:7" ht="13">
      <c r="A62" s="2"/>
    </row>
    <row r="63" spans="1:7" ht="13">
      <c r="A63" s="2"/>
    </row>
    <row r="64" spans="1:7" ht="13">
      <c r="A64" s="2"/>
    </row>
    <row r="65" spans="1:1" ht="13">
      <c r="A65" s="2"/>
    </row>
    <row r="66" spans="1:1" ht="13">
      <c r="A66" s="2"/>
    </row>
  </sheetData>
  <phoneticPr fontId="26" type="noConversion"/>
  <pageMargins left="0.75" right="0.75" top="1" bottom="1" header="0.5" footer="0.5"/>
  <pageSetup scale="64" fitToHeight="0" orientation="landscape" cellComments="asDisplayed" r:id="rId1"/>
  <headerFooter alignWithMargins="0">
    <oddHeader>&amp;CSchedule 27
Allocation Factors
&amp;RTO2027 Draft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N42"/>
  <sheetViews>
    <sheetView zoomScaleNormal="100" zoomScaleSheetLayoutView="100" workbookViewId="0"/>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 min="14" max="14" width="24.453125" customWidth="1"/>
  </cols>
  <sheetData>
    <row r="1" spans="1:14" ht="13">
      <c r="A1" s="1" t="s">
        <v>2584</v>
      </c>
    </row>
    <row r="2" spans="1:14" ht="13">
      <c r="C2" s="658"/>
      <c r="D2" s="1" t="s">
        <v>200</v>
      </c>
      <c r="E2" s="240" t="s">
        <v>2585</v>
      </c>
      <c r="F2" s="264"/>
    </row>
    <row r="3" spans="1:14" ht="13">
      <c r="B3" s="1" t="s">
        <v>2586</v>
      </c>
      <c r="I3" s="54" t="s">
        <v>650</v>
      </c>
    </row>
    <row r="4" spans="1:14" ht="13">
      <c r="B4" s="1"/>
    </row>
    <row r="5" spans="1:14" ht="13">
      <c r="E5" s="2" t="s">
        <v>2587</v>
      </c>
    </row>
    <row r="6" spans="1:14" ht="13">
      <c r="A6" s="30" t="s">
        <v>282</v>
      </c>
      <c r="C6" s="3" t="s">
        <v>524</v>
      </c>
      <c r="D6" s="3" t="s">
        <v>525</v>
      </c>
      <c r="E6" s="30" t="s">
        <v>921</v>
      </c>
      <c r="G6" s="3" t="s">
        <v>2588</v>
      </c>
      <c r="I6" s="30" t="s">
        <v>254</v>
      </c>
    </row>
    <row r="7" spans="1:14" ht="13">
      <c r="A7" s="2">
        <v>1</v>
      </c>
      <c r="C7" s="83">
        <v>2025</v>
      </c>
      <c r="D7" s="367" t="s">
        <v>3120</v>
      </c>
      <c r="E7" s="84">
        <v>365</v>
      </c>
      <c r="G7" s="1200">
        <v>9.4093968428810952E-3</v>
      </c>
      <c r="I7" s="397" t="s">
        <v>3121</v>
      </c>
    </row>
    <row r="8" spans="1:14" ht="13">
      <c r="A8" s="2">
        <v>2</v>
      </c>
      <c r="C8" s="54"/>
      <c r="D8" s="54"/>
      <c r="E8" s="54"/>
      <c r="G8" s="54"/>
      <c r="I8" s="240"/>
    </row>
    <row r="10" spans="1:14" ht="13">
      <c r="B10" s="1" t="s">
        <v>2589</v>
      </c>
    </row>
    <row r="11" spans="1:14" ht="13">
      <c r="B11" s="1"/>
    </row>
    <row r="12" spans="1:14" ht="13">
      <c r="E12" s="2" t="s">
        <v>2587</v>
      </c>
    </row>
    <row r="13" spans="1:14" ht="13">
      <c r="C13" s="3" t="s">
        <v>524</v>
      </c>
      <c r="D13" s="3" t="s">
        <v>525</v>
      </c>
      <c r="E13" s="30" t="s">
        <v>921</v>
      </c>
      <c r="G13" s="3" t="s">
        <v>2590</v>
      </c>
      <c r="I13" s="30" t="s">
        <v>254</v>
      </c>
    </row>
    <row r="14" spans="1:14" ht="13">
      <c r="A14" s="2">
        <v>3</v>
      </c>
      <c r="C14" s="83">
        <v>2025</v>
      </c>
      <c r="D14" s="367" t="s">
        <v>3120</v>
      </c>
      <c r="E14" s="84">
        <v>365</v>
      </c>
      <c r="G14" s="1201">
        <v>2.1827632542004208E-2</v>
      </c>
      <c r="I14" s="240" t="s">
        <v>3122</v>
      </c>
      <c r="N14" s="1112"/>
    </row>
    <row r="15" spans="1:14" ht="13">
      <c r="A15" s="2">
        <v>4</v>
      </c>
      <c r="C15" s="83"/>
      <c r="D15" s="54"/>
      <c r="E15" s="54"/>
      <c r="G15" s="51"/>
      <c r="I15" s="240"/>
    </row>
    <row r="18" spans="1:9" ht="13">
      <c r="B18" s="1" t="s">
        <v>2591</v>
      </c>
    </row>
    <row r="19" spans="1:9" ht="13">
      <c r="B19" s="1"/>
    </row>
    <row r="20" spans="1:9" ht="13">
      <c r="C20" s="2" t="s">
        <v>423</v>
      </c>
      <c r="D20" s="2"/>
      <c r="E20" s="2"/>
    </row>
    <row r="21" spans="1:9" ht="13">
      <c r="C21" s="3" t="s">
        <v>381</v>
      </c>
      <c r="D21" s="3" t="s">
        <v>2588</v>
      </c>
      <c r="E21" s="3" t="s">
        <v>2590</v>
      </c>
      <c r="I21" s="30" t="s">
        <v>103</v>
      </c>
    </row>
    <row r="22" spans="1:9" ht="13">
      <c r="A22" s="2">
        <v>5</v>
      </c>
      <c r="C22" s="84">
        <v>2025</v>
      </c>
      <c r="D22" s="366">
        <f>E41</f>
        <v>9.4093968428810952E-3</v>
      </c>
      <c r="E22" s="366">
        <f>E42</f>
        <v>2.1827632542004208E-2</v>
      </c>
      <c r="I22" s="233" t="s">
        <v>2592</v>
      </c>
    </row>
    <row r="24" spans="1:9" ht="13">
      <c r="B24" s="1" t="s">
        <v>233</v>
      </c>
    </row>
    <row r="25" spans="1:9">
      <c r="B25" s="233" t="s">
        <v>2593</v>
      </c>
    </row>
    <row r="26" spans="1:9">
      <c r="B26" s="233" t="s">
        <v>2594</v>
      </c>
    </row>
    <row r="28" spans="1:9" ht="13">
      <c r="B28" s="1" t="s">
        <v>442</v>
      </c>
    </row>
    <row r="29" spans="1:9">
      <c r="B29" s="233" t="s">
        <v>2595</v>
      </c>
    </row>
    <row r="30" spans="1:9">
      <c r="B30" s="233" t="s">
        <v>2596</v>
      </c>
    </row>
    <row r="31" spans="1:9">
      <c r="B31" s="233" t="s">
        <v>2597</v>
      </c>
    </row>
    <row r="32" spans="1:9">
      <c r="B32" s="233" t="s">
        <v>2598</v>
      </c>
    </row>
    <row r="33" spans="2:7">
      <c r="B33" s="233" t="s">
        <v>2599</v>
      </c>
    </row>
    <row r="34" spans="2:7">
      <c r="B34" s="233" t="s">
        <v>2600</v>
      </c>
    </row>
    <row r="35" spans="2:7">
      <c r="B35" s="233" t="s">
        <v>2601</v>
      </c>
    </row>
    <row r="36" spans="2:7">
      <c r="B36" s="233" t="s">
        <v>2602</v>
      </c>
    </row>
    <row r="37" spans="2:7">
      <c r="B37" s="233" t="s">
        <v>2603</v>
      </c>
    </row>
    <row r="38" spans="2:7">
      <c r="B38" s="233" t="s">
        <v>2604</v>
      </c>
    </row>
    <row r="40" spans="2:7" ht="13">
      <c r="E40" s="3" t="s">
        <v>1695</v>
      </c>
      <c r="G40" s="30" t="s">
        <v>478</v>
      </c>
    </row>
    <row r="41" spans="2:7">
      <c r="D41" s="231" t="s">
        <v>2605</v>
      </c>
      <c r="E41" s="366">
        <f>((G7*E7) + (G8*E8))/(E7+E8)</f>
        <v>9.4093968428810952E-3</v>
      </c>
      <c r="G41" s="243" t="s">
        <v>2606</v>
      </c>
    </row>
    <row r="42" spans="2:7">
      <c r="D42" s="231" t="s">
        <v>2607</v>
      </c>
      <c r="E42" s="366">
        <f>((G14*E14) + (G15*E15))/(E14+E15)</f>
        <v>2.1827632542004208E-2</v>
      </c>
      <c r="G42" s="243" t="s">
        <v>2608</v>
      </c>
    </row>
  </sheetData>
  <phoneticPr fontId="26" type="noConversion"/>
  <pageMargins left="0.75" right="0.75" top="1" bottom="1" header="0.5" footer="0.5"/>
  <pageSetup scale="82" fitToHeight="0" orientation="portrait" cellComments="asDisplayed" r:id="rId1"/>
  <headerFooter alignWithMargins="0">
    <oddHeader>&amp;CSchedule 28
FF and U
&amp;RTO2027 Draft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2609</v>
      </c>
    </row>
    <row r="2" spans="1:10">
      <c r="G2" s="27" t="s">
        <v>650</v>
      </c>
      <c r="H2" s="27"/>
      <c r="I2" s="54"/>
    </row>
    <row r="3" spans="1:10" ht="13">
      <c r="A3" s="3" t="s">
        <v>282</v>
      </c>
      <c r="B3" s="3" t="s">
        <v>2610</v>
      </c>
      <c r="F3" s="30" t="s">
        <v>103</v>
      </c>
      <c r="G3" s="30" t="s">
        <v>684</v>
      </c>
      <c r="J3" s="30"/>
    </row>
    <row r="4" spans="1:10" ht="13">
      <c r="A4" s="2">
        <v>1</v>
      </c>
      <c r="B4" s="235">
        <f>'1-BaseTRR'!K160</f>
        <v>1627528544.9983795</v>
      </c>
      <c r="C4" s="31" t="s">
        <v>2611</v>
      </c>
      <c r="G4" s="233" t="str">
        <f>"1-BaseTRR, Line "&amp;'1-BaseTRR'!A160&amp;""</f>
        <v>1-BaseTRR, Line 89</v>
      </c>
    </row>
    <row r="5" spans="1:10" ht="13">
      <c r="A5" s="2">
        <f t="shared" ref="A5:A10" si="0">A4+1</f>
        <v>2</v>
      </c>
      <c r="B5" s="1079">
        <v>-171938185</v>
      </c>
      <c r="C5" s="31" t="s">
        <v>2612</v>
      </c>
      <c r="F5" s="233" t="s">
        <v>147</v>
      </c>
      <c r="G5" s="1244" t="s">
        <v>3123</v>
      </c>
      <c r="H5" s="1244"/>
      <c r="I5" s="1053" t="s">
        <v>3124</v>
      </c>
    </row>
    <row r="6" spans="1:10" ht="13">
      <c r="A6" s="2">
        <f t="shared" si="0"/>
        <v>3</v>
      </c>
      <c r="B6" s="1079">
        <v>-170897388</v>
      </c>
      <c r="C6" s="31" t="s">
        <v>2613</v>
      </c>
      <c r="G6" s="1244" t="s">
        <v>3123</v>
      </c>
      <c r="H6" s="1244"/>
      <c r="I6" s="1053" t="s">
        <v>3124</v>
      </c>
    </row>
    <row r="7" spans="1:10" ht="13">
      <c r="A7" s="2">
        <f t="shared" si="0"/>
        <v>4</v>
      </c>
      <c r="B7" s="1079">
        <v>-1040797</v>
      </c>
      <c r="C7" s="31" t="s">
        <v>2614</v>
      </c>
      <c r="G7" s="1244" t="s">
        <v>3123</v>
      </c>
      <c r="H7" s="1244"/>
      <c r="I7" s="1053" t="s">
        <v>3124</v>
      </c>
    </row>
    <row r="8" spans="1:10" ht="13">
      <c r="A8" s="2">
        <f t="shared" si="0"/>
        <v>5</v>
      </c>
      <c r="B8" s="235">
        <f>-'33-RetailRates'!E61</f>
        <v>-12754566.114111556</v>
      </c>
      <c r="C8" s="31" t="s">
        <v>2615</v>
      </c>
      <c r="F8" t="s">
        <v>168</v>
      </c>
      <c r="G8" t="s">
        <v>2616</v>
      </c>
    </row>
    <row r="9" spans="1:10" ht="13">
      <c r="A9" s="2">
        <f t="shared" si="0"/>
        <v>6</v>
      </c>
      <c r="B9" s="7">
        <f>'31-HVLV'!C45</f>
        <v>0.95762826386323197</v>
      </c>
      <c r="C9" s="31" t="s">
        <v>2617</v>
      </c>
      <c r="G9" s="233" t="str">
        <f>"31-HVLV, Line "&amp;'31-HVLV'!A45&amp;""</f>
        <v>31-HVLV, Line 37</v>
      </c>
    </row>
    <row r="10" spans="1:10" ht="13">
      <c r="A10" s="2">
        <f t="shared" si="0"/>
        <v>7</v>
      </c>
      <c r="B10" s="7">
        <f>'31-HVLV'!D45</f>
        <v>4.2371736136768028E-2</v>
      </c>
      <c r="C10" s="31" t="s">
        <v>2618</v>
      </c>
      <c r="G10" s="233" t="str">
        <f>"31-HVLV, Line "&amp;'31-HVLV'!A45&amp;""</f>
        <v>31-HVLV, Line 37</v>
      </c>
    </row>
    <row r="11" spans="1:10">
      <c r="C11" s="25"/>
      <c r="D11" s="331"/>
      <c r="E11" s="331"/>
      <c r="F11" s="331"/>
      <c r="G11" s="331"/>
      <c r="H11" s="331"/>
      <c r="J11" s="331"/>
    </row>
    <row r="12" spans="1:10" ht="13">
      <c r="B12" s="1" t="s">
        <v>2619</v>
      </c>
      <c r="C12" s="25"/>
      <c r="D12" s="331"/>
      <c r="E12" s="331"/>
      <c r="F12" s="331"/>
      <c r="G12" s="331"/>
      <c r="H12" s="331"/>
    </row>
    <row r="13" spans="1:10" ht="13">
      <c r="B13" s="1"/>
      <c r="C13" s="25"/>
      <c r="D13" s="331"/>
      <c r="E13" s="331"/>
      <c r="F13" s="331"/>
      <c r="G13" s="331"/>
      <c r="H13" s="331"/>
    </row>
    <row r="14" spans="1:10" ht="13">
      <c r="B14" s="1"/>
      <c r="C14" s="25"/>
      <c r="D14" s="48" t="s">
        <v>345</v>
      </c>
      <c r="E14" s="48" t="s">
        <v>346</v>
      </c>
      <c r="F14" s="48" t="s">
        <v>347</v>
      </c>
      <c r="G14" s="331"/>
      <c r="H14" s="331"/>
    </row>
    <row r="15" spans="1:10" ht="13">
      <c r="B15" s="1"/>
      <c r="C15" s="25"/>
      <c r="F15" s="331"/>
      <c r="G15" s="331"/>
      <c r="H15" s="331"/>
    </row>
    <row r="16" spans="1:10" ht="13">
      <c r="E16" s="2" t="s">
        <v>2620</v>
      </c>
      <c r="F16" s="2" t="s">
        <v>2621</v>
      </c>
    </row>
    <row r="17" spans="1:8" ht="13">
      <c r="C17" s="25"/>
      <c r="D17" s="3" t="s">
        <v>2622</v>
      </c>
      <c r="E17" s="3" t="s">
        <v>2623</v>
      </c>
      <c r="F17" s="3" t="s">
        <v>2623</v>
      </c>
      <c r="G17" s="3"/>
      <c r="H17" s="3" t="s">
        <v>684</v>
      </c>
    </row>
    <row r="18" spans="1:8" ht="13">
      <c r="A18" s="2">
        <f>A10+1</f>
        <v>8</v>
      </c>
      <c r="B18" s="52"/>
      <c r="C18" s="39" t="s">
        <v>2624</v>
      </c>
      <c r="D18" s="6">
        <f>B4</f>
        <v>1627528544.9983795</v>
      </c>
      <c r="E18" s="6">
        <f>D18*B9</f>
        <v>1558567334.9346502</v>
      </c>
      <c r="F18" s="6">
        <f>D18*B10</f>
        <v>68961210.063729331</v>
      </c>
      <c r="G18" s="6"/>
      <c r="H18" s="233" t="s">
        <v>356</v>
      </c>
    </row>
    <row r="19" spans="1:8" ht="13">
      <c r="A19" s="2">
        <f>A18+1</f>
        <v>9</v>
      </c>
      <c r="B19" s="52"/>
      <c r="C19" s="39" t="s">
        <v>2625</v>
      </c>
      <c r="D19" s="6">
        <f>'24-CWIPTRR'!E157</f>
        <v>45476974.356685393</v>
      </c>
      <c r="E19" s="6">
        <f>'24-CWIPTRR'!E157</f>
        <v>45476974.356685393</v>
      </c>
      <c r="F19" s="6">
        <v>0</v>
      </c>
      <c r="G19" s="6"/>
      <c r="H19" s="233" t="s">
        <v>357</v>
      </c>
    </row>
    <row r="20" spans="1:8" ht="13">
      <c r="A20" s="2">
        <f>A19+1</f>
        <v>10</v>
      </c>
      <c r="B20" s="52"/>
      <c r="C20" s="39" t="s">
        <v>2626</v>
      </c>
      <c r="D20" s="6">
        <f>D18-D19</f>
        <v>1582051570.6416941</v>
      </c>
      <c r="E20" s="6">
        <f t="shared" ref="E20:F20" si="1">E18-E19</f>
        <v>1513090360.5779648</v>
      </c>
      <c r="F20" s="6">
        <f t="shared" si="1"/>
        <v>68961210.063729331</v>
      </c>
      <c r="G20" s="6"/>
      <c r="H20" s="233" t="s">
        <v>359</v>
      </c>
    </row>
    <row r="21" spans="1:8" ht="13">
      <c r="B21" s="52"/>
      <c r="C21" s="52"/>
      <c r="D21" s="6"/>
      <c r="E21" s="6"/>
      <c r="F21" s="6"/>
      <c r="G21" s="6"/>
    </row>
    <row r="22" spans="1:8" ht="13">
      <c r="A22" s="2">
        <f>A20+1</f>
        <v>11</v>
      </c>
      <c r="B22" s="1"/>
      <c r="C22" s="39" t="s">
        <v>2627</v>
      </c>
      <c r="D22" s="6">
        <f>B5</f>
        <v>-171938185</v>
      </c>
      <c r="E22" s="6">
        <f>B6</f>
        <v>-170897388</v>
      </c>
      <c r="F22" s="6">
        <f>B7</f>
        <v>-1040797</v>
      </c>
      <c r="G22" s="6"/>
      <c r="H22" t="str">
        <f>"Lines "&amp;A5&amp;" to "&amp;A7&amp;""</f>
        <v>Lines 2 to 4</v>
      </c>
    </row>
    <row r="23" spans="1:8" ht="13">
      <c r="B23" s="1"/>
      <c r="C23" s="39"/>
      <c r="D23" s="6"/>
      <c r="E23" s="6"/>
      <c r="F23" s="6"/>
      <c r="G23" s="6"/>
    </row>
    <row r="24" spans="1:8" ht="13">
      <c r="A24" s="2">
        <f>A22+1</f>
        <v>12</v>
      </c>
      <c r="B24" s="1"/>
      <c r="C24" s="39" t="s">
        <v>2628</v>
      </c>
      <c r="D24" s="53">
        <f>$B$8</f>
        <v>-12754566.114111556</v>
      </c>
      <c r="E24" s="53">
        <f>$B$8*$B$9</f>
        <v>-12214133.004185459</v>
      </c>
      <c r="F24" s="53">
        <f>$B$8*$B$10</f>
        <v>-540433.10992609756</v>
      </c>
      <c r="G24" s="53"/>
      <c r="H24" s="233" t="s">
        <v>360</v>
      </c>
    </row>
    <row r="25" spans="1:8" ht="13">
      <c r="A25" s="2"/>
      <c r="B25" s="1"/>
      <c r="C25" s="39"/>
      <c r="D25" s="53"/>
      <c r="E25" s="53"/>
      <c r="F25" s="53"/>
      <c r="G25" s="53"/>
      <c r="H25" s="233"/>
    </row>
    <row r="26" spans="1:8" ht="13">
      <c r="B26" s="1"/>
      <c r="C26" s="39" t="s">
        <v>2629</v>
      </c>
      <c r="D26" s="53"/>
      <c r="E26" s="53"/>
      <c r="F26" s="53"/>
      <c r="G26" s="53"/>
    </row>
    <row r="27" spans="1:8" ht="13">
      <c r="A27" s="2">
        <f>A24+1</f>
        <v>13</v>
      </c>
      <c r="B27" s="1"/>
      <c r="C27" s="39" t="s">
        <v>2630</v>
      </c>
      <c r="D27" s="6">
        <f>D18+D22+D24</f>
        <v>1442835793.8842678</v>
      </c>
      <c r="E27" s="6">
        <f>E18+E22+E24</f>
        <v>1375455813.9304647</v>
      </c>
      <c r="F27" s="6">
        <f>F18+F22+F24</f>
        <v>67379979.953803226</v>
      </c>
      <c r="G27" s="6"/>
      <c r="H27" s="235" t="str">
        <f>"Sum of Lines "&amp;A18&amp;", "&amp;A22&amp;", and "&amp;A24&amp;""</f>
        <v>Sum of Lines 8, 11, and 12</v>
      </c>
    </row>
    <row r="28" spans="1:8">
      <c r="E28" s="6"/>
    </row>
    <row r="29" spans="1:8" ht="13">
      <c r="B29" s="30" t="s">
        <v>233</v>
      </c>
    </row>
    <row r="30" spans="1:8">
      <c r="B30" s="233" t="s">
        <v>2631</v>
      </c>
    </row>
    <row r="31" spans="1:8">
      <c r="B31" s="233" t="s">
        <v>2632</v>
      </c>
    </row>
    <row r="32" spans="1:8">
      <c r="B32" s="233" t="s">
        <v>2633</v>
      </c>
    </row>
    <row r="33" spans="2:5">
      <c r="B33" s="233" t="s">
        <v>2634</v>
      </c>
      <c r="D33" s="240" t="s">
        <v>2635</v>
      </c>
      <c r="E33" s="54"/>
    </row>
    <row r="34" spans="2:5">
      <c r="B34" s="233" t="str">
        <f>"3) Column 1 is from Line "&amp;A4&amp;"."</f>
        <v>3) Column 1 is from Line 1.</v>
      </c>
    </row>
    <row r="35" spans="2:5">
      <c r="B35" s="232" t="str">
        <f>"Column 2 equals Column 1 * Line "&amp;A9&amp;"."</f>
        <v>Column 2 equals Column 1 * Line 6.</v>
      </c>
    </row>
    <row r="36" spans="2:5">
      <c r="B36" s="232" t="str">
        <f>"Column 3 equals Column 1 * Line "&amp;A10&amp;"."</f>
        <v>Column 3 equals Column 1 * Line 7.</v>
      </c>
    </row>
    <row r="37" spans="2:5">
      <c r="B37" t="str">
        <f>"4) From 24-CWIPTRR, Line "&amp;'24-CWIPTRR'!A157&amp;".  All High Voltage."</f>
        <v>4) From 24-CWIPTRR, Line 92.  All High Voltage.</v>
      </c>
    </row>
    <row r="38" spans="2:5">
      <c r="B38" t="str">
        <f>"5) Line "&amp;A18&amp;" - Line "&amp;A19&amp;""</f>
        <v>5) Line 8 - Line 9</v>
      </c>
    </row>
    <row r="39" spans="2:5">
      <c r="B39" s="233" t="str">
        <f>"6) Column 1 is from Line "&amp;A8&amp;"."</f>
        <v>6) Column 1 is from Line 5.</v>
      </c>
    </row>
    <row r="40" spans="2:5">
      <c r="B40" s="232" t="str">
        <f>"Column 2 equals Column 1 * Line "&amp;A9&amp;"."</f>
        <v>Column 2 equals Column 1 * Line 6.</v>
      </c>
    </row>
    <row r="41" spans="2:5">
      <c r="B41" s="232" t="str">
        <f>"Column 3 equals Column 1 * Line "&amp;A10&amp;"."</f>
        <v>Column 3 equals Column 1 * Line 7.</v>
      </c>
    </row>
  </sheetData>
  <mergeCells count="3">
    <mergeCell ref="G5:H5"/>
    <mergeCell ref="G6:H6"/>
    <mergeCell ref="G7:H7"/>
  </mergeCells>
  <phoneticPr fontId="26" type="noConversion"/>
  <pageMargins left="0.75" right="0.75" top="1" bottom="1" header="0.5" footer="0.5"/>
  <pageSetup scale="87" orientation="landscape" cellComments="asDisplayed" r:id="rId1"/>
  <headerFooter alignWithMargins="0">
    <oddHeader>&amp;CSchedule 29
Wholesale TRRs
&amp;RTO2027 Draft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G33"/>
  <sheetViews>
    <sheetView zoomScaleNormal="100" workbookViewId="0"/>
  </sheetViews>
  <sheetFormatPr defaultRowHeight="12.5"/>
  <cols>
    <col min="1" max="2" width="4.54296875" customWidth="1"/>
    <col min="4" max="4" width="24.453125" customWidth="1"/>
    <col min="5" max="5" width="17.54296875" customWidth="1"/>
    <col min="6" max="6" width="10.1796875" style="12" customWidth="1"/>
    <col min="7" max="7" width="10.453125" bestFit="1" customWidth="1"/>
  </cols>
  <sheetData>
    <row r="1" spans="1:7" ht="13">
      <c r="A1" s="1" t="s">
        <v>2636</v>
      </c>
    </row>
    <row r="2" spans="1:7" ht="13">
      <c r="B2" s="1"/>
    </row>
    <row r="3" spans="1:7">
      <c r="B3" s="233" t="s">
        <v>2637</v>
      </c>
    </row>
    <row r="4" spans="1:7">
      <c r="B4" s="233"/>
    </row>
    <row r="5" spans="1:7">
      <c r="B5" s="232" t="s">
        <v>2638</v>
      </c>
    </row>
    <row r="6" spans="1:7">
      <c r="B6" s="232" t="s">
        <v>2639</v>
      </c>
    </row>
    <row r="7" spans="1:7">
      <c r="B7" s="232" t="s">
        <v>2640</v>
      </c>
    </row>
    <row r="8" spans="1:7">
      <c r="B8" s="233"/>
    </row>
    <row r="9" spans="1:7">
      <c r="B9" s="233"/>
    </row>
    <row r="10" spans="1:7" ht="13">
      <c r="B10" s="1" t="s">
        <v>2641</v>
      </c>
    </row>
    <row r="11" spans="1:7" ht="13">
      <c r="A11" s="3" t="s">
        <v>282</v>
      </c>
      <c r="G11" s="3" t="s">
        <v>684</v>
      </c>
    </row>
    <row r="12" spans="1:7" ht="13">
      <c r="A12" s="2">
        <v>1</v>
      </c>
      <c r="D12" s="231" t="s">
        <v>2642</v>
      </c>
      <c r="E12" s="6">
        <f>'29-WholesaleTRRs'!F27</f>
        <v>67379979.953803226</v>
      </c>
      <c r="G12" s="232" t="str">
        <f>"29-WholesaleTRRs, Line "&amp;'29-WholesaleTRRs'!A27&amp;", C3"</f>
        <v>29-WholesaleTRRs, Line 13, C3</v>
      </c>
    </row>
    <row r="13" spans="1:7" ht="13">
      <c r="A13" s="2">
        <f>A12+1</f>
        <v>2</v>
      </c>
      <c r="D13" s="231" t="s">
        <v>2643</v>
      </c>
      <c r="E13" s="56">
        <f>'32-GrossLoad'!F8</f>
        <v>89456328</v>
      </c>
      <c r="F13" s="232" t="s">
        <v>2644</v>
      </c>
      <c r="G13" s="232" t="str">
        <f>"32-Gross Load, Line "&amp;'32-GrossLoad'!A8&amp;""</f>
        <v>32-Gross Load, Line 4</v>
      </c>
    </row>
    <row r="14" spans="1:7" ht="13">
      <c r="A14" s="2">
        <f>A13+1</f>
        <v>3</v>
      </c>
      <c r="D14" s="231" t="s">
        <v>2645</v>
      </c>
      <c r="E14" s="995">
        <f>E12/(E13*1000)</f>
        <v>7.5321647400733048E-4</v>
      </c>
      <c r="F14" s="12" t="s">
        <v>2646</v>
      </c>
      <c r="G14" s="12" t="str">
        <f>"Line "&amp;A12&amp;" / (Line "&amp;A13&amp;" * 1000)"</f>
        <v>Line 1 / (Line 2 * 1000)</v>
      </c>
    </row>
    <row r="15" spans="1:7">
      <c r="D15" s="25"/>
      <c r="E15" s="41"/>
    </row>
    <row r="17" spans="1:7" ht="13">
      <c r="B17" s="1" t="s">
        <v>2647</v>
      </c>
    </row>
    <row r="18" spans="1:7">
      <c r="C18" s="31" t="s">
        <v>2648</v>
      </c>
    </row>
    <row r="19" spans="1:7" ht="13">
      <c r="G19" s="3" t="s">
        <v>684</v>
      </c>
    </row>
    <row r="20" spans="1:7" ht="13">
      <c r="A20" s="2">
        <f>A14+1</f>
        <v>4</v>
      </c>
      <c r="D20" s="25" t="s">
        <v>2649</v>
      </c>
      <c r="E20" s="6">
        <f>'29-WholesaleTRRs'!E27</f>
        <v>1375455813.9304647</v>
      </c>
      <c r="G20" s="232" t="str">
        <f>"29-WholesaleTRRs, Line "&amp;'29-WholesaleTRRs'!A27&amp;", C2"</f>
        <v>29-WholesaleTRRs, Line 13, C2</v>
      </c>
    </row>
    <row r="21" spans="1:7" ht="13">
      <c r="A21" s="2">
        <f>A20+1</f>
        <v>5</v>
      </c>
      <c r="D21" s="231" t="s">
        <v>2643</v>
      </c>
      <c r="E21" s="56">
        <f>'32-GrossLoad'!F8</f>
        <v>89456328</v>
      </c>
      <c r="F21" s="232" t="s">
        <v>2644</v>
      </c>
      <c r="G21" s="232" t="str">
        <f>"32-Gross Load, Line "&amp;'32-GrossLoad'!A8&amp;""</f>
        <v>32-Gross Load, Line 4</v>
      </c>
    </row>
    <row r="22" spans="1:7" ht="13">
      <c r="A22" s="2">
        <f>A21+1</f>
        <v>6</v>
      </c>
      <c r="D22" s="231" t="s">
        <v>2650</v>
      </c>
      <c r="E22" s="996">
        <f>E20/(E21*1000)</f>
        <v>1.5375724050851547E-2</v>
      </c>
      <c r="F22" s="12" t="s">
        <v>2646</v>
      </c>
      <c r="G22" s="12" t="str">
        <f>"Line "&amp;A20&amp;" / (Line "&amp;A21&amp;" * 1000)"</f>
        <v>Line 4 / (Line 5 * 1000)</v>
      </c>
    </row>
    <row r="24" spans="1:7" ht="13">
      <c r="B24" s="1" t="s">
        <v>2651</v>
      </c>
    </row>
    <row r="25" spans="1:7" ht="13">
      <c r="G25" s="3" t="s">
        <v>684</v>
      </c>
    </row>
    <row r="26" spans="1:7" ht="13">
      <c r="A26" s="2">
        <f>A22+1</f>
        <v>7</v>
      </c>
      <c r="D26" s="231" t="s">
        <v>2652</v>
      </c>
      <c r="E26" s="6">
        <f>'29-WholesaleTRRs'!E27</f>
        <v>1375455813.9304647</v>
      </c>
      <c r="G26" s="232" t="str">
        <f>"29-WholesaleTRRs, Line "&amp;'29-WholesaleTRRs'!A27&amp;", C2"</f>
        <v>29-WholesaleTRRs, Line 13, C2</v>
      </c>
    </row>
    <row r="27" spans="1:7" ht="13">
      <c r="A27" s="2">
        <f>A26+1</f>
        <v>8</v>
      </c>
      <c r="D27" s="231" t="s">
        <v>2653</v>
      </c>
      <c r="E27" s="56">
        <f>'32-GrossLoad'!F11</f>
        <v>170398</v>
      </c>
      <c r="F27" s="12" t="s">
        <v>2654</v>
      </c>
      <c r="G27" s="232" t="str">
        <f>"32-Gross Load, Line "&amp;'32-GrossLoad'!A11&amp;""</f>
        <v>32-Gross Load, Line 5</v>
      </c>
    </row>
    <row r="28" spans="1:7" ht="13">
      <c r="A28" s="2">
        <f>A27+1</f>
        <v>9</v>
      </c>
      <c r="D28" s="231" t="s">
        <v>2655</v>
      </c>
      <c r="E28" s="41">
        <f>ROUND((E26/(E27*1000)),2)</f>
        <v>8.07</v>
      </c>
      <c r="F28" s="232" t="s">
        <v>2656</v>
      </c>
      <c r="G28" s="12" t="str">
        <f>"Line "&amp;A26&amp;" / (Line "&amp;A27&amp;" * 1000)"</f>
        <v>Line 7 / (Line 8 * 1000)</v>
      </c>
    </row>
    <row r="31" spans="1:7" ht="13">
      <c r="B31" s="30" t="s">
        <v>233</v>
      </c>
    </row>
    <row r="32" spans="1:7">
      <c r="B32" s="233" t="s">
        <v>2657</v>
      </c>
    </row>
    <row r="33" spans="2:2">
      <c r="B33" s="233" t="s">
        <v>2658</v>
      </c>
    </row>
  </sheetData>
  <phoneticPr fontId="26" type="noConversion"/>
  <pageMargins left="0.75" right="0.75" top="1" bottom="1" header="0.5" footer="0.5"/>
  <pageSetup fitToHeight="0" orientation="landscape" cellComments="asDisplayed" r:id="rId1"/>
  <headerFooter alignWithMargins="0">
    <oddHeader>&amp;CSchedule 30
Wholesale Rates
&amp;RTO2027 Draft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K51"/>
  <sheetViews>
    <sheetView zoomScaleNormal="100" workbookViewId="0"/>
  </sheetViews>
  <sheetFormatPr defaultRowHeight="13"/>
  <cols>
    <col min="1" max="1" width="4.54296875" customWidth="1"/>
    <col min="2" max="2" width="38" style="78" customWidth="1"/>
    <col min="3" max="3" width="16.453125" style="78" customWidth="1"/>
    <col min="4" max="4" width="14.54296875" style="78" customWidth="1"/>
    <col min="5" max="5" width="16" style="78" customWidth="1"/>
    <col min="6" max="6" width="3.453125" style="78" bestFit="1" customWidth="1"/>
    <col min="7" max="8" width="14.54296875" style="78" customWidth="1"/>
    <col min="9" max="9" width="17.453125" style="78" customWidth="1"/>
    <col min="10" max="11" width="14.54296875" style="78" customWidth="1"/>
  </cols>
  <sheetData>
    <row r="1" spans="1:11">
      <c r="A1" s="127" t="s">
        <v>2659</v>
      </c>
      <c r="B1" s="13"/>
      <c r="C1" s="13"/>
      <c r="D1" s="13"/>
      <c r="E1" s="13"/>
      <c r="F1" s="13"/>
      <c r="G1" s="13"/>
      <c r="H1" s="13"/>
      <c r="I1" s="13"/>
      <c r="J1" s="13"/>
      <c r="K1" s="13"/>
    </row>
    <row r="2" spans="1:11" ht="12.5">
      <c r="A2" s="13" t="s">
        <v>2660</v>
      </c>
      <c r="B2" s="13"/>
      <c r="C2" s="13"/>
      <c r="D2" s="13"/>
      <c r="E2" s="13"/>
      <c r="F2" s="13"/>
      <c r="G2" s="13"/>
      <c r="H2" s="13"/>
      <c r="I2" s="128" t="s">
        <v>738</v>
      </c>
      <c r="J2" s="128"/>
      <c r="K2" s="13"/>
    </row>
    <row r="3" spans="1:11" ht="12.5">
      <c r="A3" s="233"/>
      <c r="B3" s="13"/>
      <c r="C3" s="13"/>
      <c r="D3" s="13"/>
      <c r="E3" s="13"/>
      <c r="F3" s="13"/>
      <c r="G3" s="13"/>
      <c r="H3" s="13"/>
      <c r="I3" s="13"/>
      <c r="J3" s="13"/>
      <c r="K3" s="13"/>
    </row>
    <row r="4" spans="1:11" ht="12.5">
      <c r="A4" s="233"/>
      <c r="B4" s="13"/>
      <c r="C4" s="13"/>
      <c r="D4" s="13"/>
      <c r="E4" s="13"/>
      <c r="F4" s="13"/>
      <c r="G4" s="241" t="s">
        <v>2661</v>
      </c>
      <c r="H4" s="241"/>
      <c r="I4" s="241"/>
      <c r="J4" s="241"/>
      <c r="K4" s="13"/>
    </row>
    <row r="5" spans="1:11">
      <c r="A5" s="233"/>
      <c r="B5" s="127" t="s">
        <v>2662</v>
      </c>
      <c r="C5" s="13"/>
      <c r="D5" s="13"/>
      <c r="E5" s="13"/>
      <c r="F5" s="13"/>
      <c r="G5" s="241" t="s">
        <v>2663</v>
      </c>
      <c r="H5" s="241"/>
      <c r="I5" s="241"/>
      <c r="J5" s="241"/>
      <c r="K5" s="13"/>
    </row>
    <row r="6" spans="1:11">
      <c r="A6" s="233"/>
      <c r="B6" s="13"/>
      <c r="C6" s="19" t="s">
        <v>2664</v>
      </c>
      <c r="D6" s="19"/>
      <c r="E6" s="19"/>
      <c r="F6" s="19"/>
      <c r="G6" s="19"/>
      <c r="H6" s="19"/>
      <c r="I6" s="19" t="s">
        <v>2665</v>
      </c>
      <c r="J6" s="19" t="s">
        <v>2666</v>
      </c>
      <c r="K6" s="19" t="s">
        <v>2667</v>
      </c>
    </row>
    <row r="7" spans="1:11">
      <c r="A7" s="233"/>
      <c r="B7" s="127" t="s">
        <v>2668</v>
      </c>
      <c r="C7" s="18" t="s">
        <v>1436</v>
      </c>
      <c r="D7" s="18" t="s">
        <v>751</v>
      </c>
      <c r="E7" s="18" t="s">
        <v>2669</v>
      </c>
      <c r="F7" s="18"/>
      <c r="G7" s="18" t="s">
        <v>2670</v>
      </c>
      <c r="H7" s="18" t="s">
        <v>2671</v>
      </c>
      <c r="I7" s="18" t="s">
        <v>2669</v>
      </c>
      <c r="J7" s="18" t="s">
        <v>2669</v>
      </c>
      <c r="K7" s="18" t="s">
        <v>2672</v>
      </c>
    </row>
    <row r="8" spans="1:11">
      <c r="A8" s="3" t="s">
        <v>282</v>
      </c>
      <c r="B8" s="127"/>
      <c r="C8" s="18"/>
      <c r="D8" s="18"/>
      <c r="E8" s="18"/>
      <c r="F8" s="18"/>
      <c r="G8" s="18"/>
      <c r="H8" s="18"/>
      <c r="I8" s="18"/>
      <c r="J8" s="18"/>
      <c r="K8" s="18"/>
    </row>
    <row r="9" spans="1:11">
      <c r="A9" s="2">
        <v>1</v>
      </c>
      <c r="B9" s="129" t="s">
        <v>2673</v>
      </c>
      <c r="C9" s="130"/>
      <c r="D9" s="131"/>
      <c r="E9" s="131"/>
      <c r="F9" s="19"/>
      <c r="G9" s="130"/>
      <c r="H9" s="130"/>
      <c r="I9" s="130"/>
      <c r="J9" s="130"/>
      <c r="K9" s="130"/>
    </row>
    <row r="10" spans="1:11">
      <c r="A10" s="2">
        <f>A9+1</f>
        <v>2</v>
      </c>
      <c r="B10" s="132" t="s">
        <v>2674</v>
      </c>
      <c r="C10" s="133">
        <f>SUM(D10:E10)</f>
        <v>5459480504.138773</v>
      </c>
      <c r="D10" s="909">
        <f>G10+H10</f>
        <v>220972568.71067423</v>
      </c>
      <c r="E10" s="909">
        <f>I10+J10</f>
        <v>5238507935.4280987</v>
      </c>
      <c r="F10" s="134"/>
      <c r="G10" s="580">
        <v>220972568.71067423</v>
      </c>
      <c r="H10" s="580">
        <v>0</v>
      </c>
      <c r="I10" s="580">
        <v>5238507935.4280987</v>
      </c>
      <c r="J10" s="580">
        <v>0</v>
      </c>
      <c r="K10" s="580">
        <v>0</v>
      </c>
    </row>
    <row r="11" spans="1:11">
      <c r="A11" s="2">
        <f t="shared" ref="A11:A47" si="0">A10+1</f>
        <v>3</v>
      </c>
      <c r="B11" s="132" t="s">
        <v>2675</v>
      </c>
      <c r="C11" s="135">
        <f>SUM(D11:E11)</f>
        <v>285315093.89385402</v>
      </c>
      <c r="D11" s="136">
        <f>G11+H11</f>
        <v>9515216.0786643345</v>
      </c>
      <c r="E11" s="136">
        <f>I11+J11</f>
        <v>275799877.81518966</v>
      </c>
      <c r="F11" s="137"/>
      <c r="G11" s="581">
        <v>0</v>
      </c>
      <c r="H11" s="581">
        <v>9515216.0786643345</v>
      </c>
      <c r="I11" s="581">
        <v>0</v>
      </c>
      <c r="J11" s="581">
        <v>275799877.81518966</v>
      </c>
      <c r="K11" s="581">
        <v>0</v>
      </c>
    </row>
    <row r="12" spans="1:11">
      <c r="A12" s="2">
        <f t="shared" si="0"/>
        <v>4</v>
      </c>
      <c r="B12" s="628" t="s">
        <v>2676</v>
      </c>
      <c r="C12" s="138">
        <f>SUM(C10:C11)</f>
        <v>5744795598.0326271</v>
      </c>
      <c r="D12" s="138">
        <f t="shared" ref="D12:E12" si="1">SUM(D10:D11)</f>
        <v>230487784.78933856</v>
      </c>
      <c r="E12" s="138">
        <f t="shared" si="1"/>
        <v>5514307813.243288</v>
      </c>
      <c r="F12" s="138"/>
      <c r="G12" s="138">
        <f t="shared" ref="G12:K12" si="2">SUM(G10:G11)</f>
        <v>220972568.71067423</v>
      </c>
      <c r="H12" s="138">
        <f t="shared" si="2"/>
        <v>9515216.0786643345</v>
      </c>
      <c r="I12" s="138">
        <f t="shared" si="2"/>
        <v>5238507935.4280987</v>
      </c>
      <c r="J12" s="138">
        <f t="shared" si="2"/>
        <v>275799877.81518966</v>
      </c>
      <c r="K12" s="138">
        <f t="shared" si="2"/>
        <v>0</v>
      </c>
    </row>
    <row r="13" spans="1:11">
      <c r="A13" s="2">
        <f t="shared" si="0"/>
        <v>5</v>
      </c>
      <c r="B13" s="13"/>
      <c r="C13" s="910"/>
      <c r="D13" s="910"/>
      <c r="E13" s="910"/>
      <c r="F13" s="139"/>
      <c r="G13" s="910"/>
      <c r="H13" s="911"/>
      <c r="I13" s="912"/>
      <c r="J13" s="911"/>
      <c r="K13" s="911"/>
    </row>
    <row r="14" spans="1:11">
      <c r="A14" s="2">
        <f t="shared" si="0"/>
        <v>6</v>
      </c>
      <c r="B14" s="127" t="s">
        <v>2677</v>
      </c>
      <c r="C14" s="910"/>
      <c r="D14" s="910"/>
      <c r="E14" s="910"/>
      <c r="F14" s="139"/>
      <c r="G14" s="910"/>
      <c r="H14" s="911"/>
      <c r="I14" s="912"/>
      <c r="J14" s="911"/>
      <c r="K14" s="911"/>
    </row>
    <row r="15" spans="1:11">
      <c r="A15" s="2">
        <f t="shared" si="0"/>
        <v>7</v>
      </c>
      <c r="B15" s="140" t="s">
        <v>2678</v>
      </c>
      <c r="C15" s="909">
        <f>SUM(D15:E15)</f>
        <v>5365901867.1419706</v>
      </c>
      <c r="D15" s="909">
        <f>G15+H15</f>
        <v>31753716.971917592</v>
      </c>
      <c r="E15" s="909">
        <f>I15+J15</f>
        <v>5334148150.1700535</v>
      </c>
      <c r="F15" s="141"/>
      <c r="G15" s="315">
        <v>31753716.971917592</v>
      </c>
      <c r="H15" s="582">
        <v>0</v>
      </c>
      <c r="I15" s="315">
        <v>5334148150.1700535</v>
      </c>
      <c r="J15" s="582">
        <v>0</v>
      </c>
      <c r="K15" s="582">
        <v>0</v>
      </c>
    </row>
    <row r="16" spans="1:11">
      <c r="A16" s="2">
        <f t="shared" si="0"/>
        <v>8</v>
      </c>
      <c r="B16" s="477" t="s">
        <v>2679</v>
      </c>
      <c r="C16" s="909">
        <f>SUM(D16:E16)</f>
        <v>515049775.1728738</v>
      </c>
      <c r="D16" s="909">
        <f>G16+H16</f>
        <v>191813.03589682651</v>
      </c>
      <c r="E16" s="909">
        <f>I16+J16+K16</f>
        <v>514857962.13697696</v>
      </c>
      <c r="F16" s="139"/>
      <c r="G16" s="582">
        <v>120050.63121697129</v>
      </c>
      <c r="H16" s="582">
        <v>71762.404679855215</v>
      </c>
      <c r="I16" s="582">
        <v>312252050.06442201</v>
      </c>
      <c r="J16" s="582">
        <v>132953282.20281529</v>
      </c>
      <c r="K16" s="582">
        <v>69652629.869739667</v>
      </c>
    </row>
    <row r="17" spans="1:11" ht="14">
      <c r="A17" s="2">
        <f t="shared" si="0"/>
        <v>9</v>
      </c>
      <c r="B17" s="477" t="s">
        <v>2680</v>
      </c>
      <c r="C17" s="142">
        <f>SUM(D17:E17)</f>
        <v>82918519.438917056</v>
      </c>
      <c r="D17" s="136">
        <f>G17+H17</f>
        <v>25463663.297779001</v>
      </c>
      <c r="E17" s="142">
        <f>I17+J17</f>
        <v>57454856.141138054</v>
      </c>
      <c r="F17" s="143"/>
      <c r="G17" s="583">
        <v>0</v>
      </c>
      <c r="H17" s="584">
        <v>25463663.297779001</v>
      </c>
      <c r="I17" s="583">
        <v>0</v>
      </c>
      <c r="J17" s="584">
        <v>57454856.141138054</v>
      </c>
      <c r="K17" s="583">
        <v>0</v>
      </c>
    </row>
    <row r="18" spans="1:11">
      <c r="A18" s="2">
        <f t="shared" si="0"/>
        <v>10</v>
      </c>
      <c r="B18" s="219" t="s">
        <v>2681</v>
      </c>
      <c r="C18" s="909">
        <f>SUM(C15:C17)</f>
        <v>5963870161.7537613</v>
      </c>
      <c r="D18" s="909">
        <f>SUM(D15:D17)</f>
        <v>57409193.305593416</v>
      </c>
      <c r="E18" s="909">
        <f>SUM(E15:E17)</f>
        <v>5906460968.4481688</v>
      </c>
      <c r="F18" s="144"/>
      <c r="G18" s="909">
        <f>SUM(G15:G17)</f>
        <v>31873767.603134565</v>
      </c>
      <c r="H18" s="909">
        <f>SUM(H15:H17)</f>
        <v>25535425.702458855</v>
      </c>
      <c r="I18" s="909">
        <f>SUM(I15:I17)</f>
        <v>5646400200.2344751</v>
      </c>
      <c r="J18" s="909">
        <f>SUM(J15:J17)</f>
        <v>190408138.34395334</v>
      </c>
      <c r="K18" s="909">
        <f>SUM(K15:K17)</f>
        <v>69652629.869739667</v>
      </c>
    </row>
    <row r="19" spans="1:11">
      <c r="A19" s="2">
        <f t="shared" si="0"/>
        <v>11</v>
      </c>
      <c r="B19" s="13"/>
      <c r="C19" s="913"/>
      <c r="D19" s="913"/>
      <c r="E19" s="913"/>
      <c r="F19" s="144"/>
      <c r="G19" s="914"/>
      <c r="H19" s="914"/>
      <c r="I19" s="914"/>
      <c r="J19" s="914"/>
      <c r="K19" s="914"/>
    </row>
    <row r="20" spans="1:11">
      <c r="A20" s="2">
        <f t="shared" si="0"/>
        <v>12</v>
      </c>
      <c r="B20" s="219" t="s">
        <v>2682</v>
      </c>
      <c r="C20" s="915">
        <f>C12+C18</f>
        <v>11708665759.786388</v>
      </c>
      <c r="D20" s="915">
        <f t="shared" ref="D20" si="3">D12+D18</f>
        <v>287896978.09493196</v>
      </c>
      <c r="E20" s="915">
        <f>E12+E18</f>
        <v>11420768781.691456</v>
      </c>
      <c r="F20" s="916"/>
      <c r="G20" s="916">
        <f t="shared" ref="G20:K20" si="4">G12+G18</f>
        <v>252846336.3138088</v>
      </c>
      <c r="H20" s="916">
        <f t="shared" si="4"/>
        <v>35050641.781123191</v>
      </c>
      <c r="I20" s="915">
        <f t="shared" si="4"/>
        <v>10884908135.662575</v>
      </c>
      <c r="J20" s="915">
        <f t="shared" si="4"/>
        <v>466208016.15914297</v>
      </c>
      <c r="K20" s="916">
        <f t="shared" si="4"/>
        <v>69652629.869739667</v>
      </c>
    </row>
    <row r="21" spans="1:11">
      <c r="A21" s="2">
        <f t="shared" si="0"/>
        <v>13</v>
      </c>
      <c r="B21" s="13"/>
      <c r="C21" s="145"/>
      <c r="D21" s="139"/>
      <c r="E21" s="145"/>
      <c r="F21" s="13"/>
      <c r="G21" s="145"/>
      <c r="H21" s="145"/>
      <c r="I21" s="145"/>
      <c r="J21" s="145"/>
      <c r="K21" s="145"/>
    </row>
    <row r="22" spans="1:11">
      <c r="A22" s="2">
        <f t="shared" si="0"/>
        <v>14</v>
      </c>
      <c r="B22" s="13"/>
      <c r="C22" s="145"/>
      <c r="D22" s="139"/>
      <c r="E22" s="145"/>
      <c r="F22" s="13"/>
      <c r="G22" s="145"/>
      <c r="H22" s="145"/>
      <c r="I22" s="145"/>
      <c r="J22" s="145"/>
      <c r="K22" s="145"/>
    </row>
    <row r="23" spans="1:11">
      <c r="A23" s="2">
        <f t="shared" si="0"/>
        <v>15</v>
      </c>
      <c r="B23" s="241" t="s">
        <v>2683</v>
      </c>
      <c r="C23" s="145"/>
      <c r="D23" s="139"/>
      <c r="E23" s="145"/>
      <c r="F23" s="13"/>
      <c r="G23" s="145"/>
      <c r="H23" s="145"/>
      <c r="I23" s="145"/>
      <c r="J23" s="145"/>
      <c r="K23" s="145"/>
    </row>
    <row r="24" spans="1:11">
      <c r="A24" s="2">
        <f t="shared" si="0"/>
        <v>16</v>
      </c>
      <c r="B24" s="13"/>
      <c r="C24" s="146" t="s">
        <v>2620</v>
      </c>
      <c r="D24" s="19" t="s">
        <v>2621</v>
      </c>
      <c r="E24" s="19"/>
      <c r="F24" s="13"/>
      <c r="G24" s="13"/>
      <c r="H24" s="13"/>
      <c r="I24" s="13"/>
      <c r="J24" s="13"/>
      <c r="K24" s="13"/>
    </row>
    <row r="25" spans="1:11">
      <c r="A25" s="2">
        <f t="shared" si="0"/>
        <v>17</v>
      </c>
      <c r="B25" s="13" t="s">
        <v>132</v>
      </c>
      <c r="C25" s="18" t="s">
        <v>2623</v>
      </c>
      <c r="D25" s="18" t="s">
        <v>2623</v>
      </c>
      <c r="E25" s="18" t="s">
        <v>252</v>
      </c>
      <c r="F25" s="13"/>
      <c r="G25" s="147" t="s">
        <v>233</v>
      </c>
      <c r="H25" s="13"/>
      <c r="I25" s="13"/>
      <c r="J25" s="13"/>
      <c r="K25" s="13"/>
    </row>
    <row r="26" spans="1:11">
      <c r="A26" s="2">
        <f t="shared" si="0"/>
        <v>18</v>
      </c>
      <c r="B26" s="45" t="s">
        <v>751</v>
      </c>
      <c r="C26" s="916">
        <f>G20</f>
        <v>252846336.3138088</v>
      </c>
      <c r="D26" s="916">
        <f>H20</f>
        <v>35050641.781123191</v>
      </c>
      <c r="E26" s="141">
        <f>SUM(C26:D26)</f>
        <v>287896978.09493196</v>
      </c>
      <c r="F26" s="13"/>
      <c r="G26" s="13" t="s">
        <v>2684</v>
      </c>
      <c r="H26" s="13"/>
      <c r="I26" s="13"/>
      <c r="J26" s="13"/>
      <c r="K26" s="13"/>
    </row>
    <row r="27" spans="1:11">
      <c r="A27" s="2">
        <f t="shared" si="0"/>
        <v>19</v>
      </c>
      <c r="B27" s="45" t="s">
        <v>2669</v>
      </c>
      <c r="C27" s="915">
        <f>I20</f>
        <v>10884908135.662575</v>
      </c>
      <c r="D27" s="915">
        <f>J20</f>
        <v>466208016.15914297</v>
      </c>
      <c r="E27" s="141">
        <f>SUM(C27:D27)</f>
        <v>11351116151.821718</v>
      </c>
      <c r="F27" s="13"/>
      <c r="G27" s="13" t="s">
        <v>2684</v>
      </c>
      <c r="H27" s="13"/>
      <c r="I27" s="13"/>
      <c r="J27" s="13"/>
      <c r="K27" s="13"/>
    </row>
    <row r="28" spans="1:11">
      <c r="A28" s="2">
        <f t="shared" si="0"/>
        <v>20</v>
      </c>
      <c r="B28" s="22" t="s">
        <v>2685</v>
      </c>
      <c r="C28" s="915">
        <f>SUM(C26:C27)</f>
        <v>11137754471.976383</v>
      </c>
      <c r="D28" s="915">
        <f>SUM(D26:D27)</f>
        <v>501258657.94026613</v>
      </c>
      <c r="E28" s="916">
        <f>SUM(C28:D28)</f>
        <v>11639013129.916649</v>
      </c>
      <c r="F28" s="13"/>
      <c r="G28" s="13" t="s">
        <v>2686</v>
      </c>
      <c r="H28" s="13"/>
      <c r="I28" s="13"/>
      <c r="J28" s="13"/>
      <c r="K28" s="13"/>
    </row>
    <row r="29" spans="1:11">
      <c r="A29" s="2">
        <f t="shared" si="0"/>
        <v>21</v>
      </c>
      <c r="B29" s="148" t="s">
        <v>2687</v>
      </c>
      <c r="C29" s="997">
        <f>C28/E28</f>
        <v>0.95693289007022064</v>
      </c>
      <c r="D29" s="997">
        <f>D28/E28</f>
        <v>4.3067109929779399E-2</v>
      </c>
      <c r="E29" s="917"/>
      <c r="F29" s="502"/>
      <c r="G29" s="627" t="s">
        <v>2688</v>
      </c>
      <c r="H29" s="13"/>
      <c r="I29" s="13"/>
      <c r="J29" s="13"/>
      <c r="K29" s="502"/>
    </row>
    <row r="30" spans="1:11">
      <c r="A30" s="2">
        <f t="shared" si="0"/>
        <v>22</v>
      </c>
      <c r="B30" s="13"/>
      <c r="C30" s="918"/>
      <c r="D30" s="918"/>
      <c r="E30" s="918"/>
      <c r="F30" s="13"/>
      <c r="G30" s="13"/>
      <c r="H30" s="13"/>
      <c r="I30" s="13"/>
      <c r="J30" s="13"/>
      <c r="K30" s="13"/>
    </row>
    <row r="31" spans="1:11">
      <c r="A31" s="2">
        <f t="shared" si="0"/>
        <v>23</v>
      </c>
      <c r="B31" s="13" t="s">
        <v>2689</v>
      </c>
      <c r="C31" s="919">
        <f>K20*C29</f>
        <v>66652892.402241357</v>
      </c>
      <c r="D31" s="919">
        <f>K20*D29</f>
        <v>2999737.4674983141</v>
      </c>
      <c r="E31" s="919">
        <f>K20</f>
        <v>69652629.869739667</v>
      </c>
      <c r="F31" s="13"/>
      <c r="G31" s="241" t="str">
        <f>"Straddling Transformers split by Gross Plant Percentages on Line "&amp;A29&amp;""</f>
        <v>Straddling Transformers split by Gross Plant Percentages on Line 21</v>
      </c>
      <c r="H31" s="13"/>
      <c r="I31" s="13"/>
      <c r="J31" s="13"/>
      <c r="K31" s="13"/>
    </row>
    <row r="32" spans="1:11">
      <c r="A32" s="2">
        <f t="shared" si="0"/>
        <v>24</v>
      </c>
      <c r="B32" s="303" t="s">
        <v>2690</v>
      </c>
      <c r="C32" s="503">
        <v>0</v>
      </c>
      <c r="D32" s="503">
        <f>E32-C32</f>
        <v>0</v>
      </c>
      <c r="E32" s="503">
        <v>0</v>
      </c>
      <c r="F32" s="303"/>
      <c r="G32" s="303" t="s">
        <v>2691</v>
      </c>
      <c r="H32" s="504"/>
      <c r="I32" s="13"/>
      <c r="J32" s="13"/>
      <c r="K32" s="13"/>
    </row>
    <row r="33" spans="1:11">
      <c r="A33" s="2">
        <f t="shared" si="0"/>
        <v>25</v>
      </c>
      <c r="B33" s="13" t="s">
        <v>2692</v>
      </c>
      <c r="C33" s="909">
        <f>C28+C31+C32</f>
        <v>11204407364.378624</v>
      </c>
      <c r="D33" s="909">
        <f>D28+D31+D32</f>
        <v>504258395.40776443</v>
      </c>
      <c r="E33" s="909">
        <f>E28+E31+E32</f>
        <v>11708665759.786388</v>
      </c>
      <c r="F33" s="13"/>
      <c r="G33" s="303" t="str">
        <f>"Line "&amp;A28&amp;" + Line "&amp;A31&amp;" + Line "&amp;A32&amp;""</f>
        <v>Line 20 + Line 23 + Line 24</v>
      </c>
      <c r="H33" s="303"/>
      <c r="I33" s="13"/>
      <c r="J33" s="13"/>
      <c r="K33" s="13"/>
    </row>
    <row r="34" spans="1:11">
      <c r="A34" s="2">
        <f t="shared" si="0"/>
        <v>26</v>
      </c>
      <c r="B34" s="13"/>
      <c r="C34" s="920"/>
      <c r="D34" s="920"/>
      <c r="E34" s="921"/>
      <c r="F34" s="13"/>
      <c r="G34" s="13"/>
      <c r="H34" s="13"/>
      <c r="I34" s="13"/>
      <c r="J34" s="13"/>
      <c r="K34" s="13"/>
    </row>
    <row r="35" spans="1:11">
      <c r="A35" s="2">
        <f t="shared" si="0"/>
        <v>27</v>
      </c>
      <c r="B35" s="13"/>
      <c r="C35" s="144"/>
      <c r="D35" s="144"/>
      <c r="E35" s="13"/>
      <c r="F35" s="13"/>
      <c r="G35" s="144"/>
      <c r="H35" s="144"/>
      <c r="I35" s="144"/>
      <c r="J35" s="13"/>
      <c r="K35" s="13"/>
    </row>
    <row r="36" spans="1:11">
      <c r="A36" s="2">
        <f t="shared" si="0"/>
        <v>28</v>
      </c>
      <c r="B36" s="127" t="s">
        <v>2693</v>
      </c>
      <c r="C36" s="13"/>
      <c r="D36" s="13"/>
      <c r="E36" s="13"/>
      <c r="F36" s="13"/>
      <c r="G36" s="13"/>
      <c r="H36" s="13"/>
      <c r="I36" s="13"/>
      <c r="J36" s="13"/>
      <c r="K36" s="13"/>
    </row>
    <row r="37" spans="1:11">
      <c r="A37" s="2">
        <f t="shared" si="0"/>
        <v>29</v>
      </c>
      <c r="B37" s="127"/>
      <c r="C37" s="13"/>
      <c r="D37" s="13"/>
      <c r="E37" s="13"/>
      <c r="F37" s="13"/>
      <c r="G37" s="13"/>
      <c r="H37" s="13"/>
      <c r="I37" s="13"/>
      <c r="J37" s="13"/>
      <c r="K37" s="13"/>
    </row>
    <row r="38" spans="1:11">
      <c r="A38" s="2">
        <f t="shared" si="0"/>
        <v>30</v>
      </c>
      <c r="B38" s="127"/>
      <c r="C38" s="146" t="s">
        <v>2620</v>
      </c>
      <c r="D38" s="19" t="s">
        <v>2621</v>
      </c>
      <c r="E38" s="19"/>
      <c r="F38" s="13"/>
      <c r="G38" s="13"/>
      <c r="H38" s="13"/>
      <c r="I38" s="13"/>
      <c r="J38" s="13"/>
      <c r="K38" s="13"/>
    </row>
    <row r="39" spans="1:11">
      <c r="A39" s="2">
        <f t="shared" si="0"/>
        <v>31</v>
      </c>
      <c r="B39" s="127"/>
      <c r="C39" s="18" t="s">
        <v>2623</v>
      </c>
      <c r="D39" s="18" t="s">
        <v>2623</v>
      </c>
      <c r="E39" s="18" t="s">
        <v>252</v>
      </c>
      <c r="F39" s="13"/>
      <c r="G39" s="147" t="s">
        <v>233</v>
      </c>
      <c r="H39" s="13"/>
      <c r="I39" s="13"/>
      <c r="J39" s="13"/>
      <c r="K39" s="13"/>
    </row>
    <row r="40" spans="1:11">
      <c r="A40" s="2">
        <f t="shared" si="0"/>
        <v>32</v>
      </c>
      <c r="B40" s="13" t="s">
        <v>2692</v>
      </c>
      <c r="C40" s="141">
        <f>C33</f>
        <v>11204407364.378624</v>
      </c>
      <c r="D40" s="141">
        <f>D33</f>
        <v>504258395.40776443</v>
      </c>
      <c r="E40" s="141">
        <f>E33</f>
        <v>11708665759.786388</v>
      </c>
      <c r="F40" s="13"/>
      <c r="G40" s="13" t="str">
        <f>"Line "&amp;A33&amp;""</f>
        <v>Line 25</v>
      </c>
      <c r="H40" s="13"/>
      <c r="I40" s="13"/>
      <c r="J40" s="13"/>
      <c r="K40" s="13"/>
    </row>
    <row r="41" spans="1:11">
      <c r="A41" s="2">
        <f t="shared" si="0"/>
        <v>33</v>
      </c>
      <c r="B41" s="241" t="s">
        <v>2694</v>
      </c>
      <c r="C41" s="141">
        <f>'16-PlantAdditions'!K37-'16-PlantAdditions'!P37</f>
        <v>610597142.8934406</v>
      </c>
      <c r="D41" s="141">
        <f>'16-PlantAdditions'!P37</f>
        <v>31012876.001757052</v>
      </c>
      <c r="E41" s="446">
        <f>SUM(C41:D41)</f>
        <v>641610018.89519763</v>
      </c>
      <c r="F41" s="13"/>
      <c r="G41" s="13" t="str">
        <f>"13-Month Average: 16-PlantAdditions, Line "&amp;'16-PlantAdditions'!A37&amp;", Cols 7  (for Total) and 12 (for LV).  HV = C7 - C12."</f>
        <v>13-Month Average: 16-PlantAdditions, Line 25, Cols 7  (for Total) and 12 (for LV).  HV = C7 - C12.</v>
      </c>
      <c r="H41" s="13"/>
      <c r="I41" s="13"/>
      <c r="J41" s="13"/>
      <c r="K41" s="13"/>
    </row>
    <row r="42" spans="1:11">
      <c r="A42" s="2">
        <f t="shared" si="0"/>
        <v>34</v>
      </c>
      <c r="B42" s="241" t="s">
        <v>2695</v>
      </c>
      <c r="C42" s="277">
        <f>'10-CWIP'!K79</f>
        <v>282467653.9161731</v>
      </c>
      <c r="D42" s="277">
        <v>0</v>
      </c>
      <c r="E42" s="277">
        <f>SUM(C42:D42)</f>
        <v>282467653.9161731</v>
      </c>
      <c r="F42" s="13"/>
      <c r="G42" s="13" t="str">
        <f>"13 Month Average: 10-CWIP, Line "&amp;'10-CWIP'!A79&amp;", Col. 8"</f>
        <v>13 Month Average: 10-CWIP, Line 54, Col. 8</v>
      </c>
      <c r="H42" s="13"/>
      <c r="I42" s="13"/>
      <c r="J42" s="13"/>
      <c r="K42" s="13"/>
    </row>
    <row r="43" spans="1:11">
      <c r="A43" s="2">
        <f t="shared" si="0"/>
        <v>35</v>
      </c>
      <c r="B43" s="241" t="s">
        <v>2696</v>
      </c>
      <c r="C43" s="141">
        <f>SUM(C40:C42)</f>
        <v>12097472161.188238</v>
      </c>
      <c r="D43" s="141">
        <f t="shared" ref="D43:E43" si="5">SUM(D40:D42)</f>
        <v>535271271.40952146</v>
      </c>
      <c r="E43" s="141">
        <f t="shared" si="5"/>
        <v>12632743432.597759</v>
      </c>
      <c r="F43" s="13"/>
      <c r="G43" s="13" t="str">
        <f>"Line "&amp;A40&amp;" + Line "&amp;A41&amp;" + Line "&amp;A42&amp;""</f>
        <v>Line 32 + Line 33 + Line 34</v>
      </c>
      <c r="H43" s="13"/>
      <c r="I43" s="13"/>
      <c r="J43" s="13"/>
      <c r="K43" s="13"/>
    </row>
    <row r="44" spans="1:11">
      <c r="A44" s="2">
        <f t="shared" si="0"/>
        <v>36</v>
      </c>
      <c r="B44" s="13"/>
      <c r="C44" s="13"/>
      <c r="D44" s="13"/>
      <c r="E44" s="13"/>
      <c r="F44" s="13"/>
      <c r="G44" s="13"/>
      <c r="H44" s="13"/>
      <c r="I44" s="13"/>
      <c r="J44" s="13"/>
      <c r="K44" s="13"/>
    </row>
    <row r="45" spans="1:11">
      <c r="A45" s="2">
        <f t="shared" si="0"/>
        <v>37</v>
      </c>
      <c r="B45" s="13" t="s">
        <v>2697</v>
      </c>
      <c r="C45" s="998">
        <f>C43/E43</f>
        <v>0.95762826386323197</v>
      </c>
      <c r="D45" s="998">
        <f>D43/E43</f>
        <v>4.2371736136768028E-2</v>
      </c>
      <c r="E45" s="13"/>
      <c r="F45" s="13"/>
      <c r="G45" s="505" t="str">
        <f>"Percent of Total on Line "&amp;A43&amp;""</f>
        <v>Percent of Total on Line 35</v>
      </c>
      <c r="H45" s="13"/>
      <c r="I45" s="13"/>
      <c r="J45" s="13"/>
      <c r="K45" s="13"/>
    </row>
    <row r="46" spans="1:11">
      <c r="A46" s="2">
        <f t="shared" si="0"/>
        <v>38</v>
      </c>
      <c r="B46" s="491" t="s">
        <v>2698</v>
      </c>
      <c r="C46" s="13"/>
      <c r="D46" s="13"/>
      <c r="E46" s="13"/>
      <c r="F46" s="13"/>
      <c r="G46" s="13"/>
      <c r="H46" s="13"/>
      <c r="I46" s="13"/>
      <c r="J46" s="13"/>
      <c r="K46" s="13"/>
    </row>
    <row r="47" spans="1:11">
      <c r="A47" s="2">
        <f t="shared" si="0"/>
        <v>39</v>
      </c>
      <c r="B47" s="241" t="s">
        <v>2699</v>
      </c>
      <c r="C47" s="13"/>
      <c r="D47" s="13"/>
      <c r="E47" s="13"/>
      <c r="F47" s="13"/>
      <c r="G47" s="13"/>
      <c r="H47" s="13"/>
      <c r="I47" s="13"/>
      <c r="J47" s="13"/>
      <c r="K47" s="13"/>
    </row>
    <row r="48" spans="1:11">
      <c r="A48" s="233"/>
      <c r="B48" s="1"/>
      <c r="C48" s="13"/>
      <c r="D48" s="13"/>
      <c r="E48" s="13"/>
      <c r="F48" s="13"/>
      <c r="G48" s="13"/>
      <c r="H48" s="13"/>
      <c r="I48" s="13"/>
      <c r="J48" s="13"/>
      <c r="K48" s="13"/>
    </row>
    <row r="49" spans="1:11">
      <c r="A49" s="233"/>
      <c r="B49" s="1"/>
      <c r="C49" s="303"/>
      <c r="D49" s="303"/>
      <c r="E49" s="303"/>
      <c r="F49" s="303"/>
      <c r="G49" s="303"/>
      <c r="H49" s="303"/>
      <c r="I49" s="13"/>
      <c r="J49" s="13"/>
      <c r="K49" s="13"/>
    </row>
    <row r="50" spans="1:11" ht="12.5">
      <c r="A50" s="233"/>
      <c r="B50" s="303"/>
      <c r="C50" s="303"/>
      <c r="D50" s="303"/>
      <c r="E50" s="303"/>
      <c r="F50" s="303"/>
      <c r="G50" s="303"/>
      <c r="H50" s="303"/>
      <c r="I50" s="13"/>
      <c r="J50" s="13"/>
      <c r="K50" s="13"/>
    </row>
    <row r="51" spans="1:11">
      <c r="B51" s="303"/>
      <c r="C51" s="504"/>
      <c r="D51" s="504"/>
      <c r="E51" s="504"/>
      <c r="F51" s="504"/>
      <c r="G51" s="504"/>
      <c r="H51" s="504"/>
    </row>
  </sheetData>
  <pageMargins left="0.7" right="0.7" top="0.75" bottom="0.75" header="0.3" footer="0.3"/>
  <pageSetup scale="69" fitToHeight="0" orientation="landscape" cellComments="asDisplayed" r:id="rId1"/>
  <headerFooter>
    <oddHeader>&amp;CSchedule 31
High and Low Voltage Gross Plant
&amp;RTO2027 Draft Annual Update 
Attachment 1</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H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2700</v>
      </c>
    </row>
    <row r="2" spans="1:8" ht="13">
      <c r="B2" s="658"/>
      <c r="D2" s="39" t="s">
        <v>200</v>
      </c>
      <c r="E2" s="233"/>
      <c r="F2" s="240" t="s">
        <v>2701</v>
      </c>
      <c r="G2" s="54"/>
    </row>
    <row r="3" spans="1:8" ht="13">
      <c r="G3" s="2"/>
    </row>
    <row r="4" spans="1:8" ht="13">
      <c r="A4" s="3" t="s">
        <v>282</v>
      </c>
      <c r="F4" s="3" t="s">
        <v>2644</v>
      </c>
      <c r="G4" s="3" t="s">
        <v>478</v>
      </c>
      <c r="H4" s="30" t="s">
        <v>684</v>
      </c>
    </row>
    <row r="5" spans="1:8" ht="13">
      <c r="A5" s="2">
        <v>1</v>
      </c>
      <c r="B5" s="233" t="s">
        <v>2702</v>
      </c>
      <c r="F5" s="602">
        <v>89306486</v>
      </c>
      <c r="G5" s="12"/>
      <c r="H5" t="s">
        <v>147</v>
      </c>
    </row>
    <row r="6" spans="1:8" ht="13">
      <c r="A6" s="2">
        <v>2</v>
      </c>
      <c r="B6" s="233" t="s">
        <v>2703</v>
      </c>
      <c r="F6" s="602">
        <v>162661</v>
      </c>
      <c r="G6" s="12"/>
      <c r="H6" t="s">
        <v>168</v>
      </c>
    </row>
    <row r="7" spans="1:8" ht="13">
      <c r="A7" s="2">
        <v>3</v>
      </c>
      <c r="B7" s="233" t="s">
        <v>2704</v>
      </c>
      <c r="C7" s="233"/>
      <c r="D7" s="233"/>
      <c r="F7" s="57">
        <v>-12819</v>
      </c>
      <c r="G7" s="12"/>
      <c r="H7" s="233" t="s">
        <v>226</v>
      </c>
    </row>
    <row r="8" spans="1:8" ht="13">
      <c r="A8" s="2">
        <v>4</v>
      </c>
      <c r="B8" s="276" t="s">
        <v>2705</v>
      </c>
      <c r="F8" s="56">
        <f>SUM(F5:F7)</f>
        <v>89456328</v>
      </c>
      <c r="G8" s="232" t="s">
        <v>2706</v>
      </c>
      <c r="H8" s="233" t="s">
        <v>2399</v>
      </c>
    </row>
    <row r="9" spans="1:8" ht="13">
      <c r="A9" s="2"/>
      <c r="G9" s="12"/>
    </row>
    <row r="10" spans="1:8" ht="13">
      <c r="A10" s="2"/>
      <c r="G10" s="12"/>
    </row>
    <row r="11" spans="1:8" ht="13">
      <c r="A11" s="2">
        <v>5</v>
      </c>
      <c r="B11" s="233" t="s">
        <v>2707</v>
      </c>
      <c r="E11" s="25"/>
      <c r="F11" s="1077">
        <v>170398</v>
      </c>
      <c r="H11" s="233" t="s">
        <v>147</v>
      </c>
    </row>
    <row r="12" spans="1:8">
      <c r="G12" s="12"/>
    </row>
    <row r="14" spans="1:8" ht="13">
      <c r="B14" s="30" t="s">
        <v>233</v>
      </c>
    </row>
    <row r="15" spans="1:8">
      <c r="B15" s="233" t="s">
        <v>2708</v>
      </c>
    </row>
    <row r="16" spans="1:8">
      <c r="B16" s="233" t="s">
        <v>2709</v>
      </c>
    </row>
    <row r="17" spans="2:2">
      <c r="B17" s="233" t="s">
        <v>2710</v>
      </c>
    </row>
    <row r="18" spans="2:2">
      <c r="B18" s="233" t="s">
        <v>2711</v>
      </c>
    </row>
    <row r="19" spans="2:2" ht="15.5">
      <c r="B19" s="301"/>
    </row>
  </sheetData>
  <pageMargins left="0.7" right="0.7" top="0.75" bottom="0.75" header="0.3" footer="0.3"/>
  <pageSetup fitToHeight="0" orientation="landscape" cellComments="asDisplayed" r:id="rId1"/>
  <headerFooter>
    <oddHeader>&amp;CSchedule 32 
Gross Load
&amp;RTO2027 Draft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Normal="100" workbookViewId="0"/>
  </sheetViews>
  <sheetFormatPr defaultColWidth="9.453125" defaultRowHeight="12.5"/>
  <cols>
    <col min="1" max="1" width="5.453125" style="399" customWidth="1"/>
    <col min="2" max="2" width="18.54296875" style="399" customWidth="1"/>
    <col min="3" max="3" width="16.453125" style="399" customWidth="1"/>
    <col min="4" max="4" width="17.453125" style="399" customWidth="1"/>
    <col min="5" max="6" width="15.54296875" style="399" customWidth="1"/>
    <col min="7" max="7" width="17.1796875" style="399" customWidth="1"/>
    <col min="8" max="12" width="15.54296875" style="399" customWidth="1"/>
    <col min="13" max="13" width="15.54296875" style="400" customWidth="1"/>
    <col min="14" max="14" width="15.54296875" style="399" customWidth="1"/>
    <col min="15" max="15" width="9.453125" style="399"/>
    <col min="16" max="16" width="9.54296875" style="399" customWidth="1"/>
    <col min="17" max="16384" width="9.453125" style="399"/>
  </cols>
  <sheetData>
    <row r="1" spans="1:16" ht="15.5">
      <c r="A1" s="398" t="s">
        <v>2712</v>
      </c>
    </row>
    <row r="2" spans="1:16" ht="14.25" customHeight="1">
      <c r="A2" s="398"/>
    </row>
    <row r="3" spans="1:16" ht="13">
      <c r="E3" s="401" t="s">
        <v>684</v>
      </c>
    </row>
    <row r="4" spans="1:16" ht="13">
      <c r="C4" s="402" t="s">
        <v>2713</v>
      </c>
      <c r="D4" s="999">
        <f>'1-BaseTRR'!K155</f>
        <v>1659516363.0673759</v>
      </c>
      <c r="E4" s="403" t="s">
        <v>2714</v>
      </c>
      <c r="G4" s="404" t="s">
        <v>738</v>
      </c>
      <c r="H4" s="405"/>
    </row>
    <row r="5" spans="1:16" ht="13">
      <c r="C5" s="402"/>
      <c r="D5" s="406"/>
      <c r="E5" s="403"/>
    </row>
    <row r="6" spans="1:16" ht="15.5">
      <c r="B6" s="398" t="s">
        <v>2715</v>
      </c>
      <c r="D6" s="402"/>
      <c r="E6" s="406"/>
      <c r="F6" s="403"/>
    </row>
    <row r="7" spans="1:16" ht="13">
      <c r="C7" s="407" t="s">
        <v>345</v>
      </c>
      <c r="D7" s="407" t="s">
        <v>346</v>
      </c>
      <c r="E7" s="407" t="s">
        <v>347</v>
      </c>
      <c r="F7" s="407" t="s">
        <v>348</v>
      </c>
      <c r="G7" s="407" t="s">
        <v>349</v>
      </c>
      <c r="H7" s="407" t="s">
        <v>350</v>
      </c>
      <c r="I7" s="407" t="s">
        <v>351</v>
      </c>
      <c r="J7" s="407" t="s">
        <v>352</v>
      </c>
      <c r="K7" s="407" t="s">
        <v>353</v>
      </c>
      <c r="L7" s="407" t="s">
        <v>603</v>
      </c>
      <c r="M7" s="407" t="s">
        <v>604</v>
      </c>
      <c r="N7" s="401" t="s">
        <v>605</v>
      </c>
      <c r="O7" s="401" t="s">
        <v>606</v>
      </c>
      <c r="P7" s="401" t="s">
        <v>607</v>
      </c>
    </row>
    <row r="8" spans="1:16">
      <c r="C8" s="400" t="s">
        <v>147</v>
      </c>
      <c r="E8" s="400" t="s">
        <v>168</v>
      </c>
      <c r="F8" s="400" t="s">
        <v>2449</v>
      </c>
      <c r="G8" s="400" t="s">
        <v>226</v>
      </c>
      <c r="H8" s="400" t="s">
        <v>217</v>
      </c>
      <c r="I8" s="400" t="s">
        <v>129</v>
      </c>
      <c r="J8" s="400" t="s">
        <v>956</v>
      </c>
    </row>
    <row r="9" spans="1:16" ht="13">
      <c r="C9" s="407"/>
      <c r="D9" s="408"/>
      <c r="E9" s="1245" t="s">
        <v>2716</v>
      </c>
      <c r="F9" s="1245"/>
      <c r="G9" s="1245"/>
      <c r="H9" s="1246"/>
      <c r="I9" s="1246"/>
      <c r="J9" s="640"/>
      <c r="K9" s="531"/>
      <c r="L9" s="400" t="s">
        <v>2717</v>
      </c>
      <c r="M9" s="400" t="s">
        <v>2717</v>
      </c>
      <c r="N9" s="400" t="s">
        <v>2717</v>
      </c>
    </row>
    <row r="10" spans="1:16" s="629" customFormat="1" ht="128.25" customHeight="1">
      <c r="C10" s="409"/>
      <c r="D10" s="649" t="s">
        <v>2718</v>
      </c>
      <c r="E10" s="532" t="s">
        <v>2719</v>
      </c>
      <c r="F10" s="532" t="s">
        <v>2720</v>
      </c>
      <c r="G10" s="533" t="s">
        <v>2721</v>
      </c>
      <c r="H10" s="532" t="s">
        <v>2722</v>
      </c>
      <c r="I10" s="532" t="s">
        <v>2723</v>
      </c>
      <c r="J10" s="650" t="s">
        <v>2724</v>
      </c>
      <c r="K10" s="649" t="s">
        <v>2725</v>
      </c>
      <c r="L10" s="649" t="s">
        <v>2726</v>
      </c>
      <c r="M10" s="740" t="s">
        <v>2727</v>
      </c>
      <c r="N10" s="741"/>
      <c r="O10" s="642"/>
      <c r="P10" s="1078"/>
    </row>
    <row r="11" spans="1:16" ht="55.5" customHeight="1">
      <c r="A11" s="401" t="s">
        <v>102</v>
      </c>
      <c r="B11" s="410" t="s">
        <v>2728</v>
      </c>
      <c r="C11" s="411" t="s">
        <v>2729</v>
      </c>
      <c r="D11" s="412" t="s">
        <v>2730</v>
      </c>
      <c r="E11" s="410" t="s">
        <v>2731</v>
      </c>
      <c r="F11" s="436" t="s">
        <v>2732</v>
      </c>
      <c r="G11" s="537" t="s">
        <v>2733</v>
      </c>
      <c r="H11" s="410" t="s">
        <v>2734</v>
      </c>
      <c r="I11" s="410" t="s">
        <v>2735</v>
      </c>
      <c r="J11" s="410" t="s">
        <v>2736</v>
      </c>
      <c r="K11" s="414" t="s">
        <v>2737</v>
      </c>
      <c r="L11" s="410" t="s">
        <v>2738</v>
      </c>
      <c r="M11" s="413" t="s">
        <v>2739</v>
      </c>
      <c r="N11" s="410" t="s">
        <v>2734</v>
      </c>
      <c r="O11" s="410" t="s">
        <v>2735</v>
      </c>
      <c r="P11" s="410" t="s">
        <v>103</v>
      </c>
    </row>
    <row r="12" spans="1:16" ht="13">
      <c r="A12" s="415" t="s">
        <v>1869</v>
      </c>
      <c r="B12" s="236" t="s">
        <v>2740</v>
      </c>
      <c r="C12" s="547">
        <f>M115</f>
        <v>0.47107841040346321</v>
      </c>
      <c r="D12" s="1000">
        <f>$D$4*C12</f>
        <v>781762330.3523159</v>
      </c>
      <c r="E12" s="512">
        <v>31387.521867045107</v>
      </c>
      <c r="F12" s="431"/>
      <c r="G12" s="982">
        <v>3853</v>
      </c>
      <c r="H12" s="513">
        <v>0</v>
      </c>
      <c r="I12" s="514">
        <v>0</v>
      </c>
      <c r="J12" s="418">
        <f>(E12+F12)-G12</f>
        <v>27534.521867045107</v>
      </c>
      <c r="K12" s="1002">
        <f>D12/(J12*10^6)</f>
        <v>2.8392079373202189E-2</v>
      </c>
      <c r="L12" s="416"/>
      <c r="M12" s="399"/>
      <c r="P12" s="400"/>
    </row>
    <row r="13" spans="1:16" ht="13.5" thickBot="1">
      <c r="A13" s="415" t="s">
        <v>1871</v>
      </c>
      <c r="B13" s="236" t="s">
        <v>2741</v>
      </c>
      <c r="C13" s="547">
        <f>M116</f>
        <v>6.8416343607951513E-2</v>
      </c>
      <c r="D13" s="406">
        <f>$D$4*C13</f>
        <v>113538041.7186356</v>
      </c>
      <c r="E13" s="512">
        <v>6107.8559078233784</v>
      </c>
      <c r="F13" s="431"/>
      <c r="G13" s="585">
        <v>339</v>
      </c>
      <c r="H13" s="513">
        <v>0</v>
      </c>
      <c r="I13" s="514">
        <v>0</v>
      </c>
      <c r="J13" s="418">
        <f t="shared" ref="J13:J27" si="0">(E13+F13)-G13</f>
        <v>5768.8559078233784</v>
      </c>
      <c r="K13" s="1002">
        <f>D13/(J13*10^6)</f>
        <v>1.9681206036826483E-2</v>
      </c>
      <c r="L13" s="416"/>
      <c r="M13" s="516">
        <v>6107.8559078233784</v>
      </c>
      <c r="N13" s="517">
        <v>26908.65</v>
      </c>
      <c r="O13" s="518">
        <v>0</v>
      </c>
      <c r="P13" s="400"/>
    </row>
    <row r="14" spans="1:16" ht="15.5" thickBot="1">
      <c r="A14" s="415" t="s">
        <v>2742</v>
      </c>
      <c r="B14" s="236" t="s">
        <v>2743</v>
      </c>
      <c r="C14" s="547"/>
      <c r="D14" s="547"/>
      <c r="E14" s="515">
        <v>0</v>
      </c>
      <c r="F14" s="431"/>
      <c r="G14" s="431">
        <v>0</v>
      </c>
      <c r="H14" s="515">
        <v>0</v>
      </c>
      <c r="I14" s="515">
        <v>0</v>
      </c>
      <c r="J14" s="418">
        <f>(E14+F14)-G14</f>
        <v>0</v>
      </c>
      <c r="K14" s="416"/>
      <c r="L14" s="1003">
        <f>N14</f>
        <v>4.4673356175475085</v>
      </c>
      <c r="M14" s="1005">
        <f>K13*M13*10^6</f>
        <v>120209970.56511977</v>
      </c>
      <c r="N14" s="1006">
        <f>M14/((N13+O13)*10^3)</f>
        <v>4.4673356175475085</v>
      </c>
      <c r="O14" s="631"/>
      <c r="P14" s="534" t="s">
        <v>2744</v>
      </c>
    </row>
    <row r="15" spans="1:16" ht="13">
      <c r="A15" s="415" t="s">
        <v>2745</v>
      </c>
      <c r="B15" s="236" t="s">
        <v>2746</v>
      </c>
      <c r="C15" s="547">
        <f t="shared" ref="C15:C26" si="1">M117</f>
        <v>4.5162560427378226E-4</v>
      </c>
      <c r="D15" s="406">
        <f t="shared" ref="D15:D26" si="2">$D$4*C15</f>
        <v>749480.08027253312</v>
      </c>
      <c r="E15" s="1007">
        <v>52.341626345488585</v>
      </c>
      <c r="F15" s="518"/>
      <c r="G15" s="431">
        <v>0</v>
      </c>
      <c r="H15" s="513">
        <v>0</v>
      </c>
      <c r="I15" s="514">
        <v>0</v>
      </c>
      <c r="J15" s="418">
        <f t="shared" si="0"/>
        <v>52.341626345488585</v>
      </c>
      <c r="K15" s="1002">
        <f>D15/(J15*10^6)</f>
        <v>1.4319006355008533E-2</v>
      </c>
      <c r="L15" s="416"/>
      <c r="M15" s="399"/>
      <c r="P15" s="400"/>
    </row>
    <row r="16" spans="1:16" ht="13">
      <c r="A16" s="415" t="s">
        <v>2747</v>
      </c>
      <c r="B16" s="236" t="s">
        <v>2748</v>
      </c>
      <c r="C16" s="547">
        <f t="shared" si="1"/>
        <v>0.14568386725336893</v>
      </c>
      <c r="D16" s="406">
        <f t="shared" si="2"/>
        <v>241764761.5419012</v>
      </c>
      <c r="E16" s="512">
        <v>13154.670584089259</v>
      </c>
      <c r="F16" s="431"/>
      <c r="G16" s="585">
        <v>236</v>
      </c>
      <c r="H16" s="513">
        <v>45939.473943025099</v>
      </c>
      <c r="I16" s="514">
        <v>39.207999999999998</v>
      </c>
      <c r="J16" s="418">
        <f t="shared" si="0"/>
        <v>12918.670584089259</v>
      </c>
      <c r="K16" s="416"/>
      <c r="L16" s="1004">
        <f t="shared" ref="L16:L25" si="3">D16/((I16+H16)*10^3)</f>
        <v>5.2581925215143448</v>
      </c>
      <c r="M16" s="399"/>
      <c r="O16" s="632"/>
      <c r="P16" s="400"/>
    </row>
    <row r="17" spans="1:16" ht="13">
      <c r="A17" s="415" t="s">
        <v>2749</v>
      </c>
      <c r="B17" s="236" t="s">
        <v>2750</v>
      </c>
      <c r="C17" s="547">
        <f t="shared" si="1"/>
        <v>7.7653728935842575E-2</v>
      </c>
      <c r="D17" s="406">
        <f t="shared" si="2"/>
        <v>128867633.82222933</v>
      </c>
      <c r="E17" s="512">
        <v>7500.5342838268434</v>
      </c>
      <c r="F17" s="431"/>
      <c r="G17" s="585">
        <v>169</v>
      </c>
      <c r="H17" s="513">
        <v>21360.065349476106</v>
      </c>
      <c r="I17" s="514">
        <v>6.8699999999999992</v>
      </c>
      <c r="J17" s="418">
        <f t="shared" si="0"/>
        <v>7331.5342838268434</v>
      </c>
      <c r="K17" s="416"/>
      <c r="L17" s="1004">
        <f t="shared" si="3"/>
        <v>6.031170671623201</v>
      </c>
      <c r="M17" s="399"/>
      <c r="O17" s="632"/>
      <c r="P17" s="400"/>
    </row>
    <row r="18" spans="1:16" ht="13">
      <c r="A18" s="415" t="s">
        <v>2751</v>
      </c>
      <c r="B18" s="236" t="s">
        <v>2752</v>
      </c>
      <c r="C18" s="547">
        <f t="shared" si="1"/>
        <v>7.5350641687304015E-2</v>
      </c>
      <c r="D18" s="406">
        <f t="shared" si="2"/>
        <v>125045622.84770776</v>
      </c>
      <c r="E18" s="512">
        <v>7507.5576996117688</v>
      </c>
      <c r="F18" s="431"/>
      <c r="G18" s="585">
        <v>76</v>
      </c>
      <c r="H18" s="513">
        <v>19691.275101275907</v>
      </c>
      <c r="I18" s="514">
        <v>0</v>
      </c>
      <c r="J18" s="418">
        <f t="shared" si="0"/>
        <v>7431.5576996117688</v>
      </c>
      <c r="K18" s="416"/>
      <c r="L18" s="1004">
        <f>D18/((I18+H18)*10^3)</f>
        <v>6.3503060215539504</v>
      </c>
      <c r="M18" s="399"/>
      <c r="O18" s="632"/>
      <c r="P18" s="400"/>
    </row>
    <row r="19" spans="1:16" ht="13">
      <c r="A19" s="415" t="s">
        <v>2753</v>
      </c>
      <c r="B19" s="236" t="s">
        <v>2754</v>
      </c>
      <c r="C19" s="547">
        <f t="shared" si="1"/>
        <v>5.6746513736110067E-2</v>
      </c>
      <c r="D19" s="406">
        <f t="shared" si="2"/>
        <v>94171768.092102274</v>
      </c>
      <c r="E19" s="512">
        <v>5893.0171740534734</v>
      </c>
      <c r="F19" s="431"/>
      <c r="G19" s="585">
        <v>92</v>
      </c>
      <c r="H19" s="513">
        <v>13496.788693686069</v>
      </c>
      <c r="I19" s="514">
        <v>0</v>
      </c>
      <c r="J19" s="418">
        <f t="shared" si="0"/>
        <v>5801.0171740534734</v>
      </c>
      <c r="K19" s="416"/>
      <c r="L19" s="1004">
        <f t="shared" si="3"/>
        <v>6.9773462583849124</v>
      </c>
      <c r="M19" s="399"/>
      <c r="O19" s="632"/>
      <c r="P19" s="400"/>
    </row>
    <row r="20" spans="1:16" ht="13">
      <c r="A20" s="415" t="s">
        <v>2755</v>
      </c>
      <c r="B20" s="236" t="s">
        <v>2756</v>
      </c>
      <c r="C20" s="547">
        <f t="shared" si="1"/>
        <v>6.3144754339823056E-2</v>
      </c>
      <c r="D20" s="406">
        <f t="shared" si="2"/>
        <v>104789753.06880605</v>
      </c>
      <c r="E20" s="512">
        <v>5946.0065060931929</v>
      </c>
      <c r="F20" s="431"/>
      <c r="G20" s="585">
        <v>18</v>
      </c>
      <c r="H20" s="513">
        <v>11893.769512599038</v>
      </c>
      <c r="I20" s="514">
        <v>0</v>
      </c>
      <c r="J20" s="418">
        <f t="shared" si="0"/>
        <v>5928.0065060931929</v>
      </c>
      <c r="K20" s="416"/>
      <c r="L20" s="1004">
        <f t="shared" si="3"/>
        <v>8.8104745058160532</v>
      </c>
      <c r="M20" s="399"/>
      <c r="N20" s="633"/>
      <c r="O20" s="634"/>
      <c r="P20" s="400"/>
    </row>
    <row r="21" spans="1:16" ht="13">
      <c r="A21" s="415" t="s">
        <v>2757</v>
      </c>
      <c r="B21" s="236" t="s">
        <v>2758</v>
      </c>
      <c r="C21" s="547">
        <f t="shared" si="1"/>
        <v>7.2744784207512143E-4</v>
      </c>
      <c r="D21" s="406">
        <f t="shared" si="2"/>
        <v>1207211.5972017164</v>
      </c>
      <c r="E21" s="513">
        <v>83.448812024602091</v>
      </c>
      <c r="F21" s="513">
        <v>76.454331538475145</v>
      </c>
      <c r="G21" s="585">
        <v>0</v>
      </c>
      <c r="H21" s="513">
        <v>253.12664070999867</v>
      </c>
      <c r="I21" s="514">
        <v>223.28626632661937</v>
      </c>
      <c r="J21" s="418">
        <f t="shared" si="0"/>
        <v>159.90314356307724</v>
      </c>
      <c r="K21" s="416"/>
      <c r="L21" s="1004">
        <f t="shared" si="3"/>
        <v>2.5339607289626342</v>
      </c>
      <c r="M21" s="399"/>
      <c r="O21" s="632"/>
      <c r="P21" s="400"/>
    </row>
    <row r="22" spans="1:16" ht="13">
      <c r="A22" s="415" t="s">
        <v>2759</v>
      </c>
      <c r="B22" s="236" t="s">
        <v>2760</v>
      </c>
      <c r="C22" s="547">
        <f t="shared" si="1"/>
        <v>1.7464353927111086E-3</v>
      </c>
      <c r="D22" s="406">
        <f t="shared" si="2"/>
        <v>2898238.1112440834</v>
      </c>
      <c r="E22" s="513">
        <v>393.79251114564681</v>
      </c>
      <c r="F22" s="513">
        <v>205.83730673824206</v>
      </c>
      <c r="G22" s="585">
        <v>0</v>
      </c>
      <c r="H22" s="513">
        <v>900.66334858284517</v>
      </c>
      <c r="I22" s="514">
        <v>1053.9103693368947</v>
      </c>
      <c r="J22" s="418">
        <f t="shared" si="0"/>
        <v>599.6298178838889</v>
      </c>
      <c r="K22" s="416"/>
      <c r="L22" s="1004">
        <f t="shared" si="3"/>
        <v>1.4827980570252879</v>
      </c>
      <c r="M22" s="399"/>
      <c r="O22" s="632"/>
      <c r="P22" s="400"/>
    </row>
    <row r="23" spans="1:16" ht="13">
      <c r="A23" s="415" t="s">
        <v>2761</v>
      </c>
      <c r="B23" s="236" t="s">
        <v>2762</v>
      </c>
      <c r="C23" s="547">
        <f t="shared" si="1"/>
        <v>5.060689226781441E-3</v>
      </c>
      <c r="D23" s="406">
        <f t="shared" si="2"/>
        <v>8398296.5802425873</v>
      </c>
      <c r="E23" s="513">
        <v>1838.942243636262</v>
      </c>
      <c r="F23" s="513">
        <v>667.71703704420304</v>
      </c>
      <c r="G23" s="585">
        <v>0</v>
      </c>
      <c r="H23" s="513">
        <v>3889.5414579061871</v>
      </c>
      <c r="I23" s="514">
        <v>5606.1798334291761</v>
      </c>
      <c r="J23" s="418">
        <f t="shared" si="0"/>
        <v>2506.6592806804651</v>
      </c>
      <c r="K23" s="416"/>
      <c r="L23" s="1004">
        <f t="shared" si="3"/>
        <v>0.8844295575424953</v>
      </c>
      <c r="M23" s="399"/>
      <c r="N23" s="633"/>
      <c r="O23" s="634"/>
      <c r="P23" s="400"/>
    </row>
    <row r="24" spans="1:16" ht="13">
      <c r="A24" s="415" t="s">
        <v>2763</v>
      </c>
      <c r="B24" s="236" t="s">
        <v>2764</v>
      </c>
      <c r="C24" s="547">
        <f t="shared" si="1"/>
        <v>1.447885115545096E-2</v>
      </c>
      <c r="D24" s="406">
        <f t="shared" si="2"/>
        <v>24027890.410887852</v>
      </c>
      <c r="E24" s="512">
        <v>1724.2612716287063</v>
      </c>
      <c r="F24" s="431"/>
      <c r="G24" s="585">
        <v>54</v>
      </c>
      <c r="H24" s="512">
        <v>8404.7850888616358</v>
      </c>
      <c r="I24" s="512">
        <v>0.21199999999999999</v>
      </c>
      <c r="J24" s="418">
        <f t="shared" si="0"/>
        <v>1670.2612716287063</v>
      </c>
      <c r="K24" s="416"/>
      <c r="L24" s="1004">
        <f t="shared" si="3"/>
        <v>2.8587624905581221</v>
      </c>
      <c r="M24" s="399"/>
      <c r="N24" s="635"/>
      <c r="O24" s="635"/>
      <c r="P24" s="400"/>
    </row>
    <row r="25" spans="1:16" ht="13">
      <c r="A25" s="415" t="s">
        <v>2765</v>
      </c>
      <c r="B25" s="236" t="s">
        <v>2766</v>
      </c>
      <c r="C25" s="547">
        <f t="shared" si="1"/>
        <v>1.5416456976647249E-2</v>
      </c>
      <c r="D25" s="406">
        <f t="shared" si="2"/>
        <v>25583862.613270316</v>
      </c>
      <c r="E25" s="512">
        <v>1883.4573957456787</v>
      </c>
      <c r="F25" s="431"/>
      <c r="G25" s="585">
        <v>61</v>
      </c>
      <c r="H25" s="512">
        <v>5968.9187190559469</v>
      </c>
      <c r="I25" s="512">
        <v>1.6120000000000001</v>
      </c>
      <c r="J25" s="418">
        <f t="shared" si="0"/>
        <v>1822.4573957456787</v>
      </c>
      <c r="K25" s="416"/>
      <c r="L25" s="1004">
        <f t="shared" si="3"/>
        <v>4.2850231942723518</v>
      </c>
      <c r="M25" s="632"/>
      <c r="O25" s="403"/>
      <c r="P25" s="400"/>
    </row>
    <row r="26" spans="1:16" ht="13">
      <c r="A26" s="415" t="s">
        <v>2767</v>
      </c>
      <c r="B26" s="236" t="s">
        <v>2768</v>
      </c>
      <c r="C26" s="547">
        <f t="shared" si="1"/>
        <v>4.0442338381969627E-3</v>
      </c>
      <c r="D26" s="406">
        <f t="shared" si="2"/>
        <v>6711472.2305586375</v>
      </c>
      <c r="E26" s="512">
        <v>419.73867475946776</v>
      </c>
      <c r="F26" s="431"/>
      <c r="G26" s="585">
        <v>1</v>
      </c>
      <c r="H26" s="513">
        <v>0</v>
      </c>
      <c r="I26" s="514"/>
      <c r="J26" s="418">
        <f t="shared" si="0"/>
        <v>418.73867475946776</v>
      </c>
      <c r="K26" s="1002">
        <f>D26/(J26*10^6)</f>
        <v>1.6027829849759749E-2</v>
      </c>
      <c r="L26" s="416"/>
      <c r="M26" s="399"/>
      <c r="O26" s="403"/>
      <c r="P26" s="400"/>
    </row>
    <row r="27" spans="1:16" ht="13">
      <c r="A27" s="415" t="s">
        <v>2769</v>
      </c>
      <c r="B27" s="417" t="s">
        <v>389</v>
      </c>
      <c r="C27" s="547"/>
      <c r="D27" s="406"/>
      <c r="E27" s="512"/>
      <c r="F27" s="431"/>
      <c r="G27" s="431"/>
      <c r="H27" s="513"/>
      <c r="I27" s="514"/>
      <c r="J27" s="418">
        <f t="shared" si="0"/>
        <v>0</v>
      </c>
      <c r="K27" s="1002"/>
      <c r="L27" s="416"/>
      <c r="M27" s="399"/>
      <c r="O27" s="403"/>
      <c r="P27" s="400"/>
    </row>
    <row r="28" spans="1:16" ht="13">
      <c r="A28" s="415">
        <v>2</v>
      </c>
      <c r="B28" s="238" t="s">
        <v>440</v>
      </c>
      <c r="C28" s="646">
        <f t="shared" ref="C28:D28" si="4">SUM(C12:C27)</f>
        <v>1</v>
      </c>
      <c r="D28" s="1001">
        <f t="shared" si="4"/>
        <v>1659516363.0673761</v>
      </c>
      <c r="E28" s="645">
        <f>SUM(E12:E27)</f>
        <v>83893.146557828877</v>
      </c>
      <c r="F28" s="645">
        <f t="shared" ref="F28:J28" si="5">SUM(F12:F27)</f>
        <v>950.00867532092025</v>
      </c>
      <c r="G28" s="645">
        <f t="shared" si="5"/>
        <v>4899</v>
      </c>
      <c r="H28" s="645">
        <f t="shared" si="5"/>
        <v>131798.40785517887</v>
      </c>
      <c r="I28" s="645">
        <f t="shared" si="5"/>
        <v>6931.278469092691</v>
      </c>
      <c r="J28" s="645">
        <f t="shared" si="5"/>
        <v>79944.15523314981</v>
      </c>
      <c r="K28" s="400"/>
      <c r="M28" s="399"/>
      <c r="P28" s="400"/>
    </row>
    <row r="29" spans="1:16" ht="13">
      <c r="A29" s="415">
        <f>A28+1</f>
        <v>3</v>
      </c>
      <c r="J29" s="418"/>
      <c r="K29" s="418"/>
    </row>
    <row r="30" spans="1:16" ht="13">
      <c r="A30" s="415">
        <f t="shared" ref="A30:A34" si="6">A29+1</f>
        <v>4</v>
      </c>
      <c r="G30" s="535"/>
      <c r="I30" s="407"/>
      <c r="J30" s="419"/>
      <c r="K30" s="419"/>
      <c r="L30" s="419"/>
    </row>
    <row r="31" spans="1:16" ht="15.5">
      <c r="A31" s="415">
        <f t="shared" si="6"/>
        <v>5</v>
      </c>
      <c r="B31" s="398" t="s">
        <v>2770</v>
      </c>
    </row>
    <row r="32" spans="1:16" ht="13">
      <c r="A32" s="415">
        <f t="shared" si="6"/>
        <v>6</v>
      </c>
      <c r="C32" s="407" t="s">
        <v>345</v>
      </c>
      <c r="D32" s="407" t="s">
        <v>346</v>
      </c>
      <c r="E32" s="407" t="s">
        <v>347</v>
      </c>
      <c r="F32" s="407" t="s">
        <v>348</v>
      </c>
      <c r="G32" s="407" t="s">
        <v>349</v>
      </c>
      <c r="H32" s="407" t="s">
        <v>350</v>
      </c>
      <c r="I32" s="407" t="s">
        <v>351</v>
      </c>
      <c r="J32" s="407" t="s">
        <v>352</v>
      </c>
    </row>
    <row r="33" spans="1:13" s="629" customFormat="1" ht="42.75" customHeight="1">
      <c r="A33" s="415">
        <f t="shared" si="6"/>
        <v>7</v>
      </c>
      <c r="C33" s="630" t="s">
        <v>2771</v>
      </c>
      <c r="D33" s="643" t="s">
        <v>2772</v>
      </c>
      <c r="E33" s="643" t="s">
        <v>2773</v>
      </c>
      <c r="F33" s="648"/>
      <c r="H33" s="533" t="s">
        <v>2771</v>
      </c>
      <c r="I33" s="533" t="s">
        <v>2295</v>
      </c>
      <c r="J33" s="408" t="s">
        <v>2774</v>
      </c>
      <c r="K33" s="538"/>
      <c r="L33" s="538"/>
      <c r="M33" s="538"/>
    </row>
    <row r="34" spans="1:13" ht="13">
      <c r="A34" s="415">
        <f t="shared" si="6"/>
        <v>8</v>
      </c>
      <c r="C34" s="407"/>
      <c r="D34" s="407"/>
      <c r="E34" s="407"/>
      <c r="F34" s="539"/>
      <c r="K34" s="539"/>
      <c r="L34" s="539"/>
      <c r="M34" s="539"/>
    </row>
    <row r="35" spans="1:13" s="421" customFormat="1" ht="60.65" customHeight="1">
      <c r="A35" s="415">
        <v>9</v>
      </c>
      <c r="B35" s="420" t="s">
        <v>2728</v>
      </c>
      <c r="C35" s="410" t="s">
        <v>2775</v>
      </c>
      <c r="D35" s="420" t="s">
        <v>2776</v>
      </c>
      <c r="E35" s="420" t="s">
        <v>2777</v>
      </c>
      <c r="F35" s="540"/>
      <c r="G35" s="420" t="s">
        <v>2728</v>
      </c>
      <c r="H35" s="420" t="s">
        <v>2778</v>
      </c>
      <c r="I35" s="420" t="s">
        <v>2779</v>
      </c>
      <c r="J35" s="420" t="s">
        <v>2780</v>
      </c>
      <c r="K35" s="540"/>
      <c r="L35" s="541"/>
      <c r="M35" s="541"/>
    </row>
    <row r="36" spans="1:13" s="423" customFormat="1" ht="13">
      <c r="A36" s="422" t="s">
        <v>2781</v>
      </c>
      <c r="B36" s="968" t="s">
        <v>2758</v>
      </c>
      <c r="C36" s="406">
        <f>D21</f>
        <v>1207211.5972017164</v>
      </c>
      <c r="D36" s="1008">
        <f>I21</f>
        <v>223.28626632661937</v>
      </c>
      <c r="E36" s="1009">
        <f>C36/D36/10^3</f>
        <v>5.4065644836204463</v>
      </c>
      <c r="F36" s="542"/>
      <c r="G36" s="968" t="s">
        <v>2758</v>
      </c>
      <c r="H36" s="406">
        <f>D18</f>
        <v>125045622.84770776</v>
      </c>
      <c r="I36" s="418">
        <f>H18+H21</f>
        <v>19944.401741985905</v>
      </c>
      <c r="J36" s="632">
        <f>H36/(I36*10^3)</f>
        <v>6.2697103911855274</v>
      </c>
      <c r="K36" s="543"/>
      <c r="L36" s="544"/>
      <c r="M36" s="542"/>
    </row>
    <row r="37" spans="1:13" s="423" customFormat="1" ht="13">
      <c r="A37" s="422" t="s">
        <v>2782</v>
      </c>
      <c r="B37" s="968" t="s">
        <v>2760</v>
      </c>
      <c r="C37" s="406">
        <f>D22</f>
        <v>2898238.1112440834</v>
      </c>
      <c r="D37" s="1008">
        <f>I22</f>
        <v>1053.9103693368947</v>
      </c>
      <c r="E37" s="1009">
        <f t="shared" ref="E37:E38" si="7">C37/D37/10^3</f>
        <v>2.7499853835460537</v>
      </c>
      <c r="F37" s="542"/>
      <c r="G37" s="968" t="s">
        <v>2760</v>
      </c>
      <c r="H37" s="406">
        <f t="shared" ref="H37:H38" si="8">D19</f>
        <v>94171768.092102274</v>
      </c>
      <c r="I37" s="418">
        <f t="shared" ref="I37:I38" si="9">H19+H22</f>
        <v>14397.452042268913</v>
      </c>
      <c r="J37" s="632">
        <f t="shared" ref="J37:J38" si="10">H37/(I37*10^3)</f>
        <v>6.5408634677599258</v>
      </c>
      <c r="K37" s="543"/>
      <c r="L37" s="544"/>
      <c r="M37" s="542"/>
    </row>
    <row r="38" spans="1:13" s="423" customFormat="1" ht="13">
      <c r="A38" s="422" t="s">
        <v>2783</v>
      </c>
      <c r="B38" s="968" t="s">
        <v>2762</v>
      </c>
      <c r="C38" s="406">
        <f>D23</f>
        <v>8398296.5802425873</v>
      </c>
      <c r="D38" s="1008">
        <f>I23</f>
        <v>5606.1798334291761</v>
      </c>
      <c r="E38" s="1009">
        <f t="shared" si="7"/>
        <v>1.4980426653751373</v>
      </c>
      <c r="F38" s="542"/>
      <c r="G38" s="968" t="s">
        <v>2762</v>
      </c>
      <c r="H38" s="406">
        <f t="shared" si="8"/>
        <v>104789753.06880605</v>
      </c>
      <c r="I38" s="418">
        <f t="shared" si="9"/>
        <v>15783.310970505225</v>
      </c>
      <c r="J38" s="632">
        <f t="shared" si="10"/>
        <v>6.6392757048650948</v>
      </c>
      <c r="K38" s="543"/>
      <c r="L38" s="544"/>
      <c r="M38" s="542"/>
    </row>
    <row r="39" spans="1:13" ht="13">
      <c r="A39" s="422" t="s">
        <v>2784</v>
      </c>
      <c r="B39" s="969" t="s">
        <v>389</v>
      </c>
      <c r="C39" s="407"/>
      <c r="D39" s="407"/>
      <c r="E39" s="407"/>
      <c r="F39" s="407"/>
      <c r="G39" s="969" t="s">
        <v>389</v>
      </c>
      <c r="H39" s="407"/>
      <c r="I39" s="407"/>
    </row>
    <row r="40" spans="1:13" ht="13">
      <c r="A40" s="415">
        <v>10</v>
      </c>
      <c r="C40" s="407"/>
      <c r="D40" s="407"/>
      <c r="E40" s="407"/>
      <c r="F40" s="407"/>
      <c r="G40" s="407"/>
      <c r="H40" s="407"/>
      <c r="I40" s="407"/>
    </row>
    <row r="41" spans="1:13" ht="13">
      <c r="A41" s="415">
        <v>11</v>
      </c>
      <c r="B41" s="636" t="s">
        <v>2785</v>
      </c>
    </row>
    <row r="42" spans="1:13" ht="13">
      <c r="A42" s="415">
        <v>12</v>
      </c>
      <c r="C42" s="407" t="s">
        <v>345</v>
      </c>
      <c r="D42" s="407" t="s">
        <v>346</v>
      </c>
      <c r="E42" s="407" t="s">
        <v>347</v>
      </c>
      <c r="F42" s="407" t="s">
        <v>348</v>
      </c>
      <c r="G42" s="407" t="s">
        <v>349</v>
      </c>
      <c r="H42" s="407" t="s">
        <v>350</v>
      </c>
      <c r="I42" s="407" t="s">
        <v>351</v>
      </c>
      <c r="J42" s="407" t="s">
        <v>352</v>
      </c>
      <c r="K42" s="407" t="s">
        <v>353</v>
      </c>
      <c r="L42" s="407" t="s">
        <v>603</v>
      </c>
      <c r="M42" s="407" t="s">
        <v>604</v>
      </c>
    </row>
    <row r="43" spans="1:13" s="629" customFormat="1" ht="57" customHeight="1">
      <c r="A43" s="425">
        <v>13</v>
      </c>
      <c r="C43" s="643" t="s">
        <v>2786</v>
      </c>
      <c r="D43" s="643" t="s">
        <v>2787</v>
      </c>
      <c r="E43" s="643" t="s">
        <v>2788</v>
      </c>
      <c r="G43" s="643" t="s">
        <v>2789</v>
      </c>
      <c r="H43" s="643" t="s">
        <v>2790</v>
      </c>
      <c r="I43" s="643" t="s">
        <v>2791</v>
      </c>
      <c r="J43" s="643" t="s">
        <v>2792</v>
      </c>
      <c r="K43" s="643" t="s">
        <v>2793</v>
      </c>
      <c r="L43" s="409"/>
      <c r="M43" s="643" t="s">
        <v>2789</v>
      </c>
    </row>
    <row r="44" spans="1:13" ht="13">
      <c r="A44" s="415">
        <v>14</v>
      </c>
      <c r="C44" s="400"/>
      <c r="D44" s="416" t="s">
        <v>2794</v>
      </c>
      <c r="E44" s="536"/>
      <c r="G44" s="400"/>
      <c r="H44" s="400" t="s">
        <v>2795</v>
      </c>
      <c r="I44" s="400" t="s">
        <v>2796</v>
      </c>
      <c r="J44" s="400"/>
      <c r="K44" s="400"/>
      <c r="L44" s="400"/>
      <c r="M44" s="531"/>
    </row>
    <row r="45" spans="1:13" ht="64.5" customHeight="1">
      <c r="A45" s="415">
        <v>15</v>
      </c>
      <c r="B45" s="413" t="str">
        <f>B11</f>
        <v>CPUC Rate Group</v>
      </c>
      <c r="C45" s="410" t="s">
        <v>2797</v>
      </c>
      <c r="D45" s="410" t="s">
        <v>2798</v>
      </c>
      <c r="E45" s="410" t="s">
        <v>2799</v>
      </c>
      <c r="G45" s="410" t="s">
        <v>2800</v>
      </c>
      <c r="H45" s="410" t="s">
        <v>2801</v>
      </c>
      <c r="I45" s="420" t="s">
        <v>2802</v>
      </c>
      <c r="J45" s="410" t="s">
        <v>2803</v>
      </c>
      <c r="K45" s="420" t="s">
        <v>2804</v>
      </c>
      <c r="L45" s="426" t="s">
        <v>103</v>
      </c>
      <c r="M45" s="420" t="s">
        <v>2805</v>
      </c>
    </row>
    <row r="46" spans="1:13" ht="13.5" thickBot="1">
      <c r="A46" s="415" t="s">
        <v>2806</v>
      </c>
      <c r="B46" s="970" t="s">
        <v>2740</v>
      </c>
      <c r="C46" s="406">
        <f>D46+E46</f>
        <v>781762330.3523159</v>
      </c>
      <c r="D46" s="406">
        <f>D12-E46</f>
        <v>781762330.3523159</v>
      </c>
      <c r="E46" s="1010"/>
      <c r="G46" s="1010">
        <f>D46/(J12*10^6)</f>
        <v>2.8392079373202189E-2</v>
      </c>
      <c r="H46" s="1010"/>
      <c r="I46" s="1011"/>
      <c r="J46" s="1012"/>
      <c r="K46" s="1010"/>
      <c r="L46" s="1010"/>
      <c r="M46" s="531"/>
    </row>
    <row r="47" spans="1:13" ht="13.5" thickBot="1">
      <c r="A47" s="415" t="s">
        <v>2807</v>
      </c>
      <c r="B47" s="970" t="s">
        <v>2741</v>
      </c>
      <c r="C47" s="406">
        <f t="shared" ref="C47:C59" si="11">D47+E47</f>
        <v>113538041.7186356</v>
      </c>
      <c r="D47" s="406">
        <f t="shared" ref="D47" si="12">D13-E47</f>
        <v>113538041.7186356</v>
      </c>
      <c r="E47" s="406">
        <f>I47*I13*10^3</f>
        <v>0</v>
      </c>
      <c r="G47" s="1010">
        <f>D47/(J13*10^6)</f>
        <v>1.9681206036826483E-2</v>
      </c>
      <c r="H47" s="1013">
        <f>(M14-E47)/N13/10^3</f>
        <v>4.4673356175475085</v>
      </c>
      <c r="I47" s="1006">
        <f>MIN($I$54,L14)</f>
        <v>4.4673356175475085</v>
      </c>
      <c r="J47" s="1006"/>
      <c r="K47" s="1006"/>
      <c r="L47" s="534" t="s">
        <v>2808</v>
      </c>
      <c r="M47" s="1002">
        <f>$D47/(J13*10^6)</f>
        <v>1.9681206036826483E-2</v>
      </c>
    </row>
    <row r="48" spans="1:13" ht="13.5" thickBot="1">
      <c r="A48" s="415" t="s">
        <v>2809</v>
      </c>
      <c r="B48" s="970" t="s">
        <v>2746</v>
      </c>
      <c r="C48" s="406">
        <f t="shared" si="11"/>
        <v>749480.08027253312</v>
      </c>
      <c r="D48" s="406">
        <f>D15-E48</f>
        <v>749480.08027253312</v>
      </c>
      <c r="E48" s="1010"/>
      <c r="G48" s="1010">
        <f>D48/(J15*10^6)</f>
        <v>1.4319006355008533E-2</v>
      </c>
      <c r="H48" s="1010"/>
      <c r="I48" s="1011"/>
      <c r="J48" s="1012"/>
      <c r="K48" s="1010"/>
      <c r="L48" s="1010"/>
      <c r="M48" s="1014"/>
    </row>
    <row r="49" spans="1:13" ht="13">
      <c r="A49" s="415" t="s">
        <v>2810</v>
      </c>
      <c r="B49" s="970" t="s">
        <v>2748</v>
      </c>
      <c r="C49" s="406">
        <f t="shared" si="11"/>
        <v>241764761.5419012</v>
      </c>
      <c r="D49" s="406">
        <f t="shared" ref="D49:D50" si="13">D16-E49</f>
        <v>241558598.32951766</v>
      </c>
      <c r="E49" s="406">
        <f>I49*I16*10^3</f>
        <v>206163.21238353441</v>
      </c>
      <c r="G49" s="406"/>
      <c r="H49" s="1015">
        <f t="shared" ref="H49:H58" si="14">D49/H16/10^3</f>
        <v>5.2581925215143448</v>
      </c>
      <c r="I49" s="1004">
        <f>MIN($I$54,L16)</f>
        <v>5.2581925215143448</v>
      </c>
      <c r="J49" s="1012"/>
      <c r="K49" s="1010"/>
      <c r="L49" s="1250" t="s">
        <v>2811</v>
      </c>
      <c r="M49" s="1016">
        <f>($D49+D50)/((J16+J17)*10^6)</f>
        <v>1.829063416738955E-2</v>
      </c>
    </row>
    <row r="50" spans="1:13" ht="13.5" thickBot="1">
      <c r="A50" s="415" t="s">
        <v>2812</v>
      </c>
      <c r="B50" s="970" t="s">
        <v>2750</v>
      </c>
      <c r="C50" s="406">
        <f t="shared" si="11"/>
        <v>128867633.82222933</v>
      </c>
      <c r="D50" s="406">
        <f t="shared" si="13"/>
        <v>128830490.72422685</v>
      </c>
      <c r="E50" s="406">
        <f>I50*I17*10^3</f>
        <v>37143.098002472463</v>
      </c>
      <c r="G50" s="406"/>
      <c r="H50" s="1015">
        <f t="shared" si="14"/>
        <v>6.0313715626055728</v>
      </c>
      <c r="I50" s="1004">
        <f>MIN($I$54,L17)</f>
        <v>5.4065644836204463</v>
      </c>
      <c r="J50" s="1012"/>
      <c r="K50" s="1010"/>
      <c r="L50" s="1251"/>
      <c r="M50" s="1017">
        <f>M49</f>
        <v>1.829063416738955E-2</v>
      </c>
    </row>
    <row r="51" spans="1:13" ht="13">
      <c r="A51" s="415" t="s">
        <v>2813</v>
      </c>
      <c r="B51" s="970" t="s">
        <v>2752</v>
      </c>
      <c r="C51" s="406">
        <f t="shared" si="11"/>
        <v>123458592.11816239</v>
      </c>
      <c r="D51" s="406">
        <f>J36*H18*1000</f>
        <v>123458592.11816239</v>
      </c>
      <c r="E51" s="1010"/>
      <c r="G51" s="406"/>
      <c r="H51" s="1015">
        <f t="shared" si="14"/>
        <v>6.2697103911855265</v>
      </c>
      <c r="I51" s="1011"/>
      <c r="J51" s="1012"/>
      <c r="K51" s="1010"/>
      <c r="L51" s="1010"/>
      <c r="M51" s="1002">
        <f>$D51/(J18*10^6)</f>
        <v>1.6612747570352845E-2</v>
      </c>
    </row>
    <row r="52" spans="1:13" ht="13">
      <c r="A52" s="415" t="s">
        <v>2814</v>
      </c>
      <c r="B52" s="970" t="s">
        <v>2754</v>
      </c>
      <c r="C52" s="406">
        <f t="shared" si="11"/>
        <v>88280652.098606408</v>
      </c>
      <c r="D52" s="406">
        <f t="shared" ref="D52:D53" si="15">J37*H19*1000</f>
        <v>88280652.098606408</v>
      </c>
      <c r="E52" s="1010"/>
      <c r="G52" s="406"/>
      <c r="H52" s="1015">
        <f t="shared" si="14"/>
        <v>6.5408634677599249</v>
      </c>
      <c r="I52" s="1011"/>
      <c r="J52" s="1012"/>
      <c r="K52" s="1010"/>
      <c r="L52" s="1010"/>
      <c r="M52" s="1002">
        <f>$D52/(J19*10^6)</f>
        <v>1.5218133208338721E-2</v>
      </c>
    </row>
    <row r="53" spans="1:13" ht="13">
      <c r="A53" s="415" t="s">
        <v>2815</v>
      </c>
      <c r="B53" s="970" t="s">
        <v>2756</v>
      </c>
      <c r="C53" s="406">
        <f t="shared" si="11"/>
        <v>78966014.964263946</v>
      </c>
      <c r="D53" s="406">
        <f t="shared" si="15"/>
        <v>78966014.964263946</v>
      </c>
      <c r="E53" s="1010"/>
      <c r="G53" s="406"/>
      <c r="H53" s="1015">
        <f t="shared" si="14"/>
        <v>6.6392757048650948</v>
      </c>
      <c r="I53" s="1011"/>
      <c r="J53" s="1012"/>
      <c r="K53" s="1002"/>
      <c r="L53" s="1002"/>
      <c r="M53" s="1002">
        <f>$D53/(J20*10^6)</f>
        <v>1.3320838106890994E-2</v>
      </c>
    </row>
    <row r="54" spans="1:13" ht="13">
      <c r="A54" s="415" t="s">
        <v>2816</v>
      </c>
      <c r="B54" s="970" t="s">
        <v>2758</v>
      </c>
      <c r="C54" s="406">
        <f t="shared" si="11"/>
        <v>2794242.3267470803</v>
      </c>
      <c r="D54" s="406">
        <f>J36*H21*1000</f>
        <v>1587030.7295453642</v>
      </c>
      <c r="E54" s="406">
        <f>I54*I21*10^3</f>
        <v>1207211.5972017164</v>
      </c>
      <c r="G54" s="406"/>
      <c r="H54" s="1015">
        <f>J36</f>
        <v>6.2697103911855274</v>
      </c>
      <c r="I54" s="1004">
        <f>E36</f>
        <v>5.4065644836204463</v>
      </c>
      <c r="J54" s="1012"/>
      <c r="K54" s="1002"/>
      <c r="L54" s="1002"/>
    </row>
    <row r="55" spans="1:13" ht="13">
      <c r="A55" s="415" t="s">
        <v>2817</v>
      </c>
      <c r="B55" s="970" t="s">
        <v>2760</v>
      </c>
      <c r="C55" s="406">
        <f t="shared" si="11"/>
        <v>8789354.1047399379</v>
      </c>
      <c r="D55" s="406">
        <f t="shared" ref="D55:D56" si="16">J37*H22*1000</f>
        <v>5891115.9934958555</v>
      </c>
      <c r="E55" s="406">
        <f>I55*I22*10^3</f>
        <v>2898238.1112440834</v>
      </c>
      <c r="G55" s="406"/>
      <c r="H55" s="1015">
        <f>J37</f>
        <v>6.5408634677599258</v>
      </c>
      <c r="I55" s="1004">
        <f>E37</f>
        <v>2.7499853835460537</v>
      </c>
      <c r="J55" s="1012"/>
      <c r="K55" s="1002"/>
      <c r="L55" s="1002"/>
    </row>
    <row r="56" spans="1:13" ht="13.5" thickBot="1">
      <c r="A56" s="415" t="s">
        <v>2818</v>
      </c>
      <c r="B56" s="970" t="s">
        <v>2762</v>
      </c>
      <c r="C56" s="406">
        <f t="shared" si="11"/>
        <v>34222034.684784696</v>
      </c>
      <c r="D56" s="406">
        <f t="shared" si="16"/>
        <v>25823738.10454211</v>
      </c>
      <c r="E56" s="406">
        <f>I56*I23*10^3</f>
        <v>8398296.5802425854</v>
      </c>
      <c r="G56" s="406"/>
      <c r="H56" s="1015">
        <f>J38</f>
        <v>6.6392757048650948</v>
      </c>
      <c r="I56" s="1004">
        <f>E38</f>
        <v>1.4980426653751373</v>
      </c>
      <c r="J56" s="1012"/>
      <c r="K56" s="1002"/>
      <c r="L56" s="1002"/>
    </row>
    <row r="57" spans="1:13" ht="13.5" thickBot="1">
      <c r="A57" s="415" t="s">
        <v>2819</v>
      </c>
      <c r="B57" s="970" t="s">
        <v>2764</v>
      </c>
      <c r="C57" s="406">
        <f t="shared" si="11"/>
        <v>24027890.410887852</v>
      </c>
      <c r="D57" s="406">
        <f t="shared" ref="D57:D59" si="17">D24-E57</f>
        <v>24027284.353239853</v>
      </c>
      <c r="E57" s="406">
        <f>I57*I24*10^3</f>
        <v>606.05764799832184</v>
      </c>
      <c r="G57" s="406"/>
      <c r="H57" s="1015">
        <f t="shared" si="14"/>
        <v>2.8587624905581217</v>
      </c>
      <c r="I57" s="1004">
        <f>MIN($I$54,L24)</f>
        <v>2.8587624905581221</v>
      </c>
      <c r="J57" s="1003">
        <f>H57*0.746</f>
        <v>2.1326368179563588</v>
      </c>
      <c r="K57" s="1006">
        <f>I57*0.746</f>
        <v>2.1326368179563593</v>
      </c>
      <c r="L57" s="534" t="s">
        <v>2820</v>
      </c>
    </row>
    <row r="58" spans="1:13" ht="13">
      <c r="A58" s="415" t="s">
        <v>2821</v>
      </c>
      <c r="B58" s="970" t="s">
        <v>2766</v>
      </c>
      <c r="C58" s="406">
        <f t="shared" si="11"/>
        <v>25583862.613270316</v>
      </c>
      <c r="D58" s="406">
        <f t="shared" si="17"/>
        <v>25576955.155881148</v>
      </c>
      <c r="E58" s="406">
        <f>I58*I25*10^3</f>
        <v>6907.4573891670316</v>
      </c>
      <c r="G58" s="406"/>
      <c r="H58" s="1015">
        <f t="shared" si="14"/>
        <v>4.2850231942723518</v>
      </c>
      <c r="I58" s="1004">
        <f>MIN($I$54,L25)</f>
        <v>4.2850231942723518</v>
      </c>
      <c r="J58" s="1012"/>
      <c r="K58" s="1010"/>
      <c r="L58" s="1010"/>
    </row>
    <row r="59" spans="1:13" ht="13">
      <c r="A59" s="415" t="s">
        <v>2822</v>
      </c>
      <c r="B59" s="970" t="s">
        <v>2768</v>
      </c>
      <c r="C59" s="406">
        <f t="shared" si="11"/>
        <v>6711472.2305586375</v>
      </c>
      <c r="D59" s="406">
        <f t="shared" si="17"/>
        <v>6711472.2305586375</v>
      </c>
      <c r="E59" s="1010"/>
      <c r="G59" s="1010">
        <f>D59/(J26*10^6)</f>
        <v>1.6027829849759749E-2</v>
      </c>
      <c r="H59" s="1010"/>
      <c r="I59" s="1011"/>
      <c r="J59" s="1012"/>
      <c r="K59" s="1010"/>
      <c r="L59" s="1010"/>
    </row>
    <row r="60" spans="1:13" ht="13">
      <c r="A60" s="415" t="s">
        <v>2823</v>
      </c>
      <c r="B60" s="969" t="s">
        <v>389</v>
      </c>
      <c r="C60" s="406"/>
      <c r="D60" s="406"/>
      <c r="E60" s="1010"/>
      <c r="G60" s="1010"/>
      <c r="H60" s="1010"/>
      <c r="I60" s="1011"/>
      <c r="J60" s="1012"/>
      <c r="K60" s="1010"/>
      <c r="L60" s="1010"/>
    </row>
    <row r="61" spans="1:13" ht="13">
      <c r="A61" s="415">
        <v>17</v>
      </c>
      <c r="B61" s="237" t="s">
        <v>440</v>
      </c>
      <c r="C61" s="1001">
        <f>SUM(C46:C60)</f>
        <v>1659516363.0673759</v>
      </c>
      <c r="D61" s="1001">
        <f>SUM(D46:D60)</f>
        <v>1646761796.9532642</v>
      </c>
      <c r="E61" s="1001">
        <f>SUM(E46:E59)</f>
        <v>12754566.114111556</v>
      </c>
      <c r="G61" s="406"/>
      <c r="H61" s="406"/>
      <c r="I61" s="406"/>
      <c r="J61" s="406"/>
    </row>
    <row r="62" spans="1:13" ht="13">
      <c r="A62" s="415">
        <v>18</v>
      </c>
    </row>
    <row r="63" spans="1:13" ht="13">
      <c r="A63" s="415">
        <v>19</v>
      </c>
      <c r="B63" s="427" t="s">
        <v>233</v>
      </c>
    </row>
    <row r="64" spans="1:13">
      <c r="B64" s="399" t="s">
        <v>2824</v>
      </c>
    </row>
    <row r="65" spans="2:2">
      <c r="B65" s="399" t="s">
        <v>2825</v>
      </c>
    </row>
    <row r="66" spans="2:2">
      <c r="B66" s="399" t="s">
        <v>2826</v>
      </c>
    </row>
    <row r="67" spans="2:2">
      <c r="B67" s="428" t="s">
        <v>2827</v>
      </c>
    </row>
    <row r="68" spans="2:2">
      <c r="B68" s="428" t="s">
        <v>2828</v>
      </c>
    </row>
    <row r="69" spans="2:2">
      <c r="B69" s="545" t="s">
        <v>2829</v>
      </c>
    </row>
    <row r="70" spans="2:2">
      <c r="B70" s="399" t="s">
        <v>2830</v>
      </c>
    </row>
    <row r="71" spans="2:2">
      <c r="B71" s="399" t="s">
        <v>2831</v>
      </c>
    </row>
    <row r="72" spans="2:2">
      <c r="B72" s="399" t="s">
        <v>2832</v>
      </c>
    </row>
    <row r="73" spans="2:2">
      <c r="B73" s="399" t="s">
        <v>2833</v>
      </c>
    </row>
    <row r="74" spans="2:2">
      <c r="B74" s="399" t="s">
        <v>2834</v>
      </c>
    </row>
    <row r="75" spans="2:2">
      <c r="B75" s="428" t="s">
        <v>2835</v>
      </c>
    </row>
    <row r="76" spans="2:2">
      <c r="B76" s="428" t="s">
        <v>2836</v>
      </c>
    </row>
    <row r="77" spans="2:2">
      <c r="B77" s="428" t="s">
        <v>2837</v>
      </c>
    </row>
    <row r="78" spans="2:2" ht="15.5">
      <c r="B78" s="399" t="s">
        <v>2838</v>
      </c>
    </row>
    <row r="79" spans="2:2">
      <c r="B79" s="399" t="s">
        <v>2839</v>
      </c>
    </row>
    <row r="80" spans="2:2">
      <c r="B80" s="399" t="s">
        <v>2840</v>
      </c>
    </row>
    <row r="81" spans="1:11">
      <c r="B81" s="399" t="s">
        <v>2841</v>
      </c>
    </row>
    <row r="82" spans="1:11">
      <c r="B82" s="399" t="s">
        <v>2842</v>
      </c>
    </row>
    <row r="83" spans="1:11">
      <c r="B83" s="399" t="s">
        <v>2843</v>
      </c>
    </row>
    <row r="84" spans="1:11">
      <c r="B84" s="399" t="s">
        <v>2844</v>
      </c>
    </row>
    <row r="85" spans="1:11" ht="13">
      <c r="A85" s="415">
        <v>20</v>
      </c>
    </row>
    <row r="86" spans="1:11" ht="13">
      <c r="A86" s="415">
        <v>21</v>
      </c>
      <c r="B86" s="428"/>
    </row>
    <row r="87" spans="1:11" ht="15.5">
      <c r="A87" s="415">
        <v>22</v>
      </c>
      <c r="B87" s="398" t="s">
        <v>2845</v>
      </c>
    </row>
    <row r="88" spans="1:11" ht="13">
      <c r="A88" s="415">
        <v>23</v>
      </c>
    </row>
    <row r="89" spans="1:11" ht="13">
      <c r="A89" s="415">
        <v>24</v>
      </c>
    </row>
    <row r="90" spans="1:11" ht="25.5" customHeight="1">
      <c r="A90" s="415">
        <v>25</v>
      </c>
      <c r="B90" s="413" t="str">
        <f>B11</f>
        <v>CPUC Rate Group</v>
      </c>
      <c r="C90" s="429" t="s">
        <v>2846</v>
      </c>
      <c r="D90" s="430"/>
      <c r="E90" s="651" t="s">
        <v>2846</v>
      </c>
      <c r="F90" s="430"/>
      <c r="G90" s="430"/>
      <c r="H90" s="430"/>
      <c r="I90" s="430"/>
      <c r="J90" s="430"/>
      <c r="K90" s="652"/>
    </row>
    <row r="91" spans="1:11" ht="13">
      <c r="A91" s="415" t="s">
        <v>2847</v>
      </c>
      <c r="B91" s="971" t="s">
        <v>2740</v>
      </c>
      <c r="C91" s="972" t="s">
        <v>2848</v>
      </c>
      <c r="D91" s="431"/>
      <c r="E91" s="431"/>
      <c r="F91" s="431"/>
      <c r="G91" s="431"/>
      <c r="H91" s="431"/>
      <c r="I91" s="431"/>
      <c r="J91" s="431"/>
      <c r="K91" s="431"/>
    </row>
    <row r="92" spans="1:11" ht="13">
      <c r="A92" s="415"/>
      <c r="B92" s="971" t="s">
        <v>2849</v>
      </c>
      <c r="C92" s="973" t="s">
        <v>2850</v>
      </c>
      <c r="D92" s="431"/>
      <c r="E92" s="431"/>
      <c r="F92" s="431"/>
      <c r="G92" s="431"/>
      <c r="H92" s="431"/>
      <c r="I92" s="431"/>
      <c r="J92" s="431"/>
      <c r="K92" s="431"/>
    </row>
    <row r="93" spans="1:11" ht="13">
      <c r="A93" s="415" t="s">
        <v>2851</v>
      </c>
      <c r="B93" s="971" t="s">
        <v>2741</v>
      </c>
      <c r="C93" s="972" t="s">
        <v>2852</v>
      </c>
      <c r="D93" s="431"/>
      <c r="E93" s="431"/>
      <c r="F93" s="431"/>
      <c r="G93" s="431"/>
      <c r="H93" s="431"/>
      <c r="I93" s="431"/>
      <c r="J93" s="971"/>
      <c r="K93" s="431"/>
    </row>
    <row r="94" spans="1:11" ht="13">
      <c r="A94" s="415" t="s">
        <v>2853</v>
      </c>
      <c r="B94" s="971" t="s">
        <v>2746</v>
      </c>
      <c r="C94" s="972" t="s">
        <v>2854</v>
      </c>
      <c r="D94" s="431"/>
      <c r="E94" s="431"/>
      <c r="F94" s="431"/>
      <c r="G94" s="431"/>
      <c r="H94" s="431"/>
      <c r="I94" s="431"/>
      <c r="J94" s="971"/>
      <c r="K94" s="431"/>
    </row>
    <row r="95" spans="1:11" ht="13">
      <c r="A95" s="415" t="s">
        <v>2855</v>
      </c>
      <c r="B95" s="971" t="s">
        <v>2748</v>
      </c>
      <c r="C95" s="972" t="s">
        <v>2856</v>
      </c>
      <c r="D95" s="431"/>
      <c r="E95" s="431"/>
      <c r="F95" s="431"/>
      <c r="G95" s="431"/>
      <c r="H95" s="431"/>
      <c r="I95" s="431"/>
      <c r="J95" s="971"/>
      <c r="K95" s="431"/>
    </row>
    <row r="96" spans="1:11" ht="13">
      <c r="A96" s="415" t="s">
        <v>2857</v>
      </c>
      <c r="B96" s="971" t="s">
        <v>2750</v>
      </c>
      <c r="C96" s="972" t="s">
        <v>2858</v>
      </c>
      <c r="D96" s="431"/>
      <c r="E96" s="431"/>
      <c r="F96" s="431"/>
      <c r="G96" s="431"/>
      <c r="H96" s="431"/>
      <c r="I96" s="431"/>
      <c r="J96" s="971"/>
      <c r="K96" s="431"/>
    </row>
    <row r="97" spans="1:13" ht="13">
      <c r="A97" s="415" t="s">
        <v>2859</v>
      </c>
      <c r="B97" s="971" t="s">
        <v>2752</v>
      </c>
      <c r="C97" s="972" t="s">
        <v>2860</v>
      </c>
      <c r="D97" s="431"/>
      <c r="E97" s="431"/>
      <c r="F97" s="431"/>
      <c r="G97" s="431"/>
      <c r="H97" s="431"/>
      <c r="I97" s="431"/>
      <c r="J97" s="971"/>
      <c r="K97" s="431"/>
    </row>
    <row r="98" spans="1:13" ht="13">
      <c r="A98" s="415" t="s">
        <v>2861</v>
      </c>
      <c r="B98" s="971" t="s">
        <v>2754</v>
      </c>
      <c r="C98" s="972" t="s">
        <v>2860</v>
      </c>
      <c r="D98" s="431"/>
      <c r="E98" s="431"/>
      <c r="F98" s="431"/>
      <c r="G98" s="431"/>
      <c r="H98" s="431"/>
      <c r="I98" s="431"/>
      <c r="J98" s="971"/>
      <c r="K98" s="431"/>
    </row>
    <row r="99" spans="1:13" ht="13">
      <c r="A99" s="415" t="s">
        <v>2862</v>
      </c>
      <c r="B99" s="971" t="s">
        <v>2756</v>
      </c>
      <c r="C99" s="972" t="s">
        <v>2860</v>
      </c>
      <c r="D99" s="431"/>
      <c r="E99" s="431"/>
      <c r="F99" s="431"/>
      <c r="G99" s="431"/>
      <c r="H99" s="431"/>
      <c r="I99" s="431"/>
      <c r="J99" s="971"/>
      <c r="K99" s="431"/>
    </row>
    <row r="100" spans="1:13" ht="13">
      <c r="A100" s="415" t="s">
        <v>2863</v>
      </c>
      <c r="B100" s="971" t="s">
        <v>2758</v>
      </c>
      <c r="C100" s="972" t="s">
        <v>2864</v>
      </c>
      <c r="D100" s="431"/>
      <c r="E100" s="431"/>
      <c r="F100" s="431"/>
      <c r="G100" s="431"/>
      <c r="H100" s="431"/>
      <c r="I100" s="431"/>
      <c r="J100" s="971"/>
      <c r="K100" s="431"/>
    </row>
    <row r="101" spans="1:13" ht="13">
      <c r="A101" s="415" t="s">
        <v>2865</v>
      </c>
      <c r="B101" s="971" t="s">
        <v>2760</v>
      </c>
      <c r="C101" s="972" t="s">
        <v>2866</v>
      </c>
      <c r="D101" s="431"/>
      <c r="E101" s="431"/>
      <c r="F101" s="431"/>
      <c r="G101" s="431"/>
      <c r="H101" s="431"/>
      <c r="I101" s="431"/>
      <c r="J101" s="971"/>
      <c r="K101" s="431"/>
    </row>
    <row r="102" spans="1:13" ht="13">
      <c r="A102" s="415" t="s">
        <v>2867</v>
      </c>
      <c r="B102" s="971" t="s">
        <v>2762</v>
      </c>
      <c r="C102" s="972" t="s">
        <v>2866</v>
      </c>
      <c r="D102" s="431"/>
      <c r="E102" s="431"/>
      <c r="F102" s="431"/>
      <c r="G102" s="431"/>
      <c r="H102" s="431"/>
      <c r="I102" s="431"/>
      <c r="J102" s="971"/>
      <c r="K102" s="431"/>
    </row>
    <row r="103" spans="1:13" ht="13">
      <c r="A103" s="415" t="s">
        <v>2868</v>
      </c>
      <c r="B103" s="971" t="s">
        <v>2764</v>
      </c>
      <c r="C103" s="972" t="s">
        <v>2869</v>
      </c>
      <c r="D103" s="431"/>
      <c r="E103" s="431"/>
      <c r="F103" s="431"/>
      <c r="G103" s="431"/>
      <c r="H103" s="431"/>
      <c r="I103" s="431"/>
      <c r="J103" s="971"/>
      <c r="K103" s="431"/>
    </row>
    <row r="104" spans="1:13" ht="13">
      <c r="A104" s="415" t="s">
        <v>2870</v>
      </c>
      <c r="B104" s="971" t="s">
        <v>2766</v>
      </c>
      <c r="C104" s="972" t="s">
        <v>2871</v>
      </c>
      <c r="D104" s="431"/>
      <c r="E104" s="431"/>
      <c r="F104" s="431"/>
      <c r="G104" s="431"/>
      <c r="H104" s="431"/>
      <c r="I104" s="431"/>
      <c r="J104" s="971"/>
      <c r="K104" s="431"/>
    </row>
    <row r="105" spans="1:13" ht="13">
      <c r="A105" s="415" t="s">
        <v>2872</v>
      </c>
      <c r="B105" s="971" t="s">
        <v>2768</v>
      </c>
      <c r="C105" s="972" t="s">
        <v>2873</v>
      </c>
      <c r="D105" s="431"/>
      <c r="E105" s="431"/>
      <c r="F105" s="431"/>
      <c r="G105" s="431"/>
      <c r="H105" s="431"/>
      <c r="I105" s="431"/>
      <c r="J105" s="971"/>
      <c r="K105" s="431"/>
    </row>
    <row r="106" spans="1:13" ht="13">
      <c r="A106" s="415" t="s">
        <v>2874</v>
      </c>
      <c r="B106" s="974" t="s">
        <v>389</v>
      </c>
      <c r="C106" s="972"/>
      <c r="D106" s="431"/>
      <c r="E106" s="431"/>
      <c r="F106" s="431"/>
      <c r="G106" s="431"/>
      <c r="H106" s="431"/>
      <c r="I106" s="431"/>
      <c r="J106" s="971"/>
      <c r="K106" s="431"/>
    </row>
    <row r="107" spans="1:13" ht="13">
      <c r="A107" s="415">
        <v>27</v>
      </c>
    </row>
    <row r="108" spans="1:13" ht="13">
      <c r="A108" s="415">
        <f t="shared" ref="A108:A114" si="18">A107+1</f>
        <v>28</v>
      </c>
    </row>
    <row r="109" spans="1:13" ht="15.5">
      <c r="A109" s="415">
        <f t="shared" si="18"/>
        <v>29</v>
      </c>
      <c r="B109" s="398" t="s">
        <v>2875</v>
      </c>
    </row>
    <row r="110" spans="1:13" ht="13">
      <c r="A110" s="415">
        <f t="shared" si="18"/>
        <v>30</v>
      </c>
      <c r="C110" s="407" t="s">
        <v>345</v>
      </c>
      <c r="D110" s="407" t="s">
        <v>346</v>
      </c>
      <c r="E110" s="407" t="s">
        <v>347</v>
      </c>
      <c r="F110" s="407" t="s">
        <v>348</v>
      </c>
      <c r="G110" s="407" t="s">
        <v>349</v>
      </c>
      <c r="H110" s="407" t="s">
        <v>350</v>
      </c>
      <c r="I110" s="407" t="s">
        <v>351</v>
      </c>
      <c r="J110" s="407" t="s">
        <v>352</v>
      </c>
      <c r="K110" s="407" t="s">
        <v>353</v>
      </c>
      <c r="L110" s="407" t="s">
        <v>603</v>
      </c>
      <c r="M110" s="407" t="s">
        <v>604</v>
      </c>
    </row>
    <row r="111" spans="1:13" s="629" customFormat="1" ht="37.5">
      <c r="A111" s="432">
        <f t="shared" si="18"/>
        <v>31</v>
      </c>
      <c r="C111" s="409"/>
      <c r="D111" s="409"/>
      <c r="E111" s="409"/>
      <c r="F111" s="643" t="s">
        <v>2876</v>
      </c>
      <c r="G111" s="409"/>
      <c r="H111" s="643"/>
      <c r="I111" s="408" t="s">
        <v>2877</v>
      </c>
      <c r="J111" s="408" t="s">
        <v>2878</v>
      </c>
      <c r="K111" s="408" t="s">
        <v>2879</v>
      </c>
      <c r="L111" s="408" t="s">
        <v>2880</v>
      </c>
      <c r="M111" s="408" t="s">
        <v>2881</v>
      </c>
    </row>
    <row r="112" spans="1:13" s="546" customFormat="1" ht="13">
      <c r="A112" s="415">
        <f t="shared" si="18"/>
        <v>32</v>
      </c>
      <c r="C112" s="433"/>
      <c r="D112" s="433"/>
      <c r="E112" s="433"/>
      <c r="F112" s="644"/>
      <c r="G112" s="433"/>
      <c r="H112" s="644"/>
      <c r="I112" s="533" t="s">
        <v>2882</v>
      </c>
      <c r="K112" s="644"/>
      <c r="L112" s="644"/>
      <c r="M112" s="644"/>
    </row>
    <row r="113" spans="1:13" ht="21.75" customHeight="1">
      <c r="A113" s="415">
        <f t="shared" si="18"/>
        <v>33</v>
      </c>
      <c r="B113" s="637"/>
      <c r="C113" s="1247" t="s">
        <v>2883</v>
      </c>
      <c r="D113" s="1248"/>
      <c r="E113" s="1248"/>
      <c r="F113" s="1249"/>
      <c r="G113" s="637"/>
      <c r="H113" s="434"/>
      <c r="I113" s="637"/>
      <c r="J113" s="637"/>
      <c r="K113" s="637"/>
      <c r="L113" s="638" t="s">
        <v>2654</v>
      </c>
      <c r="M113" s="435"/>
    </row>
    <row r="114" spans="1:13" s="400" customFormat="1" ht="51.75" customHeight="1">
      <c r="A114" s="415">
        <f t="shared" si="18"/>
        <v>34</v>
      </c>
      <c r="B114" s="436" t="str">
        <f>B11</f>
        <v>CPUC Rate Group</v>
      </c>
      <c r="C114" s="437">
        <v>2022</v>
      </c>
      <c r="D114" s="437">
        <v>2023</v>
      </c>
      <c r="E114" s="437">
        <v>2024</v>
      </c>
      <c r="F114" s="436" t="s">
        <v>2884</v>
      </c>
      <c r="G114" s="436" t="s">
        <v>2885</v>
      </c>
      <c r="H114" s="438" t="s">
        <v>2886</v>
      </c>
      <c r="I114" s="436" t="s">
        <v>2887</v>
      </c>
      <c r="J114" s="436" t="s">
        <v>2732</v>
      </c>
      <c r="K114" s="436" t="s">
        <v>2888</v>
      </c>
      <c r="L114" s="436" t="s">
        <v>2889</v>
      </c>
      <c r="M114" s="436" t="s">
        <v>2890</v>
      </c>
    </row>
    <row r="115" spans="1:13" ht="13">
      <c r="A115" s="415" t="s">
        <v>714</v>
      </c>
      <c r="B115" s="970" t="s">
        <v>2740</v>
      </c>
      <c r="C115" s="515">
        <v>78496</v>
      </c>
      <c r="D115" s="515">
        <v>69684.56</v>
      </c>
      <c r="E115" s="515">
        <v>74275.88</v>
      </c>
      <c r="F115" s="418">
        <f>(C115+D115+E115)/3</f>
        <v>74152.146666666667</v>
      </c>
      <c r="G115" s="1018">
        <v>1.0669233333333334</v>
      </c>
      <c r="H115" s="510">
        <v>30358.815983333334</v>
      </c>
      <c r="I115" s="418">
        <f>E12</f>
        <v>31387.521867045107</v>
      </c>
      <c r="J115" s="418">
        <f>F12</f>
        <v>0</v>
      </c>
      <c r="K115" s="418">
        <f>I115+J115</f>
        <v>31387.521867045107</v>
      </c>
      <c r="L115" s="418">
        <f>(F115*G115)*(K115/H115)</f>
        <v>81795.448832048103</v>
      </c>
      <c r="M115" s="547">
        <f t="shared" ref="M115:M128" si="19">L115/$L$130</f>
        <v>0.47107841040346321</v>
      </c>
    </row>
    <row r="116" spans="1:13" ht="13">
      <c r="A116" s="415" t="s">
        <v>2891</v>
      </c>
      <c r="B116" s="970" t="s">
        <v>2741</v>
      </c>
      <c r="C116" s="515">
        <v>11016</v>
      </c>
      <c r="D116" s="515">
        <v>10043.290000000001</v>
      </c>
      <c r="E116" s="515">
        <v>10713.42</v>
      </c>
      <c r="F116" s="418">
        <f t="shared" ref="F116:F128" si="20">(C116+D116+E116)/3</f>
        <v>10590.903333333334</v>
      </c>
      <c r="G116" s="1018">
        <v>1.0648666666666666</v>
      </c>
      <c r="H116" s="510">
        <v>5798.5742199999995</v>
      </c>
      <c r="I116" s="418">
        <f t="shared" ref="I116" si="21">E13</f>
        <v>6107.8559078233784</v>
      </c>
      <c r="J116" s="418">
        <f>F13</f>
        <v>0</v>
      </c>
      <c r="K116" s="418">
        <f t="shared" ref="K116:K128" si="22">I116+J116</f>
        <v>6107.8559078233784</v>
      </c>
      <c r="L116" s="418">
        <f t="shared" ref="L116:L128" si="23">(F116*G116)*(K116/H116)</f>
        <v>11879.435374818186</v>
      </c>
      <c r="M116" s="547">
        <f t="shared" si="19"/>
        <v>6.8416343607951513E-2</v>
      </c>
    </row>
    <row r="117" spans="1:13" ht="13">
      <c r="A117" s="415" t="s">
        <v>2892</v>
      </c>
      <c r="B117" s="970" t="s">
        <v>2746</v>
      </c>
      <c r="C117" s="515">
        <v>77</v>
      </c>
      <c r="D117" s="515">
        <v>78.41</v>
      </c>
      <c r="E117" s="515">
        <v>80.72</v>
      </c>
      <c r="F117" s="418">
        <f t="shared" si="20"/>
        <v>78.709999999999994</v>
      </c>
      <c r="G117" s="1018">
        <v>1.0630466666666667</v>
      </c>
      <c r="H117" s="510">
        <v>55.848943333333338</v>
      </c>
      <c r="I117" s="418">
        <f t="shared" ref="I117:J119" si="24">E15</f>
        <v>52.341626345488585</v>
      </c>
      <c r="J117" s="418">
        <f t="shared" si="24"/>
        <v>0</v>
      </c>
      <c r="K117" s="418">
        <f t="shared" si="22"/>
        <v>52.341626345488585</v>
      </c>
      <c r="L117" s="418">
        <f t="shared" si="23"/>
        <v>78.417771202845572</v>
      </c>
      <c r="M117" s="547">
        <f t="shared" si="19"/>
        <v>4.5162560427378226E-4</v>
      </c>
    </row>
    <row r="118" spans="1:13" ht="13">
      <c r="A118" s="415" t="s">
        <v>2893</v>
      </c>
      <c r="B118" s="970" t="s">
        <v>2748</v>
      </c>
      <c r="C118" s="515">
        <v>25474</v>
      </c>
      <c r="D118" s="515">
        <v>23330.74</v>
      </c>
      <c r="E118" s="515">
        <v>24063.98</v>
      </c>
      <c r="F118" s="418">
        <f t="shared" si="20"/>
        <v>24289.573333333334</v>
      </c>
      <c r="G118" s="1018">
        <v>1.0649833333333334</v>
      </c>
      <c r="H118" s="510">
        <v>13452.260663333334</v>
      </c>
      <c r="I118" s="418">
        <f t="shared" si="24"/>
        <v>13154.670584089259</v>
      </c>
      <c r="J118" s="418">
        <f t="shared" si="24"/>
        <v>0</v>
      </c>
      <c r="K118" s="418">
        <f t="shared" si="22"/>
        <v>13154.670584089259</v>
      </c>
      <c r="L118" s="418">
        <f t="shared" si="23"/>
        <v>25295.740680138424</v>
      </c>
      <c r="M118" s="547">
        <f t="shared" si="19"/>
        <v>0.14568386725336893</v>
      </c>
    </row>
    <row r="119" spans="1:13" ht="13">
      <c r="A119" s="415" t="s">
        <v>2894</v>
      </c>
      <c r="B119" s="970" t="s">
        <v>2750</v>
      </c>
      <c r="C119" s="515">
        <v>13086</v>
      </c>
      <c r="D119" s="515">
        <v>12398.64</v>
      </c>
      <c r="E119" s="515">
        <v>12673.33</v>
      </c>
      <c r="F119" s="418">
        <f t="shared" si="20"/>
        <v>12719.323333333334</v>
      </c>
      <c r="G119" s="1018">
        <v>1.0635399999999999</v>
      </c>
      <c r="H119" s="510">
        <v>7525.0914499999999</v>
      </c>
      <c r="I119" s="418">
        <f t="shared" si="24"/>
        <v>7500.5342838268434</v>
      </c>
      <c r="J119" s="418">
        <f t="shared" si="24"/>
        <v>0</v>
      </c>
      <c r="K119" s="418">
        <f t="shared" si="22"/>
        <v>7500.5342838268434</v>
      </c>
      <c r="L119" s="418">
        <f t="shared" si="23"/>
        <v>13483.363855179445</v>
      </c>
      <c r="M119" s="547">
        <f t="shared" si="19"/>
        <v>7.7653728935842575E-2</v>
      </c>
    </row>
    <row r="120" spans="1:13" ht="13">
      <c r="A120" s="415" t="s">
        <v>2895</v>
      </c>
      <c r="B120" s="970" t="s">
        <v>2752</v>
      </c>
      <c r="C120" s="515">
        <v>12138</v>
      </c>
      <c r="D120" s="515">
        <v>11887.85</v>
      </c>
      <c r="E120" s="515">
        <v>12442.22</v>
      </c>
      <c r="F120" s="418">
        <f t="shared" si="20"/>
        <v>12156.023333333333</v>
      </c>
      <c r="G120" s="1018">
        <v>1.0642466666666668</v>
      </c>
      <c r="H120" s="511">
        <v>7506.0299599999998</v>
      </c>
      <c r="I120" s="418">
        <f>E18+E21</f>
        <v>7591.0065116363712</v>
      </c>
      <c r="J120" s="418">
        <f t="shared" ref="J120:J128" si="25">F18</f>
        <v>0</v>
      </c>
      <c r="K120" s="418">
        <f>I120+J120</f>
        <v>7591.0065116363712</v>
      </c>
      <c r="L120" s="418">
        <f t="shared" si="23"/>
        <v>13083.468527706817</v>
      </c>
      <c r="M120" s="547">
        <f t="shared" si="19"/>
        <v>7.5350641687304015E-2</v>
      </c>
    </row>
    <row r="121" spans="1:13" ht="13">
      <c r="A121" s="415" t="s">
        <v>2896</v>
      </c>
      <c r="B121" s="970" t="s">
        <v>2754</v>
      </c>
      <c r="C121" s="515">
        <v>8873</v>
      </c>
      <c r="D121" s="515">
        <v>8947.16</v>
      </c>
      <c r="E121" s="515">
        <v>9070.66</v>
      </c>
      <c r="F121" s="418">
        <f t="shared" si="20"/>
        <v>8963.6066666666666</v>
      </c>
      <c r="G121" s="1018">
        <v>1.0406899999999999</v>
      </c>
      <c r="H121" s="511">
        <v>5951.951196666666</v>
      </c>
      <c r="I121" s="418">
        <f>E19+E22</f>
        <v>6286.8096851991204</v>
      </c>
      <c r="J121" s="418">
        <f t="shared" si="25"/>
        <v>0</v>
      </c>
      <c r="K121" s="418">
        <f t="shared" si="22"/>
        <v>6286.8096851991204</v>
      </c>
      <c r="L121" s="418">
        <f t="shared" si="23"/>
        <v>9853.1506819081824</v>
      </c>
      <c r="M121" s="547">
        <f t="shared" si="19"/>
        <v>5.6746513736110067E-2</v>
      </c>
    </row>
    <row r="122" spans="1:13" ht="13">
      <c r="A122" s="415" t="s">
        <v>2897</v>
      </c>
      <c r="B122" s="970" t="s">
        <v>2756</v>
      </c>
      <c r="C122" s="515">
        <v>10373</v>
      </c>
      <c r="D122" s="515">
        <v>10290.81</v>
      </c>
      <c r="E122" s="515">
        <v>10349.4</v>
      </c>
      <c r="F122" s="418">
        <f t="shared" si="20"/>
        <v>10337.736666666666</v>
      </c>
      <c r="G122" s="1018">
        <v>1.0116799999999999</v>
      </c>
      <c r="H122" s="511">
        <v>7425.9354633333342</v>
      </c>
      <c r="I122" s="418">
        <f>E20+E23</f>
        <v>7784.9487497294549</v>
      </c>
      <c r="J122" s="418">
        <f t="shared" si="25"/>
        <v>0</v>
      </c>
      <c r="K122" s="418">
        <f t="shared" si="22"/>
        <v>7784.9487497294549</v>
      </c>
      <c r="L122" s="418">
        <f t="shared" si="23"/>
        <v>10964.105780588907</v>
      </c>
      <c r="M122" s="547">
        <f t="shared" si="19"/>
        <v>6.3144754339823056E-2</v>
      </c>
    </row>
    <row r="123" spans="1:13" ht="13">
      <c r="A123" s="415" t="s">
        <v>2898</v>
      </c>
      <c r="B123" s="970" t="s">
        <v>2758</v>
      </c>
      <c r="C123" s="515">
        <v>103</v>
      </c>
      <c r="D123" s="515">
        <v>111.42</v>
      </c>
      <c r="E123" s="515">
        <v>105.38</v>
      </c>
      <c r="F123" s="418">
        <f t="shared" si="20"/>
        <v>106.60000000000001</v>
      </c>
      <c r="G123" s="1018">
        <v>1.0641833333333335</v>
      </c>
      <c r="H123" s="511">
        <v>68.665400000000005</v>
      </c>
      <c r="I123" s="418">
        <f>E21*0</f>
        <v>0</v>
      </c>
      <c r="J123" s="418">
        <f t="shared" si="25"/>
        <v>76.454331538475145</v>
      </c>
      <c r="K123" s="418">
        <f t="shared" si="22"/>
        <v>76.454331538475145</v>
      </c>
      <c r="L123" s="418">
        <f t="shared" si="23"/>
        <v>126.3100185242579</v>
      </c>
      <c r="M123" s="547">
        <f t="shared" si="19"/>
        <v>7.2744784207512143E-4</v>
      </c>
    </row>
    <row r="124" spans="1:13" ht="13">
      <c r="A124" s="415" t="s">
        <v>2899</v>
      </c>
      <c r="B124" s="970" t="s">
        <v>2760</v>
      </c>
      <c r="C124" s="515">
        <v>297</v>
      </c>
      <c r="D124" s="515">
        <v>299.83</v>
      </c>
      <c r="E124" s="515">
        <v>350.14</v>
      </c>
      <c r="F124" s="418">
        <f t="shared" si="20"/>
        <v>315.65666666666664</v>
      </c>
      <c r="G124" s="1018">
        <v>1.0409033333333333</v>
      </c>
      <c r="H124" s="511">
        <v>223.02882333333332</v>
      </c>
      <c r="I124" s="418">
        <f>E22*0</f>
        <v>0</v>
      </c>
      <c r="J124" s="418">
        <f t="shared" si="25"/>
        <v>205.83730673824206</v>
      </c>
      <c r="K124" s="418">
        <f t="shared" si="22"/>
        <v>205.83730673824206</v>
      </c>
      <c r="L124" s="418">
        <f t="shared" si="23"/>
        <v>303.24137903206514</v>
      </c>
      <c r="M124" s="547">
        <f t="shared" si="19"/>
        <v>1.7464353927111086E-3</v>
      </c>
    </row>
    <row r="125" spans="1:13" ht="13">
      <c r="A125" s="415" t="s">
        <v>2900</v>
      </c>
      <c r="B125" s="970" t="s">
        <v>2762</v>
      </c>
      <c r="C125" s="515">
        <v>931</v>
      </c>
      <c r="D125" s="515">
        <v>1049.58</v>
      </c>
      <c r="E125" s="515">
        <v>849.92</v>
      </c>
      <c r="F125" s="418">
        <f t="shared" si="20"/>
        <v>943.5</v>
      </c>
      <c r="G125" s="1018">
        <v>1.0116466666666666</v>
      </c>
      <c r="H125" s="511">
        <v>725.29988666666668</v>
      </c>
      <c r="I125" s="418">
        <f>E23*0</f>
        <v>0</v>
      </c>
      <c r="J125" s="418">
        <f t="shared" si="25"/>
        <v>667.71703704420304</v>
      </c>
      <c r="K125" s="418">
        <f t="shared" si="22"/>
        <v>667.71703704420304</v>
      </c>
      <c r="L125" s="418">
        <f t="shared" si="23"/>
        <v>878.71007790310591</v>
      </c>
      <c r="M125" s="547">
        <f t="shared" si="19"/>
        <v>5.060689226781441E-3</v>
      </c>
    </row>
    <row r="126" spans="1:13" ht="13">
      <c r="A126" s="415" t="s">
        <v>2901</v>
      </c>
      <c r="B126" s="970" t="s">
        <v>2764</v>
      </c>
      <c r="C126" s="515">
        <v>2715</v>
      </c>
      <c r="D126" s="515">
        <v>2029.62</v>
      </c>
      <c r="E126" s="515">
        <v>2263.42</v>
      </c>
      <c r="F126" s="418">
        <f t="shared" si="20"/>
        <v>2336.0133333333333</v>
      </c>
      <c r="G126" s="1018">
        <v>1.0646666666666667</v>
      </c>
      <c r="H126" s="510">
        <v>1705.7760233333331</v>
      </c>
      <c r="I126" s="418">
        <f>E24</f>
        <v>1724.2612716287063</v>
      </c>
      <c r="J126" s="418">
        <f t="shared" si="25"/>
        <v>0</v>
      </c>
      <c r="K126" s="418">
        <f t="shared" si="22"/>
        <v>1724.2612716287063</v>
      </c>
      <c r="L126" s="418">
        <f t="shared" si="23"/>
        <v>2514.027607035126</v>
      </c>
      <c r="M126" s="547">
        <f t="shared" si="19"/>
        <v>1.447885115545096E-2</v>
      </c>
    </row>
    <row r="127" spans="1:13" ht="13">
      <c r="A127" s="415" t="s">
        <v>2902</v>
      </c>
      <c r="B127" s="970" t="s">
        <v>2766</v>
      </c>
      <c r="C127" s="515">
        <v>2354</v>
      </c>
      <c r="D127" s="515">
        <v>2214.08</v>
      </c>
      <c r="E127" s="515">
        <v>2390.83</v>
      </c>
      <c r="F127" s="418">
        <f t="shared" si="20"/>
        <v>2319.6366666666668</v>
      </c>
      <c r="G127" s="1018">
        <v>1.0621366666666665</v>
      </c>
      <c r="H127" s="510">
        <v>1733.5471299999999</v>
      </c>
      <c r="I127" s="418">
        <f>E25</f>
        <v>1883.4573957456787</v>
      </c>
      <c r="J127" s="418">
        <f t="shared" si="25"/>
        <v>0</v>
      </c>
      <c r="K127" s="418">
        <f t="shared" si="22"/>
        <v>1883.4573957456787</v>
      </c>
      <c r="L127" s="418">
        <f t="shared" si="23"/>
        <v>2676.8282943062904</v>
      </c>
      <c r="M127" s="547">
        <f t="shared" si="19"/>
        <v>1.5416456976647249E-2</v>
      </c>
    </row>
    <row r="128" spans="1:13" ht="13">
      <c r="A128" s="415" t="s">
        <v>2903</v>
      </c>
      <c r="B128" s="970" t="s">
        <v>2768</v>
      </c>
      <c r="C128" s="515">
        <v>809</v>
      </c>
      <c r="D128" s="515">
        <v>826.02</v>
      </c>
      <c r="E128" s="515">
        <v>875.35</v>
      </c>
      <c r="F128" s="418">
        <f t="shared" si="20"/>
        <v>836.79</v>
      </c>
      <c r="G128" s="1018">
        <v>1.0623133333333334</v>
      </c>
      <c r="H128" s="510">
        <v>531.34415000000001</v>
      </c>
      <c r="I128" s="418">
        <f>E26</f>
        <v>419.73867475946776</v>
      </c>
      <c r="J128" s="418">
        <f t="shared" si="25"/>
        <v>0</v>
      </c>
      <c r="K128" s="418">
        <f t="shared" si="22"/>
        <v>419.73867475946776</v>
      </c>
      <c r="L128" s="418">
        <f t="shared" si="23"/>
        <v>702.21838800414969</v>
      </c>
      <c r="M128" s="547">
        <f t="shared" si="19"/>
        <v>4.0442338381969627E-3</v>
      </c>
    </row>
    <row r="129" spans="1:13" ht="13">
      <c r="A129" s="415" t="s">
        <v>2904</v>
      </c>
      <c r="B129" s="969" t="s">
        <v>389</v>
      </c>
      <c r="C129" s="515"/>
      <c r="D129" s="515"/>
      <c r="E129" s="515"/>
      <c r="F129" s="418"/>
      <c r="G129" s="639"/>
      <c r="H129" s="510"/>
      <c r="K129" s="418"/>
      <c r="L129" s="418"/>
      <c r="M129" s="547"/>
    </row>
    <row r="130" spans="1:13" ht="13">
      <c r="A130" s="415">
        <v>36</v>
      </c>
      <c r="B130" s="238" t="s">
        <v>440</v>
      </c>
      <c r="C130" s="645">
        <f>SUM(C115:C129)</f>
        <v>166742</v>
      </c>
      <c r="D130" s="645">
        <f>SUM(D115:D129)</f>
        <v>153192.00999999998</v>
      </c>
      <c r="E130" s="645">
        <f>SUM(E115:E129)</f>
        <v>160504.65000000002</v>
      </c>
      <c r="F130" s="645">
        <f>SUM(F115:F129)</f>
        <v>160146.22000000003</v>
      </c>
      <c r="G130" s="646"/>
      <c r="H130" s="645">
        <f>SUM(H115:H129)</f>
        <v>83062.169293333325</v>
      </c>
      <c r="I130" s="645">
        <f t="shared" ref="I130:M130" si="26">SUM(I115:I129)</f>
        <v>83893.146557828877</v>
      </c>
      <c r="J130" s="645">
        <f t="shared" si="26"/>
        <v>950.00867532092025</v>
      </c>
      <c r="K130" s="645">
        <f t="shared" si="26"/>
        <v>84843.15523314981</v>
      </c>
      <c r="L130" s="645">
        <f t="shared" si="26"/>
        <v>173634.46726839591</v>
      </c>
      <c r="M130" s="647">
        <f t="shared" si="26"/>
        <v>1</v>
      </c>
    </row>
    <row r="131" spans="1:13">
      <c r="J131" s="423"/>
      <c r="L131" s="423"/>
      <c r="M131" s="424"/>
    </row>
    <row r="132" spans="1:13">
      <c r="J132" s="423"/>
      <c r="L132" s="423"/>
      <c r="M132" s="424"/>
    </row>
    <row r="133" spans="1:13">
      <c r="J133" s="423"/>
      <c r="L133" s="423"/>
      <c r="M133" s="424"/>
    </row>
    <row r="134" spans="1:13">
      <c r="J134" s="423"/>
      <c r="L134" s="423"/>
      <c r="M134" s="424"/>
    </row>
    <row r="135" spans="1:13">
      <c r="J135" s="423"/>
      <c r="L135" s="423"/>
      <c r="M135" s="424"/>
    </row>
    <row r="136" spans="1:13">
      <c r="J136" s="423"/>
      <c r="L136" s="423"/>
      <c r="M136" s="424"/>
    </row>
    <row r="137" spans="1:13">
      <c r="J137" s="423"/>
      <c r="L137" s="423"/>
      <c r="M137" s="424"/>
    </row>
    <row r="138" spans="1:13">
      <c r="J138" s="423"/>
      <c r="L138" s="423"/>
      <c r="M138" s="424"/>
    </row>
    <row r="139" spans="1:13">
      <c r="J139" s="423"/>
      <c r="L139" s="423"/>
      <c r="M139" s="424"/>
    </row>
    <row r="140" spans="1:13">
      <c r="L140" s="423"/>
    </row>
    <row r="144" spans="1:13">
      <c r="M144" s="399"/>
    </row>
    <row r="145" spans="13:13">
      <c r="M145" s="399"/>
    </row>
    <row r="146" spans="13:13">
      <c r="M146" s="399"/>
    </row>
    <row r="147" spans="13:13">
      <c r="M147" s="399"/>
    </row>
    <row r="148" spans="13:13">
      <c r="M148" s="399"/>
    </row>
    <row r="149" spans="13:13">
      <c r="M149" s="399"/>
    </row>
    <row r="150" spans="13:13">
      <c r="M150" s="399"/>
    </row>
    <row r="151" spans="13:13">
      <c r="M151" s="399"/>
    </row>
    <row r="152" spans="13:13">
      <c r="M152" s="399"/>
    </row>
    <row r="153" spans="13:13">
      <c r="M153" s="399"/>
    </row>
    <row r="154" spans="13:13">
      <c r="M154" s="399"/>
    </row>
    <row r="155" spans="13:13">
      <c r="M155" s="399"/>
    </row>
    <row r="156" spans="13:13">
      <c r="M156" s="399"/>
    </row>
    <row r="157" spans="13:13">
      <c r="M157" s="399"/>
    </row>
    <row r="158" spans="13:13">
      <c r="M158" s="399"/>
    </row>
    <row r="159" spans="13:13">
      <c r="M159" s="399"/>
    </row>
    <row r="160" spans="13:13">
      <c r="M160" s="399"/>
    </row>
    <row r="161" spans="13:13">
      <c r="M161" s="399"/>
    </row>
    <row r="162" spans="13:13">
      <c r="M162" s="399"/>
    </row>
    <row r="163" spans="13:13">
      <c r="M163" s="399"/>
    </row>
    <row r="164" spans="13:13">
      <c r="M164" s="399"/>
    </row>
    <row r="165" spans="13:13">
      <c r="M165" s="399"/>
    </row>
    <row r="166" spans="13:13">
      <c r="M166" s="399"/>
    </row>
    <row r="167" spans="13:13">
      <c r="M167" s="399"/>
    </row>
    <row r="168" spans="13:13">
      <c r="M168" s="399"/>
    </row>
    <row r="169" spans="13:13">
      <c r="M169" s="399"/>
    </row>
    <row r="170" spans="13:13">
      <c r="M170" s="399"/>
    </row>
    <row r="171" spans="13:13">
      <c r="M171" s="399"/>
    </row>
    <row r="172" spans="13:13">
      <c r="M172" s="399"/>
    </row>
    <row r="173" spans="13:13">
      <c r="M173" s="399"/>
    </row>
    <row r="174" spans="13:13">
      <c r="M174" s="399"/>
    </row>
    <row r="175" spans="13:13">
      <c r="M175" s="399"/>
    </row>
    <row r="176" spans="13:13">
      <c r="M176" s="399"/>
    </row>
    <row r="177" spans="13:13">
      <c r="M177" s="399"/>
    </row>
    <row r="178" spans="13:13">
      <c r="M178" s="399"/>
    </row>
    <row r="179" spans="13:13">
      <c r="M179" s="399"/>
    </row>
    <row r="180" spans="13:13">
      <c r="M180" s="399"/>
    </row>
    <row r="181" spans="13:13">
      <c r="M181" s="399"/>
    </row>
    <row r="182" spans="13:13">
      <c r="M182" s="399"/>
    </row>
    <row r="183" spans="13:13">
      <c r="M183" s="399"/>
    </row>
    <row r="184" spans="13:13">
      <c r="M184" s="399"/>
    </row>
    <row r="185" spans="13:13">
      <c r="M185" s="399"/>
    </row>
    <row r="186" spans="13:13">
      <c r="M186" s="399"/>
    </row>
    <row r="187" spans="13:13">
      <c r="M187" s="399"/>
    </row>
    <row r="188" spans="13:13">
      <c r="M188" s="399"/>
    </row>
    <row r="189" spans="13:13">
      <c r="M189" s="399"/>
    </row>
    <row r="190" spans="13:13">
      <c r="M190" s="399"/>
    </row>
    <row r="191" spans="13:13">
      <c r="M191" s="399"/>
    </row>
    <row r="192" spans="13:13">
      <c r="M192" s="399"/>
    </row>
    <row r="193" spans="13:13">
      <c r="M193" s="399"/>
    </row>
    <row r="194" spans="13:13">
      <c r="M194" s="399"/>
    </row>
    <row r="195" spans="13:13">
      <c r="M195" s="399"/>
    </row>
    <row r="196" spans="13:13">
      <c r="M196" s="399"/>
    </row>
    <row r="197" spans="13:13">
      <c r="M197" s="399"/>
    </row>
    <row r="198" spans="13:13">
      <c r="M198" s="399"/>
    </row>
    <row r="199" spans="13:13">
      <c r="M199" s="399"/>
    </row>
    <row r="200" spans="13:13">
      <c r="M200" s="399"/>
    </row>
    <row r="201" spans="13:13">
      <c r="M201" s="399"/>
    </row>
    <row r="202" spans="13:13">
      <c r="M202" s="399"/>
    </row>
    <row r="203" spans="13:13">
      <c r="M203" s="399"/>
    </row>
    <row r="204" spans="13:13">
      <c r="M204" s="399"/>
    </row>
    <row r="205" spans="13:13">
      <c r="M205" s="399"/>
    </row>
    <row r="206" spans="13:13">
      <c r="M206" s="399"/>
    </row>
    <row r="207" spans="13:13">
      <c r="M207" s="399"/>
    </row>
    <row r="208" spans="13:13">
      <c r="M208" s="399"/>
    </row>
    <row r="209" spans="13:13">
      <c r="M209" s="399"/>
    </row>
    <row r="210" spans="13:13">
      <c r="M210" s="399"/>
    </row>
    <row r="211" spans="13:13">
      <c r="M211" s="399"/>
    </row>
    <row r="212" spans="13:13">
      <c r="M212" s="399"/>
    </row>
    <row r="213" spans="13:13">
      <c r="M213" s="399"/>
    </row>
    <row r="214" spans="13:13">
      <c r="M214" s="399"/>
    </row>
    <row r="215" spans="13:13">
      <c r="M215" s="399"/>
    </row>
    <row r="216" spans="13:13">
      <c r="M216" s="399"/>
    </row>
    <row r="217" spans="13:13">
      <c r="M217" s="399"/>
    </row>
    <row r="218" spans="13:13">
      <c r="M218" s="399"/>
    </row>
    <row r="219" spans="13:13">
      <c r="M219" s="399"/>
    </row>
    <row r="220" spans="13:13">
      <c r="M220" s="399"/>
    </row>
    <row r="221" spans="13:13">
      <c r="M221" s="399"/>
    </row>
    <row r="222" spans="13:13">
      <c r="M222" s="399"/>
    </row>
    <row r="223" spans="13:13">
      <c r="M223" s="399"/>
    </row>
    <row r="224" spans="13:13">
      <c r="M224" s="399"/>
    </row>
    <row r="225" spans="13:13">
      <c r="M225" s="399"/>
    </row>
    <row r="226" spans="13:13">
      <c r="M226" s="399"/>
    </row>
    <row r="227" spans="13:13">
      <c r="M227" s="399"/>
    </row>
    <row r="228" spans="13:13">
      <c r="M228" s="399"/>
    </row>
    <row r="229" spans="13:13">
      <c r="M229" s="399"/>
    </row>
    <row r="230" spans="13:13">
      <c r="M230" s="399"/>
    </row>
    <row r="231" spans="13:13">
      <c r="M231" s="399"/>
    </row>
    <row r="232" spans="13:13">
      <c r="M232" s="399"/>
    </row>
    <row r="233" spans="13:13">
      <c r="M233" s="399"/>
    </row>
    <row r="234" spans="13:13">
      <c r="M234" s="399"/>
    </row>
    <row r="235" spans="13:13">
      <c r="M235" s="399"/>
    </row>
    <row r="236" spans="13:13">
      <c r="M236" s="399"/>
    </row>
    <row r="237" spans="13:13">
      <c r="M237" s="399"/>
    </row>
    <row r="238" spans="13:13">
      <c r="M238" s="399"/>
    </row>
    <row r="239" spans="13:13">
      <c r="M239" s="399"/>
    </row>
    <row r="240" spans="13:13">
      <c r="M240" s="399"/>
    </row>
    <row r="241" spans="13:13">
      <c r="M241" s="399"/>
    </row>
    <row r="242" spans="13:13">
      <c r="M242" s="399"/>
    </row>
    <row r="243" spans="13:13">
      <c r="M243" s="399"/>
    </row>
    <row r="244" spans="13:13">
      <c r="M244" s="399"/>
    </row>
    <row r="245" spans="13:13">
      <c r="M245" s="399"/>
    </row>
    <row r="246" spans="13:13">
      <c r="M246" s="399"/>
    </row>
    <row r="247" spans="13:13">
      <c r="M247" s="399"/>
    </row>
    <row r="248" spans="13:13">
      <c r="M248" s="399"/>
    </row>
    <row r="249" spans="13:13">
      <c r="M249" s="399"/>
    </row>
    <row r="250" spans="13:13">
      <c r="M250" s="399"/>
    </row>
    <row r="251" spans="13:13">
      <c r="M251" s="399"/>
    </row>
    <row r="252" spans="13:13">
      <c r="M252" s="399"/>
    </row>
  </sheetData>
  <mergeCells count="3">
    <mergeCell ref="E9:I9"/>
    <mergeCell ref="C113:F113"/>
    <mergeCell ref="L49:L50"/>
  </mergeCells>
  <pageMargins left="0.7" right="0.7" top="0.75" bottom="0.75" header="0.3" footer="0.3"/>
  <pageSetup scale="52" fitToHeight="0" orientation="landscape" cellComments="asDisplayed" r:id="rId1"/>
  <headerFooter>
    <oddHeader>&amp;CSchedule 33
Retail Transmission Rates
&amp;RTO2027 Draft Annual Update 
Attachment 1</oddHeader>
    <oddFooter>&amp;R&amp;A</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98"/>
  <sheetViews>
    <sheetView tabSelected="1" zoomScaleNormal="100" workbookViewId="0"/>
  </sheetViews>
  <sheetFormatPr defaultRowHeight="12.5"/>
  <cols>
    <col min="1" max="1" width="4.54296875" customWidth="1"/>
    <col min="2" max="2" width="7.81640625" customWidth="1"/>
    <col min="4" max="4" width="10.453125" customWidth="1"/>
    <col min="5" max="5" width="11.54296875" customWidth="1"/>
    <col min="6" max="6" width="11.81640625" customWidth="1"/>
    <col min="7" max="7" width="13.54296875" customWidth="1"/>
    <col min="8" max="8" width="22.81640625" customWidth="1"/>
    <col min="9" max="9" width="29.453125" customWidth="1"/>
    <col min="10" max="10" width="2.54296875" customWidth="1"/>
    <col min="11" max="11" width="23.1796875" customWidth="1"/>
    <col min="12" max="12" width="2.54296875" customWidth="1"/>
    <col min="13" max="13" width="15" bestFit="1" customWidth="1"/>
    <col min="14" max="14" width="19.1796875" bestFit="1" customWidth="1"/>
  </cols>
  <sheetData>
    <row r="1" spans="1:11" ht="13">
      <c r="A1" s="1" t="s">
        <v>98</v>
      </c>
    </row>
    <row r="2" spans="1:11">
      <c r="I2" s="54" t="s">
        <v>99</v>
      </c>
      <c r="J2" s="54"/>
    </row>
    <row r="3" spans="1:11" ht="13">
      <c r="A3" s="1" t="s">
        <v>100</v>
      </c>
      <c r="K3" s="2"/>
    </row>
    <row r="4" spans="1:11" ht="13">
      <c r="H4" s="2"/>
      <c r="I4" s="2" t="s">
        <v>101</v>
      </c>
      <c r="K4" s="126">
        <v>2025</v>
      </c>
    </row>
    <row r="5" spans="1:11" ht="13">
      <c r="A5" s="32" t="s">
        <v>102</v>
      </c>
      <c r="H5" s="3" t="s">
        <v>103</v>
      </c>
      <c r="I5" s="3" t="s">
        <v>104</v>
      </c>
      <c r="K5" s="3" t="s">
        <v>105</v>
      </c>
    </row>
    <row r="7" spans="1:11" ht="13">
      <c r="A7" s="9" t="s">
        <v>106</v>
      </c>
      <c r="B7" s="10"/>
      <c r="C7" s="10"/>
      <c r="D7" s="10"/>
      <c r="E7" s="10"/>
      <c r="F7" s="10"/>
      <c r="G7" s="10"/>
      <c r="H7" s="8"/>
      <c r="I7" s="8"/>
      <c r="J7" s="8"/>
      <c r="K7" s="8"/>
    </row>
    <row r="9" spans="1:11" ht="13">
      <c r="A9" s="2">
        <v>1</v>
      </c>
      <c r="B9" s="276" t="s">
        <v>107</v>
      </c>
      <c r="I9" s="233" t="str">
        <f>"6-PlantInService, Line "&amp;'6-PlantInService'!A65&amp;""</f>
        <v>6-PlantInService, Line 19</v>
      </c>
      <c r="K9" s="6">
        <f>'6-PlantInService'!D65</f>
        <v>11828275665.428312</v>
      </c>
    </row>
    <row r="10" spans="1:11" ht="13">
      <c r="A10" s="2">
        <f>A9+1</f>
        <v>2</v>
      </c>
      <c r="B10" s="276" t="s">
        <v>108</v>
      </c>
      <c r="I10" s="233" t="str">
        <f>"6-PlantInService, Line "&amp;'6-PlantInService'!A85&amp;""</f>
        <v>6-PlantInService, Line 27</v>
      </c>
      <c r="K10" s="6">
        <f>'6-PlantInService'!F85</f>
        <v>431482003.42789477</v>
      </c>
    </row>
    <row r="11" spans="1:11" ht="13">
      <c r="A11" s="2">
        <f>A10+1</f>
        <v>3</v>
      </c>
      <c r="B11" s="276" t="s">
        <v>109</v>
      </c>
      <c r="I11" s="233" t="str">
        <f>"11-PHFU, Line "&amp;'11-PHFU'!A39&amp;""</f>
        <v>11-PHFU, Line 8</v>
      </c>
      <c r="K11" s="6">
        <f>'11-PHFU'!E39</f>
        <v>14769759.393964872</v>
      </c>
    </row>
    <row r="12" spans="1:11" ht="13">
      <c r="A12" s="2">
        <f>A11+1</f>
        <v>4</v>
      </c>
      <c r="B12" s="276" t="s">
        <v>110</v>
      </c>
      <c r="I12" s="233" t="str">
        <f>"12-AbandonedPlant, Line "&amp;'12-AbandonedPlant'!A20&amp;""</f>
        <v>12-AbandonedPlant, Line 3</v>
      </c>
      <c r="K12" s="6">
        <f>'12-AbandonedPlant'!G20</f>
        <v>0</v>
      </c>
    </row>
    <row r="13" spans="1:11" ht="13">
      <c r="A13" s="2"/>
      <c r="B13" s="276"/>
      <c r="K13" s="6"/>
    </row>
    <row r="14" spans="1:11" ht="13">
      <c r="A14" s="2"/>
      <c r="B14" s="28" t="s">
        <v>111</v>
      </c>
      <c r="K14" s="6"/>
    </row>
    <row r="15" spans="1:11" ht="13">
      <c r="A15" s="2">
        <f>A12+1</f>
        <v>5</v>
      </c>
      <c r="B15" s="232" t="s">
        <v>112</v>
      </c>
      <c r="I15" s="233" t="str">
        <f>"13-WorkCap, Line "&amp;'13-WorkCap'!A26&amp;""</f>
        <v>13-WorkCap, Line 16</v>
      </c>
      <c r="K15" s="6">
        <f>'13-WorkCap'!F26</f>
        <v>34209840.283483587</v>
      </c>
    </row>
    <row r="16" spans="1:11" ht="13">
      <c r="A16" s="2">
        <f>A15+1</f>
        <v>6</v>
      </c>
      <c r="B16" s="12" t="s">
        <v>113</v>
      </c>
      <c r="I16" s="233" t="str">
        <f>"13-WorkCap, Line "&amp;'13-WorkCap'!A55&amp;""</f>
        <v>13-WorkCap, Line 36</v>
      </c>
      <c r="K16" s="6">
        <f>'13-WorkCap'!F55</f>
        <v>6232486.2741280058</v>
      </c>
    </row>
    <row r="17" spans="1:11" ht="13">
      <c r="A17" s="2">
        <f>A16+1</f>
        <v>7</v>
      </c>
      <c r="B17" s="232" t="s">
        <v>114</v>
      </c>
      <c r="I17" s="233" t="str">
        <f>"(Line "&amp;A126&amp;" + Line "&amp;A127&amp;") / 8"</f>
        <v>(Line 66 + Line 67) / 8</v>
      </c>
      <c r="K17" s="53">
        <f>(K126+K127)/8</f>
        <v>28848185.239759132</v>
      </c>
    </row>
    <row r="18" spans="1:11" ht="13">
      <c r="A18" s="2">
        <f>A17+1</f>
        <v>8</v>
      </c>
      <c r="B18" s="232" t="s">
        <v>115</v>
      </c>
      <c r="I18" s="233" t="str">
        <f>"Line "&amp;A15&amp;" + Line "&amp;A16&amp;" + Line "&amp;A17&amp;""</f>
        <v>Line 5 + Line 6 + Line 7</v>
      </c>
      <c r="K18" s="6">
        <f>SUM(K15:K17)</f>
        <v>69290511.797370732</v>
      </c>
    </row>
    <row r="19" spans="1:11" ht="13">
      <c r="A19" s="2"/>
      <c r="B19" s="232"/>
      <c r="K19" s="6"/>
    </row>
    <row r="20" spans="1:11" ht="13">
      <c r="A20" s="2"/>
      <c r="B20" s="44" t="s">
        <v>116</v>
      </c>
      <c r="K20" s="6"/>
    </row>
    <row r="21" spans="1:11" ht="13">
      <c r="A21" s="2">
        <f>A18+1</f>
        <v>9</v>
      </c>
      <c r="B21" s="232" t="s">
        <v>117</v>
      </c>
      <c r="H21" t="s">
        <v>118</v>
      </c>
      <c r="I21" s="233" t="s">
        <v>3009</v>
      </c>
      <c r="K21" s="6">
        <f>-'8-AccDep'!J46</f>
        <v>-3093419455.9705281</v>
      </c>
    </row>
    <row r="22" spans="1:11" ht="13">
      <c r="A22" s="2">
        <f>A21+1</f>
        <v>10</v>
      </c>
      <c r="B22" s="232" t="s">
        <v>119</v>
      </c>
      <c r="H22" t="s">
        <v>118</v>
      </c>
      <c r="I22" s="233" t="str">
        <f>"8-AccDep, Line "&amp;'8-AccDep'!A74&amp;", Col. 5"</f>
        <v>8-AccDep, Line 16, Col. 5</v>
      </c>
      <c r="K22" s="6">
        <f>-'8-AccDep'!G74</f>
        <v>0</v>
      </c>
    </row>
    <row r="23" spans="1:11" ht="13">
      <c r="A23" s="2">
        <f>A22+1</f>
        <v>11</v>
      </c>
      <c r="B23" s="232" t="s">
        <v>120</v>
      </c>
      <c r="C23" s="15"/>
      <c r="H23" t="s">
        <v>118</v>
      </c>
      <c r="I23" s="233" t="str">
        <f>"8-AccDep, Line "&amp;'8-AccDep'!A100&amp;""</f>
        <v>8-AccDep, Line 26</v>
      </c>
      <c r="K23" s="53">
        <f>-'8-AccDep'!F100</f>
        <v>-169181966.02724427</v>
      </c>
    </row>
    <row r="24" spans="1:11" ht="13">
      <c r="A24" s="2">
        <f>A23+1</f>
        <v>12</v>
      </c>
      <c r="B24" s="45" t="s">
        <v>121</v>
      </c>
      <c r="C24" s="15"/>
      <c r="I24" s="233" t="str">
        <f>"Line "&amp;A21&amp;" + Line "&amp;A22&amp;" + Line "&amp;A23&amp;""</f>
        <v>Line 9 + Line 10 + Line 11</v>
      </c>
      <c r="K24" s="6">
        <f>SUM(K21:K23)</f>
        <v>-3262601421.9977722</v>
      </c>
    </row>
    <row r="25" spans="1:11">
      <c r="B25" s="233"/>
      <c r="K25" s="6"/>
    </row>
    <row r="26" spans="1:11" ht="13">
      <c r="A26" s="2">
        <f>A24+1</f>
        <v>13</v>
      </c>
      <c r="B26" s="276" t="s">
        <v>122</v>
      </c>
      <c r="I26" s="233" t="str">
        <f>"9-ADIT-1, Line "&amp;'9-ADIT-1'!A14&amp;", Col. 2"</f>
        <v>9-ADIT-1, Line 5, Col. 2</v>
      </c>
      <c r="K26" s="6">
        <f>'9-ADIT-1'!D14</f>
        <v>-1638082143.6930494</v>
      </c>
    </row>
    <row r="27" spans="1:11" ht="13">
      <c r="A27" s="2"/>
      <c r="B27" s="38"/>
    </row>
    <row r="28" spans="1:11" ht="13">
      <c r="A28" s="2">
        <f>A26+1</f>
        <v>14</v>
      </c>
      <c r="B28" s="276" t="s">
        <v>123</v>
      </c>
      <c r="I28" s="233" t="str">
        <f>"14-IncentivePlant, L "&amp;'14-IncentivePlant'!A40&amp;", Col 1"</f>
        <v>14-IncentivePlant, L 15, Col 1</v>
      </c>
      <c r="K28" s="6">
        <f>'14-IncentivePlant'!E40</f>
        <v>193667038.41</v>
      </c>
    </row>
    <row r="29" spans="1:11" ht="13">
      <c r="A29" s="2"/>
      <c r="B29" s="276"/>
      <c r="K29" s="6"/>
    </row>
    <row r="30" spans="1:11" ht="13">
      <c r="A30" s="2">
        <f>A28+1</f>
        <v>15</v>
      </c>
      <c r="B30" s="276" t="s">
        <v>124</v>
      </c>
      <c r="I30" s="233" t="str">
        <f>"23-RegAssets, Line "&amp;'23-RegAssets'!A17&amp;""</f>
        <v>23-RegAssets, Line 14</v>
      </c>
      <c r="K30" s="6">
        <f>'23-RegAssets'!E17</f>
        <v>0</v>
      </c>
    </row>
    <row r="31" spans="1:11" ht="13">
      <c r="A31" s="2">
        <f t="shared" ref="A31:A32" si="0">A30+1</f>
        <v>16</v>
      </c>
      <c r="B31" s="38" t="s">
        <v>74</v>
      </c>
      <c r="I31" s="233" t="str">
        <f>"34-UnfundedReserves, Line "&amp;'34-UnfundedReserves'!A9&amp;""</f>
        <v>34-UnfundedReserves, Line 6</v>
      </c>
      <c r="K31" s="6">
        <f>'34-UnfundedReserves'!K9</f>
        <v>-23986919.70908444</v>
      </c>
    </row>
    <row r="32" spans="1:11" ht="13">
      <c r="A32" s="2">
        <f t="shared" si="0"/>
        <v>17</v>
      </c>
      <c r="B32" s="38" t="s">
        <v>125</v>
      </c>
      <c r="H32" t="s">
        <v>118</v>
      </c>
      <c r="I32" s="233" t="str">
        <f>"22-NUCs, Line "&amp;'22-NUCs'!A11&amp;""</f>
        <v>22-NUCs, Line 4</v>
      </c>
      <c r="K32" s="6">
        <f>-'22-NUCs'!E11</f>
        <v>-62317606.726458833</v>
      </c>
    </row>
    <row r="33" spans="1:11" ht="13">
      <c r="A33" s="2"/>
      <c r="B33" s="38"/>
    </row>
    <row r="34" spans="1:11" ht="13">
      <c r="A34" s="2">
        <f>A32+1</f>
        <v>18</v>
      </c>
      <c r="B34" t="s">
        <v>126</v>
      </c>
      <c r="I34" s="233" t="str">
        <f>"L"&amp;A9&amp;" + L"&amp;A10&amp;" + L"&amp;A11&amp;" + L"&amp;A12&amp;" + L"&amp;A18&amp;" + L"&amp;A24&amp;" +"</f>
        <v>L1 + L2 + L3 + L4 + L8 + L12 +</v>
      </c>
      <c r="K34" s="6">
        <f>K9+K10+K11+K12+K18+K24+K26+K28+K30+K31+K32</f>
        <v>7550496886.3311777</v>
      </c>
    </row>
    <row r="35" spans="1:11" ht="13">
      <c r="A35" s="2"/>
      <c r="I35" s="276" t="str">
        <f>"L"&amp;A26&amp;" + L"&amp;A28&amp;"+ L"&amp;A30&amp;"+ L"&amp;A31&amp;" + L"&amp;A32&amp;""</f>
        <v>L13 + L14+ L15+ L16 + L17</v>
      </c>
      <c r="K35" s="6"/>
    </row>
    <row r="37" spans="1:11" ht="13">
      <c r="A37" s="9" t="s">
        <v>127</v>
      </c>
      <c r="B37" s="10"/>
      <c r="C37" s="10"/>
      <c r="D37" s="10"/>
      <c r="E37" s="10"/>
      <c r="F37" s="10"/>
      <c r="G37" s="10"/>
      <c r="H37" s="8"/>
      <c r="I37" s="8"/>
      <c r="J37" s="8"/>
      <c r="K37" s="8"/>
    </row>
    <row r="39" spans="1:11" ht="13">
      <c r="A39" s="2">
        <f>A34+1</f>
        <v>19</v>
      </c>
      <c r="B39" s="233" t="s">
        <v>128</v>
      </c>
      <c r="I39" s="233" t="s">
        <v>129</v>
      </c>
      <c r="J39" s="233"/>
      <c r="K39" s="235">
        <f>H178</f>
        <v>564679964.6897186</v>
      </c>
    </row>
    <row r="40" spans="1:11" ht="13">
      <c r="A40" s="2">
        <f>A39+1</f>
        <v>20</v>
      </c>
      <c r="B40" s="12" t="s">
        <v>130</v>
      </c>
      <c r="I40" s="233" t="str">
        <f>"27-Allocators, Line "&amp;'27-Allocators'!A28&amp;""</f>
        <v>27-Allocators, Line 22</v>
      </c>
      <c r="K40" s="7">
        <f>'27-Allocators'!G28</f>
        <v>0.16919973215259246</v>
      </c>
    </row>
    <row r="41" spans="1:11" ht="13">
      <c r="A41" s="2">
        <f>A40+1</f>
        <v>21</v>
      </c>
      <c r="B41" t="s">
        <v>131</v>
      </c>
      <c r="I41" s="233" t="str">
        <f>"Line "&amp;A39&amp;" * Line "&amp;A40&amp;""</f>
        <v>Line 19 * Line 20</v>
      </c>
      <c r="K41" s="235">
        <f>K39*K40</f>
        <v>95543698.77743575</v>
      </c>
    </row>
    <row r="42" spans="1:11" ht="13">
      <c r="A42" s="2" t="s">
        <v>132</v>
      </c>
      <c r="H42" s="233"/>
      <c r="K42" s="7"/>
    </row>
    <row r="43" spans="1:11" ht="13">
      <c r="A43" s="2">
        <f>A41+1</f>
        <v>22</v>
      </c>
      <c r="B43" s="233" t="s">
        <v>133</v>
      </c>
      <c r="K43" s="7"/>
    </row>
    <row r="44" spans="1:11" ht="13">
      <c r="A44" s="2">
        <f t="shared" ref="A44:A56" si="1">A43+1</f>
        <v>23</v>
      </c>
      <c r="B44" s="12" t="s">
        <v>134</v>
      </c>
      <c r="E44" s="1"/>
      <c r="F44" s="1"/>
      <c r="G44" s="1"/>
      <c r="I44" s="233" t="str">
        <f>"Line "&amp;A45&amp;" + Line "&amp;A46&amp;"+ Line "&amp;A47&amp;""</f>
        <v>Line 24 + Line 25+ Line 26</v>
      </c>
      <c r="K44" s="6">
        <f>SUM(K45:K47)</f>
        <v>165580894.79871842</v>
      </c>
    </row>
    <row r="45" spans="1:11" ht="13">
      <c r="A45" s="2">
        <f t="shared" si="1"/>
        <v>24</v>
      </c>
      <c r="B45" s="188" t="s">
        <v>135</v>
      </c>
      <c r="E45" s="1"/>
      <c r="F45" s="1"/>
      <c r="G45" s="1"/>
      <c r="I45" s="233" t="s">
        <v>129</v>
      </c>
      <c r="J45" s="233"/>
      <c r="K45" s="235">
        <f t="shared" ref="K45:K51" si="2">H179</f>
        <v>164852653.41872308</v>
      </c>
    </row>
    <row r="46" spans="1:11" ht="13">
      <c r="A46" s="2">
        <f t="shared" si="1"/>
        <v>25</v>
      </c>
      <c r="B46" s="188" t="s">
        <v>136</v>
      </c>
      <c r="E46" s="1"/>
      <c r="F46" s="1"/>
      <c r="G46" s="1"/>
      <c r="I46" s="233" t="s">
        <v>129</v>
      </c>
      <c r="J46" s="233"/>
      <c r="K46" s="235">
        <f>H180</f>
        <v>590208.66499623645</v>
      </c>
    </row>
    <row r="47" spans="1:11" ht="13">
      <c r="A47" s="2">
        <f t="shared" si="1"/>
        <v>26</v>
      </c>
      <c r="B47" s="188" t="s">
        <v>137</v>
      </c>
      <c r="E47" s="1"/>
      <c r="F47" s="1"/>
      <c r="G47" s="1"/>
      <c r="I47" s="233" t="s">
        <v>129</v>
      </c>
      <c r="J47" s="233"/>
      <c r="K47" s="235">
        <f>H181</f>
        <v>138032.71499912202</v>
      </c>
    </row>
    <row r="48" spans="1:11" ht="13">
      <c r="A48" s="2">
        <f t="shared" si="1"/>
        <v>27</v>
      </c>
      <c r="B48" s="232" t="s">
        <v>138</v>
      </c>
      <c r="I48" s="233" t="s">
        <v>129</v>
      </c>
      <c r="J48" s="233"/>
      <c r="K48" s="235">
        <f t="shared" si="2"/>
        <v>2488675.3699690895</v>
      </c>
    </row>
    <row r="49" spans="1:11" ht="13">
      <c r="A49" s="2">
        <f t="shared" si="1"/>
        <v>28</v>
      </c>
      <c r="B49" s="12" t="s">
        <v>139</v>
      </c>
      <c r="I49" s="233" t="s">
        <v>129</v>
      </c>
      <c r="J49" s="233"/>
      <c r="K49" s="235">
        <f t="shared" si="2"/>
        <v>1863893.3299890426</v>
      </c>
    </row>
    <row r="50" spans="1:11" ht="13">
      <c r="A50" s="2">
        <f t="shared" si="1"/>
        <v>29</v>
      </c>
      <c r="B50" s="12" t="s">
        <v>140</v>
      </c>
      <c r="I50" s="233" t="s">
        <v>129</v>
      </c>
      <c r="J50" s="233"/>
      <c r="K50" s="235">
        <f t="shared" si="2"/>
        <v>14729116.484982263</v>
      </c>
    </row>
    <row r="51" spans="1:11" ht="13">
      <c r="A51" s="2">
        <f t="shared" si="1"/>
        <v>30</v>
      </c>
      <c r="B51" s="12" t="s">
        <v>141</v>
      </c>
      <c r="I51" s="233" t="s">
        <v>129</v>
      </c>
      <c r="J51" s="233"/>
      <c r="K51" s="235">
        <f t="shared" si="2"/>
        <v>34262.63999963869</v>
      </c>
    </row>
    <row r="52" spans="1:11" ht="13">
      <c r="A52" s="2">
        <f t="shared" si="1"/>
        <v>31</v>
      </c>
      <c r="B52" t="s">
        <v>142</v>
      </c>
      <c r="I52" s="233" t="str">
        <f>"Line "&amp;A44&amp;" + (Line "&amp;A48&amp;" to Line "&amp;A51&amp;")"</f>
        <v>Line 23 + (Line 27 to Line 30)</v>
      </c>
      <c r="K52" s="6">
        <f>K44+K48+K49+K50+K51</f>
        <v>184696842.62365845</v>
      </c>
    </row>
    <row r="53" spans="1:11" ht="13">
      <c r="A53" s="2">
        <f t="shared" si="1"/>
        <v>32</v>
      </c>
      <c r="B53" s="233" t="s">
        <v>143</v>
      </c>
      <c r="H53" s="233"/>
      <c r="I53" s="233" t="str">
        <f>"26-TaxRates, Line "&amp;'26-TaxRates'!A22&amp;""</f>
        <v>26-TaxRates, Line 16</v>
      </c>
      <c r="K53" s="114">
        <f>'26-TaxRates'!F22</f>
        <v>97704629.747915328</v>
      </c>
    </row>
    <row r="54" spans="1:11" ht="13">
      <c r="A54" s="2">
        <f t="shared" si="1"/>
        <v>33</v>
      </c>
      <c r="B54" t="s">
        <v>144</v>
      </c>
      <c r="I54" s="233" t="str">
        <f>"Line "&amp;A52&amp;" - Line "&amp;A53&amp;""</f>
        <v>Line 31 - Line 32</v>
      </c>
      <c r="K54" s="6">
        <f>K52-K53</f>
        <v>86992212.875743121</v>
      </c>
    </row>
    <row r="55" spans="1:11" ht="13">
      <c r="A55" s="2">
        <f>A54+1</f>
        <v>34</v>
      </c>
      <c r="B55" s="232" t="s">
        <v>145</v>
      </c>
      <c r="I55" s="233" t="str">
        <f>"27-Allocators, Line "&amp;'27-Allocators'!A15&amp;""</f>
        <v>27-Allocators, Line 9</v>
      </c>
      <c r="K55" s="7">
        <f>'27-Allocators'!G15</f>
        <v>6.4531762547854879E-2</v>
      </c>
    </row>
    <row r="56" spans="1:11" ht="13">
      <c r="A56" s="2">
        <f t="shared" si="1"/>
        <v>35</v>
      </c>
      <c r="B56" s="276" t="s">
        <v>133</v>
      </c>
      <c r="I56" s="233" t="str">
        <f>"Line "&amp;A54&amp;" * Line "&amp;A55&amp;""</f>
        <v>Line 33 * Line 34</v>
      </c>
      <c r="K56" s="235">
        <f>K54*K55</f>
        <v>5613760.8248098986</v>
      </c>
    </row>
    <row r="57" spans="1:11" ht="13">
      <c r="A57" s="2"/>
      <c r="K57" s="6"/>
    </row>
    <row r="58" spans="1:11" ht="13">
      <c r="A58" s="2">
        <f>A56+1</f>
        <v>36</v>
      </c>
      <c r="B58" s="233" t="s">
        <v>146</v>
      </c>
      <c r="H58" s="233" t="s">
        <v>147</v>
      </c>
      <c r="I58" s="233" t="str">
        <f>"Line "&amp;A41&amp;" + Line "&amp;A56&amp;""</f>
        <v>Line 21 + Line 35</v>
      </c>
      <c r="K58" s="6">
        <f>K41+K56</f>
        <v>101157459.60224564</v>
      </c>
    </row>
    <row r="60" spans="1:11" ht="13">
      <c r="A60" s="9" t="s">
        <v>148</v>
      </c>
      <c r="B60" s="10"/>
      <c r="C60" s="10"/>
      <c r="D60" s="10"/>
      <c r="E60" s="10"/>
      <c r="F60" s="10"/>
      <c r="G60" s="10"/>
      <c r="H60" s="8"/>
      <c r="I60" s="8"/>
      <c r="J60" s="8"/>
      <c r="K60" s="8"/>
    </row>
    <row r="61" spans="1:11" ht="13">
      <c r="A61" s="1"/>
      <c r="B61" s="233"/>
      <c r="C61" s="233"/>
      <c r="D61" s="233"/>
      <c r="E61" s="233"/>
      <c r="F61" s="233"/>
      <c r="G61" s="233"/>
      <c r="H61" s="233"/>
      <c r="I61" s="233"/>
      <c r="J61" s="233"/>
      <c r="K61" s="233"/>
    </row>
    <row r="62" spans="1:11">
      <c r="A62" s="234"/>
      <c r="B62" s="28" t="s">
        <v>149</v>
      </c>
      <c r="C62" s="233"/>
      <c r="D62" s="233"/>
      <c r="E62" s="233"/>
      <c r="F62" s="233"/>
      <c r="G62" s="233"/>
      <c r="H62" s="233"/>
      <c r="I62" s="233"/>
      <c r="J62" s="233"/>
      <c r="K62" s="233"/>
    </row>
    <row r="63" spans="1:11" ht="13">
      <c r="A63" s="2">
        <f>A58+1</f>
        <v>37</v>
      </c>
      <c r="B63" s="233" t="s">
        <v>150</v>
      </c>
      <c r="C63" s="233"/>
      <c r="D63" s="233"/>
      <c r="E63" s="233"/>
      <c r="F63" s="233"/>
      <c r="G63" s="233"/>
      <c r="H63" s="233"/>
      <c r="I63" s="233" t="str">
        <f>"5-ROR-1, Line "&amp;'5-ROR-1'!A12&amp;""</f>
        <v>5-ROR-1, Line 4</v>
      </c>
      <c r="J63" s="233"/>
      <c r="K63" s="235">
        <f>'5-ROR-1'!L12</f>
        <v>30488629477.244617</v>
      </c>
    </row>
    <row r="64" spans="1:11" ht="13">
      <c r="A64" s="2">
        <f>A63+1</f>
        <v>38</v>
      </c>
      <c r="B64" s="233" t="s">
        <v>151</v>
      </c>
      <c r="C64" s="233"/>
      <c r="D64" s="233"/>
      <c r="E64" s="233"/>
      <c r="F64" s="233"/>
      <c r="G64" s="233"/>
      <c r="H64" s="233"/>
      <c r="I64" s="233" t="str">
        <f>"5-ROR-1, Line "&amp;'5-ROR-1'!A21&amp;""</f>
        <v>5-ROR-1, Line 11</v>
      </c>
      <c r="J64" s="233"/>
      <c r="K64" s="235">
        <f>'5-ROR-1'!L21</f>
        <v>1446108809</v>
      </c>
    </row>
    <row r="65" spans="1:11" ht="13">
      <c r="A65" s="2">
        <f>A64+1</f>
        <v>39</v>
      </c>
      <c r="B65" s="233" t="s">
        <v>152</v>
      </c>
      <c r="C65" s="233"/>
      <c r="D65" s="233"/>
      <c r="E65" s="233"/>
      <c r="F65" s="233"/>
      <c r="G65" s="233"/>
      <c r="I65" s="233" t="str">
        <f>"5-ROR-1, Line "&amp;'5-ROR-1'!A23&amp;""</f>
        <v>5-ROR-1, Line 12</v>
      </c>
      <c r="J65" s="233"/>
      <c r="K65" s="203">
        <f>'5-ROR-1'!L23</f>
        <v>4.7431086073557768E-2</v>
      </c>
    </row>
    <row r="66" spans="1:11" ht="13">
      <c r="A66" s="2"/>
      <c r="B66" s="233"/>
      <c r="C66" s="233"/>
      <c r="D66" s="233"/>
      <c r="E66" s="233"/>
      <c r="F66" s="233"/>
      <c r="G66" s="233"/>
      <c r="I66" s="233"/>
      <c r="J66" s="233"/>
      <c r="K66" s="203"/>
    </row>
    <row r="67" spans="1:11" ht="13">
      <c r="A67" s="2"/>
      <c r="B67" s="28" t="s">
        <v>153</v>
      </c>
      <c r="C67" s="233"/>
      <c r="D67" s="233"/>
      <c r="E67" s="233"/>
      <c r="F67" s="233"/>
      <c r="G67" s="233"/>
      <c r="H67" s="233"/>
      <c r="I67" s="233"/>
      <c r="J67" s="233"/>
      <c r="K67" s="233"/>
    </row>
    <row r="68" spans="1:11" ht="13">
      <c r="A68" s="2">
        <f>A65+1</f>
        <v>40</v>
      </c>
      <c r="B68" s="233" t="s">
        <v>154</v>
      </c>
      <c r="C68" s="233"/>
      <c r="D68" s="233"/>
      <c r="E68" s="233"/>
      <c r="F68" s="233"/>
      <c r="G68" s="233"/>
      <c r="H68" s="233"/>
      <c r="I68" s="233" t="str">
        <f>"5-ROR-1, Line "&amp;'5-ROR-1'!A29&amp;""</f>
        <v>5-ROR-1, Line 16</v>
      </c>
      <c r="J68" s="233"/>
      <c r="K68" s="235">
        <f>'5-ROR-1'!L29</f>
        <v>2110208661.6840537</v>
      </c>
    </row>
    <row r="69" spans="1:11" ht="13">
      <c r="A69" s="2">
        <f>A68+1</f>
        <v>41</v>
      </c>
      <c r="B69" s="233" t="s">
        <v>155</v>
      </c>
      <c r="C69" s="233"/>
      <c r="D69" s="233"/>
      <c r="E69" s="233"/>
      <c r="F69" s="233"/>
      <c r="G69" s="233"/>
      <c r="H69" s="233"/>
      <c r="I69" s="233" t="str">
        <f>"5-ROR-1, Line "&amp;'5-ROR-1'!A35&amp;""</f>
        <v>5-ROR-1, Line 20</v>
      </c>
      <c r="J69" s="233"/>
      <c r="K69" s="235">
        <f>'5-ROR-1'!L35</f>
        <v>140517760.61171782</v>
      </c>
    </row>
    <row r="70" spans="1:11" ht="13">
      <c r="A70" s="2">
        <f>A69+1</f>
        <v>42</v>
      </c>
      <c r="B70" s="233" t="s">
        <v>156</v>
      </c>
      <c r="C70" s="233"/>
      <c r="D70" s="233"/>
      <c r="E70" s="233"/>
      <c r="F70" s="233"/>
      <c r="G70" s="233"/>
      <c r="I70" s="233" t="str">
        <f>"5-ROR-1, Line "&amp;'5-ROR-1'!A37&amp;""</f>
        <v>5-ROR-1, Line 21</v>
      </c>
      <c r="J70" s="233"/>
      <c r="K70" s="203">
        <f>'5-ROR-1'!L37</f>
        <v>6.6589509920586487E-2</v>
      </c>
    </row>
    <row r="71" spans="1:11" ht="13">
      <c r="A71" s="2"/>
      <c r="B71" s="233"/>
      <c r="C71" s="233"/>
      <c r="D71" s="233"/>
      <c r="E71" s="233"/>
      <c r="F71" s="233"/>
      <c r="G71" s="233"/>
      <c r="I71" s="233"/>
      <c r="J71" s="233"/>
      <c r="K71" s="203"/>
    </row>
    <row r="72" spans="1:11" ht="13">
      <c r="A72" s="2"/>
      <c r="B72" s="28" t="s">
        <v>157</v>
      </c>
      <c r="C72" s="233"/>
      <c r="D72" s="233"/>
      <c r="E72" s="233"/>
      <c r="F72" s="233"/>
      <c r="G72" s="233"/>
      <c r="H72" s="233"/>
      <c r="I72" s="233"/>
      <c r="J72" s="233"/>
      <c r="K72" s="233"/>
    </row>
    <row r="73" spans="1:11" ht="13">
      <c r="A73" s="2">
        <f>A70+1</f>
        <v>43</v>
      </c>
      <c r="B73" s="233" t="s">
        <v>158</v>
      </c>
      <c r="C73" s="233"/>
      <c r="D73" s="233"/>
      <c r="E73" s="233"/>
      <c r="F73" s="233"/>
      <c r="G73" s="233"/>
      <c r="H73" s="233"/>
      <c r="I73" s="233" t="str">
        <f>"5-ROR-1, Line "&amp;'5-ROR-1'!A45&amp;""</f>
        <v>5-ROR-1, Line 27</v>
      </c>
      <c r="J73" s="233"/>
      <c r="K73" s="235">
        <f>'5-ROR-1'!L45</f>
        <v>20631301371.57851</v>
      </c>
    </row>
    <row r="74" spans="1:11" ht="13">
      <c r="A74" s="2"/>
      <c r="B74" s="233"/>
      <c r="C74" s="233"/>
      <c r="D74" s="233"/>
      <c r="E74" s="233"/>
      <c r="F74" s="233"/>
      <c r="G74" s="233"/>
      <c r="H74" s="233"/>
      <c r="I74" s="599"/>
      <c r="J74" s="233"/>
      <c r="K74" s="233"/>
    </row>
    <row r="75" spans="1:11" ht="13">
      <c r="A75" s="2">
        <f>A73+1</f>
        <v>44</v>
      </c>
      <c r="B75" s="233" t="s">
        <v>159</v>
      </c>
      <c r="C75" s="233"/>
      <c r="D75" s="233"/>
      <c r="E75" s="233"/>
      <c r="F75" s="233"/>
      <c r="G75" s="233"/>
      <c r="H75" s="233"/>
      <c r="I75" s="233" t="str">
        <f>"Line "&amp;A63&amp;" + Line "&amp;A68&amp;" + Line "&amp;A73&amp;""</f>
        <v>Line 37 + Line 40 + Line 43</v>
      </c>
      <c r="J75" s="233"/>
      <c r="K75" s="235">
        <f>K63+K68+K73</f>
        <v>53230139510.507187</v>
      </c>
    </row>
    <row r="76" spans="1:11" ht="13">
      <c r="A76" s="2"/>
      <c r="B76" s="233"/>
      <c r="C76" s="233"/>
      <c r="D76" s="233"/>
      <c r="E76" s="233"/>
      <c r="F76" s="233"/>
      <c r="G76" s="233"/>
      <c r="H76" s="233"/>
      <c r="I76" s="233"/>
      <c r="J76" s="233"/>
      <c r="K76" s="235"/>
    </row>
    <row r="77" spans="1:11" ht="13">
      <c r="A77" s="2" t="s">
        <v>160</v>
      </c>
      <c r="B77" s="233" t="s">
        <v>161</v>
      </c>
      <c r="C77" s="233"/>
      <c r="D77" s="233"/>
      <c r="E77" s="233"/>
      <c r="F77" s="233"/>
      <c r="G77" s="233"/>
      <c r="H77" s="233"/>
      <c r="I77" s="233"/>
      <c r="J77" s="233"/>
      <c r="K77" s="258">
        <v>0.47499999999999998</v>
      </c>
    </row>
    <row r="78" spans="1:11" ht="13">
      <c r="A78" s="2"/>
      <c r="B78" s="232"/>
      <c r="C78" s="233"/>
      <c r="D78" s="233"/>
      <c r="E78" s="233"/>
      <c r="F78" s="233"/>
      <c r="G78" s="233"/>
      <c r="I78" s="233"/>
      <c r="J78" s="233"/>
      <c r="K78" s="235"/>
    </row>
    <row r="79" spans="1:11" ht="13">
      <c r="A79" s="2"/>
      <c r="B79" s="28" t="s">
        <v>162</v>
      </c>
      <c r="C79" s="233"/>
      <c r="D79" s="233"/>
      <c r="E79" s="233"/>
      <c r="F79" s="233"/>
      <c r="G79" s="233"/>
      <c r="H79" s="233"/>
      <c r="I79" s="233"/>
      <c r="J79" s="233"/>
      <c r="K79" s="233"/>
    </row>
    <row r="80" spans="1:11" ht="13">
      <c r="A80" s="2">
        <f>A75+1</f>
        <v>45</v>
      </c>
      <c r="B80" s="233" t="s">
        <v>163</v>
      </c>
      <c r="C80" s="233"/>
      <c r="D80" s="233"/>
      <c r="E80" s="233"/>
      <c r="F80" s="233"/>
      <c r="G80" s="233"/>
      <c r="H80" s="233"/>
      <c r="I80" s="233" t="str">
        <f>"100% - (Line "&amp;A81&amp;" + Line "&amp;A82&amp;")"</f>
        <v>100% - (Line 46 + Line 47)</v>
      </c>
      <c r="J80" s="233"/>
      <c r="K80" s="203">
        <f>1-(K81+K82)</f>
        <v>0.48535688275309674</v>
      </c>
    </row>
    <row r="81" spans="1:11" ht="13">
      <c r="A81" s="2">
        <f>A80+1</f>
        <v>46</v>
      </c>
      <c r="B81" s="233" t="s">
        <v>164</v>
      </c>
      <c r="C81" s="233"/>
      <c r="D81" s="233"/>
      <c r="E81" s="233"/>
      <c r="F81" s="233"/>
      <c r="G81" s="233"/>
      <c r="H81" s="233"/>
      <c r="I81" s="233" t="str">
        <f>"Line "&amp;A68&amp;" / Line "&amp;A75&amp;""</f>
        <v>Line 40 / Line 44</v>
      </c>
      <c r="J81" s="233"/>
      <c r="K81" s="203">
        <f>K68/K75</f>
        <v>3.9643117246903253E-2</v>
      </c>
    </row>
    <row r="82" spans="1:11" ht="13">
      <c r="A82" s="2">
        <f>A81+1</f>
        <v>47</v>
      </c>
      <c r="B82" s="233" t="s">
        <v>165</v>
      </c>
      <c r="C82" s="233"/>
      <c r="D82" s="233"/>
      <c r="E82" s="233"/>
      <c r="F82" s="233"/>
      <c r="G82" s="233"/>
      <c r="H82" s="233"/>
      <c r="I82" s="233" t="str">
        <f>"Max Line "&amp;A77&amp;" or (Line "&amp;A73&amp;" / Line "&amp;A75&amp;")"</f>
        <v>Max Line 44a or (Line 43 / Line 44)</v>
      </c>
      <c r="J82" s="233"/>
      <c r="K82" s="29">
        <f>MAX((K73/K75),K77)</f>
        <v>0.47499999999999998</v>
      </c>
    </row>
    <row r="83" spans="1:11" ht="13">
      <c r="A83" s="2"/>
      <c r="B83" s="233"/>
      <c r="C83" s="233"/>
      <c r="D83" s="233"/>
      <c r="E83" s="233"/>
      <c r="F83" s="233"/>
      <c r="G83" s="233"/>
      <c r="H83" s="233"/>
      <c r="I83" s="233" t="str">
        <f>"Line "&amp;A80&amp;" + Line "&amp;A81&amp;"+ Line "&amp;A82&amp;""</f>
        <v>Line 45 + Line 46+ Line 47</v>
      </c>
      <c r="J83" s="233"/>
      <c r="K83" s="203">
        <f>SUM(K80:K82)</f>
        <v>1</v>
      </c>
    </row>
    <row r="84" spans="1:11" ht="13">
      <c r="A84" s="2"/>
      <c r="B84" s="28" t="s">
        <v>166</v>
      </c>
      <c r="C84" s="233"/>
      <c r="D84" s="233"/>
      <c r="E84" s="233"/>
      <c r="F84" s="233"/>
      <c r="G84" s="233"/>
      <c r="H84" s="233"/>
      <c r="I84" s="233"/>
      <c r="J84" s="233"/>
      <c r="K84" s="203"/>
    </row>
    <row r="85" spans="1:11" ht="13">
      <c r="A85" s="2">
        <f>A82+1</f>
        <v>48</v>
      </c>
      <c r="B85" s="233" t="s">
        <v>152</v>
      </c>
      <c r="C85" s="233"/>
      <c r="D85" s="233"/>
      <c r="E85" s="233"/>
      <c r="F85" s="233"/>
      <c r="G85" s="233"/>
      <c r="I85" s="233" t="str">
        <f>"Line "&amp;A65&amp;""</f>
        <v>Line 39</v>
      </c>
      <c r="J85" s="233"/>
      <c r="K85" s="203">
        <f>K65</f>
        <v>4.7431086073557768E-2</v>
      </c>
    </row>
    <row r="86" spans="1:11" ht="13">
      <c r="A86" s="2">
        <f>A85+1</f>
        <v>49</v>
      </c>
      <c r="B86" s="233" t="s">
        <v>156</v>
      </c>
      <c r="C86" s="233"/>
      <c r="D86" s="233"/>
      <c r="E86" s="233"/>
      <c r="F86" s="233"/>
      <c r="G86" s="233"/>
      <c r="I86" s="233" t="str">
        <f>"Line "&amp;A70&amp;""</f>
        <v>Line 42</v>
      </c>
      <c r="J86" s="233"/>
      <c r="K86" s="203">
        <f>K70</f>
        <v>6.6589509920586487E-2</v>
      </c>
    </row>
    <row r="87" spans="1:11" ht="13">
      <c r="A87" s="2">
        <f>A86+1</f>
        <v>50</v>
      </c>
      <c r="B87" s="233" t="s">
        <v>167</v>
      </c>
      <c r="C87" s="233"/>
      <c r="D87" s="233"/>
      <c r="E87" s="233"/>
      <c r="F87" s="233"/>
      <c r="G87" s="233"/>
      <c r="H87" s="233" t="s">
        <v>168</v>
      </c>
      <c r="I87" s="233" t="s">
        <v>169</v>
      </c>
      <c r="J87" s="233"/>
      <c r="K87" s="119">
        <v>0.10299999999999999</v>
      </c>
    </row>
    <row r="88" spans="1:11" ht="13">
      <c r="A88" s="2"/>
      <c r="B88" s="233"/>
      <c r="C88" s="233"/>
      <c r="D88" s="233"/>
      <c r="E88" s="233"/>
      <c r="F88" s="233"/>
      <c r="G88" s="233"/>
      <c r="I88" s="279"/>
      <c r="J88" s="233"/>
      <c r="K88" s="203"/>
    </row>
    <row r="89" spans="1:11" ht="13">
      <c r="A89" s="2"/>
      <c r="B89" s="28" t="s">
        <v>170</v>
      </c>
      <c r="C89" s="233"/>
      <c r="D89" s="233"/>
      <c r="E89" s="233"/>
      <c r="F89" s="233"/>
      <c r="G89" s="233"/>
      <c r="H89" s="233"/>
      <c r="I89" s="233"/>
      <c r="J89" s="233"/>
      <c r="K89" s="233"/>
    </row>
    <row r="90" spans="1:11" ht="13">
      <c r="A90" s="2">
        <f>A87+1</f>
        <v>51</v>
      </c>
      <c r="B90" s="233" t="s">
        <v>171</v>
      </c>
      <c r="C90" s="233"/>
      <c r="D90" s="233"/>
      <c r="E90" s="233"/>
      <c r="F90" s="233"/>
      <c r="G90" s="233"/>
      <c r="I90" s="233" t="str">
        <f>"Line "&amp;A65&amp;" * Line "&amp;A80&amp;""</f>
        <v>Line 39 * Line 45</v>
      </c>
      <c r="J90" s="233"/>
      <c r="K90" s="203">
        <f>K65*K80</f>
        <v>2.3021004082255818E-2</v>
      </c>
    </row>
    <row r="91" spans="1:11" ht="13">
      <c r="A91" s="2">
        <f>A90+1</f>
        <v>52</v>
      </c>
      <c r="B91" s="233" t="s">
        <v>172</v>
      </c>
      <c r="C91" s="233"/>
      <c r="D91" s="233"/>
      <c r="E91" s="233"/>
      <c r="F91" s="233"/>
      <c r="G91" s="233"/>
      <c r="I91" s="233" t="str">
        <f>"Line "&amp;A70&amp;" * Line "&amp;A81&amp;""</f>
        <v>Line 42 * Line 46</v>
      </c>
      <c r="J91" s="233"/>
      <c r="K91" s="203">
        <f>K70*K81</f>
        <v>2.6398157491956376E-3</v>
      </c>
    </row>
    <row r="92" spans="1:11" ht="13">
      <c r="A92" s="2">
        <f>A91+1</f>
        <v>53</v>
      </c>
      <c r="B92" s="233" t="s">
        <v>173</v>
      </c>
      <c r="C92" s="233"/>
      <c r="D92" s="233"/>
      <c r="E92" s="233"/>
      <c r="F92" s="233"/>
      <c r="G92" s="233"/>
      <c r="I92" s="233" t="str">
        <f>"Line "&amp;A82&amp;" * Line "&amp;A87&amp;""</f>
        <v>Line 47 * Line 50</v>
      </c>
      <c r="J92" s="233"/>
      <c r="K92" s="29">
        <f>K82*K87</f>
        <v>4.8924999999999996E-2</v>
      </c>
    </row>
    <row r="93" spans="1:11" ht="13">
      <c r="A93" s="2">
        <f>A92+1</f>
        <v>54</v>
      </c>
      <c r="B93" s="232" t="s">
        <v>174</v>
      </c>
      <c r="C93" s="233"/>
      <c r="D93" s="233"/>
      <c r="E93" s="233"/>
      <c r="F93" s="233"/>
      <c r="G93" s="233"/>
      <c r="I93" s="233" t="str">
        <f>"Line "&amp;A90&amp;" + Line "&amp;A91&amp;" + Line "&amp;A92&amp;""</f>
        <v>Line 51 + Line 52 + Line 53</v>
      </c>
      <c r="J93" s="233"/>
      <c r="K93" s="203">
        <f>SUM(K90:K92)</f>
        <v>7.4585819831451447E-2</v>
      </c>
    </row>
    <row r="94" spans="1:11" ht="13">
      <c r="A94" s="2"/>
      <c r="B94" s="232"/>
      <c r="C94" s="233"/>
      <c r="D94" s="233"/>
      <c r="E94" s="233"/>
      <c r="F94" s="233"/>
      <c r="G94" s="233"/>
      <c r="I94" s="233"/>
      <c r="J94" s="233"/>
      <c r="K94" s="989"/>
    </row>
    <row r="95" spans="1:11" ht="13">
      <c r="A95" s="2">
        <f>A93+1</f>
        <v>55</v>
      </c>
      <c r="B95" s="276" t="s">
        <v>175</v>
      </c>
      <c r="C95" s="233"/>
      <c r="D95" s="233"/>
      <c r="E95" s="233"/>
      <c r="F95" s="233"/>
      <c r="G95" s="233"/>
      <c r="H95" s="233" t="s">
        <v>176</v>
      </c>
      <c r="I95" s="233" t="str">
        <f>"Line "&amp;A91&amp;" + Line "&amp;A92&amp;""</f>
        <v>Line 52 + Line 53</v>
      </c>
      <c r="J95" s="233"/>
      <c r="K95" s="203">
        <f>K91+K92</f>
        <v>5.1564815749195636E-2</v>
      </c>
    </row>
    <row r="96" spans="1:11" ht="13">
      <c r="A96" s="2"/>
      <c r="B96" s="233"/>
      <c r="C96" s="233"/>
      <c r="D96" s="233"/>
      <c r="E96" s="233"/>
      <c r="F96" s="233"/>
      <c r="G96" s="233"/>
      <c r="I96" s="233"/>
      <c r="J96" s="233"/>
      <c r="K96" s="989"/>
    </row>
    <row r="97" spans="1:11" ht="13">
      <c r="A97" s="2">
        <f>A95+1</f>
        <v>56</v>
      </c>
      <c r="B97" s="233" t="s">
        <v>177</v>
      </c>
      <c r="C97" s="233"/>
      <c r="D97" s="233"/>
      <c r="E97" s="233"/>
      <c r="F97" s="233"/>
      <c r="G97" s="233"/>
      <c r="I97" s="233" t="str">
        <f>"Line "&amp;A34&amp;" * Line "&amp;A93&amp;""</f>
        <v>Line 18 * Line 54</v>
      </c>
      <c r="J97" s="233"/>
      <c r="K97" s="235">
        <f>K34*K93</f>
        <v>563160000.40183234</v>
      </c>
    </row>
    <row r="98" spans="1:11">
      <c r="A98" s="234"/>
      <c r="B98" s="233"/>
      <c r="C98" s="233"/>
      <c r="D98" s="233"/>
      <c r="E98" s="233"/>
      <c r="F98" s="233"/>
      <c r="G98" s="233"/>
      <c r="H98" s="233"/>
      <c r="I98" s="233"/>
      <c r="J98" s="233"/>
      <c r="K98" s="233"/>
    </row>
    <row r="99" spans="1:11">
      <c r="A99" s="233"/>
      <c r="B99" s="233"/>
      <c r="C99" s="233"/>
      <c r="D99" s="233"/>
      <c r="E99" s="233"/>
      <c r="F99" s="233"/>
      <c r="G99" s="233"/>
      <c r="H99" s="233"/>
      <c r="I99" s="233"/>
      <c r="J99" s="233"/>
      <c r="K99" s="233"/>
    </row>
    <row r="100" spans="1:11" ht="13">
      <c r="A100" s="660" t="s">
        <v>178</v>
      </c>
      <c r="B100" s="10"/>
      <c r="C100" s="10"/>
      <c r="D100" s="10"/>
      <c r="E100" s="10"/>
      <c r="F100" s="10"/>
      <c r="G100" s="10"/>
      <c r="H100" s="8"/>
      <c r="I100" s="8"/>
      <c r="J100" s="8"/>
      <c r="K100" s="8"/>
    </row>
    <row r="102" spans="1:11" ht="13">
      <c r="A102" s="2">
        <f>A97+1</f>
        <v>57</v>
      </c>
      <c r="B102" t="s">
        <v>179</v>
      </c>
      <c r="I102" t="str">
        <f>"26-Tax Rates, Line "&amp;'26-TaxRates'!A7&amp;""</f>
        <v>26-Tax Rates, Line 1</v>
      </c>
      <c r="K102" s="7">
        <f>'26-TaxRates'!D7</f>
        <v>0.21</v>
      </c>
    </row>
    <row r="103" spans="1:11" ht="13">
      <c r="A103" s="2">
        <f>A102+1</f>
        <v>58</v>
      </c>
      <c r="B103" s="233" t="s">
        <v>180</v>
      </c>
      <c r="I103" t="str">
        <f>"26-Tax Rates, Line "&amp;'26-TaxRates'!A14&amp;""</f>
        <v>26-Tax Rates, Line 8</v>
      </c>
      <c r="K103" s="7">
        <f>'26-TaxRates'!D14</f>
        <v>8.8400000000000006E-2</v>
      </c>
    </row>
    <row r="104" spans="1:11" ht="13">
      <c r="A104" s="2">
        <f>A103+1</f>
        <v>59</v>
      </c>
      <c r="B104" s="233" t="s">
        <v>181</v>
      </c>
      <c r="H104" s="31" t="s">
        <v>182</v>
      </c>
      <c r="I104" s="233" t="str">
        <f>"(L"&amp;A102&amp;" + L"&amp;A103&amp;") - (L"&amp;A102&amp;" * L"&amp;A103&amp;")"</f>
        <v>(L57 + L58) - (L57 * L58)</v>
      </c>
      <c r="K104" s="7">
        <f>(K102+K103)-(K102*K103)</f>
        <v>0.27983599999999997</v>
      </c>
    </row>
    <row r="105" spans="1:11" ht="13">
      <c r="A105" s="2"/>
      <c r="K105" s="7"/>
    </row>
    <row r="106" spans="1:11" ht="13">
      <c r="A106" s="2"/>
      <c r="B106" s="28" t="s">
        <v>183</v>
      </c>
      <c r="K106" s="7"/>
    </row>
    <row r="107" spans="1:11" ht="13">
      <c r="A107" s="2">
        <f>A104+1</f>
        <v>60</v>
      </c>
      <c r="B107" s="276" t="s">
        <v>184</v>
      </c>
      <c r="H107" s="233"/>
      <c r="I107" s="231" t="s">
        <v>185</v>
      </c>
      <c r="K107" s="6">
        <f>-'9-ADIT-2'!I49</f>
        <v>-6318605</v>
      </c>
    </row>
    <row r="108" spans="1:11" ht="13">
      <c r="A108" s="2">
        <f>A107+1</f>
        <v>61</v>
      </c>
      <c r="B108" s="233" t="s">
        <v>186</v>
      </c>
      <c r="C108" s="835"/>
      <c r="D108" s="835"/>
      <c r="E108" s="835"/>
      <c r="H108" s="233" t="s">
        <v>187</v>
      </c>
      <c r="I108" s="240" t="s">
        <v>453</v>
      </c>
      <c r="K108" s="59"/>
    </row>
    <row r="109" spans="1:11" ht="13">
      <c r="A109" s="2">
        <f t="shared" ref="A109:A110" si="3">A108+1</f>
        <v>62</v>
      </c>
      <c r="B109" s="233" t="s">
        <v>189</v>
      </c>
      <c r="C109" s="835"/>
      <c r="D109" s="835"/>
      <c r="E109" s="835"/>
      <c r="G109" s="835"/>
      <c r="H109" s="835"/>
      <c r="I109" s="835"/>
      <c r="J109" s="835"/>
      <c r="K109" s="1019"/>
    </row>
    <row r="110" spans="1:11" ht="13">
      <c r="A110" s="2">
        <f t="shared" si="3"/>
        <v>63</v>
      </c>
      <c r="B110" s="232" t="s">
        <v>190</v>
      </c>
      <c r="I110" s="233" t="s">
        <v>191</v>
      </c>
      <c r="K110" s="6">
        <f>SUM(K107:K108)</f>
        <v>-6318605</v>
      </c>
    </row>
    <row r="111" spans="1:11" ht="13">
      <c r="A111" s="603"/>
    </row>
    <row r="112" spans="1:11" ht="13">
      <c r="A112" s="2">
        <f>A110+1</f>
        <v>64</v>
      </c>
      <c r="B112" s="233" t="s">
        <v>192</v>
      </c>
      <c r="I112" t="str">
        <f>"Formula on Line "&amp;A114&amp;""</f>
        <v>Formula on Line 65</v>
      </c>
      <c r="K112" s="6">
        <f>(((K34*K95) + K121)*(K104/(1-K104)))+(K110/(1-K104))</f>
        <v>143143133.98905733</v>
      </c>
    </row>
    <row r="113" spans="1:13" ht="13">
      <c r="A113" s="2"/>
    </row>
    <row r="114" spans="1:13" ht="13">
      <c r="A114" s="2">
        <f>A112+1</f>
        <v>65</v>
      </c>
      <c r="B114" s="233" t="s">
        <v>193</v>
      </c>
      <c r="C114" s="233"/>
      <c r="D114" s="233"/>
      <c r="E114" s="233"/>
      <c r="F114" s="233"/>
      <c r="G114" s="233"/>
    </row>
    <row r="115" spans="1:13">
      <c r="A115" s="37"/>
      <c r="I115" s="233"/>
    </row>
    <row r="116" spans="1:13">
      <c r="A116" s="37"/>
      <c r="C116" t="s">
        <v>194</v>
      </c>
    </row>
    <row r="117" spans="1:13">
      <c r="A117" s="37"/>
      <c r="C117" s="12" t="s">
        <v>195</v>
      </c>
      <c r="I117" s="233" t="str">
        <f>"Line "&amp;A34&amp;""</f>
        <v>Line 18</v>
      </c>
    </row>
    <row r="118" spans="1:13">
      <c r="A118" s="37"/>
      <c r="C118" s="232" t="s">
        <v>196</v>
      </c>
      <c r="I118" s="233" t="str">
        <f>"Line "&amp;A95&amp;""</f>
        <v>Line 55</v>
      </c>
    </row>
    <row r="119" spans="1:13">
      <c r="A119" s="37"/>
      <c r="C119" s="12" t="s">
        <v>197</v>
      </c>
      <c r="I119" s="233" t="str">
        <f>"Line "&amp;A104&amp;""</f>
        <v>Line 59</v>
      </c>
    </row>
    <row r="120" spans="1:13">
      <c r="A120" s="37"/>
      <c r="C120" s="12" t="s">
        <v>198</v>
      </c>
      <c r="I120" s="233" t="str">
        <f>"Line "&amp;A110&amp;""</f>
        <v>Line 63</v>
      </c>
    </row>
    <row r="121" spans="1:13">
      <c r="A121" s="37"/>
      <c r="C121" s="232" t="s">
        <v>199</v>
      </c>
      <c r="H121" s="231" t="s">
        <v>200</v>
      </c>
      <c r="I121" s="240" t="s">
        <v>188</v>
      </c>
      <c r="K121" s="253">
        <v>1621643</v>
      </c>
      <c r="M121" s="343"/>
    </row>
    <row r="122" spans="1:13">
      <c r="H122" s="25"/>
    </row>
    <row r="123" spans="1:13" ht="13">
      <c r="A123" s="660" t="s">
        <v>201</v>
      </c>
      <c r="B123" s="10"/>
      <c r="C123" s="10"/>
      <c r="D123" s="10"/>
      <c r="E123" s="10"/>
      <c r="F123" s="10"/>
      <c r="G123" s="10"/>
      <c r="H123" s="8"/>
      <c r="I123" s="8"/>
      <c r="J123" s="8"/>
      <c r="K123" s="8"/>
    </row>
    <row r="125" spans="1:13">
      <c r="B125" s="28" t="s">
        <v>202</v>
      </c>
    </row>
    <row r="126" spans="1:13" ht="13">
      <c r="A126" s="2">
        <f>A114+1</f>
        <v>66</v>
      </c>
      <c r="B126" t="s">
        <v>203</v>
      </c>
      <c r="H126" s="12"/>
      <c r="I126" t="str">
        <f>"19-OandM, Line "&amp;'19-OandM'!A124&amp;", Col. 6"</f>
        <v>19-OandM, Line 91, Col. 6</v>
      </c>
      <c r="K126" s="6">
        <f>'19-OandM'!G124</f>
        <v>147734144.12607563</v>
      </c>
    </row>
    <row r="127" spans="1:13" ht="13">
      <c r="A127" s="2">
        <f t="shared" ref="A127:A142" si="4">A126+1</f>
        <v>67</v>
      </c>
      <c r="B127" s="233" t="s">
        <v>204</v>
      </c>
      <c r="H127" s="12"/>
      <c r="I127" t="str">
        <f>"20-AandG, Line "&amp;'20-AandG'!A34&amp;""</f>
        <v>20-AandG, Line 23</v>
      </c>
      <c r="K127" s="6">
        <f>'20-AandG'!F34</f>
        <v>83051337.791997433</v>
      </c>
    </row>
    <row r="128" spans="1:13" ht="13">
      <c r="A128" s="2">
        <f t="shared" si="4"/>
        <v>68</v>
      </c>
      <c r="B128" t="s">
        <v>205</v>
      </c>
      <c r="H128" s="12"/>
      <c r="I128" s="233" t="str">
        <f>"22-NUCs, Line "&amp;'22-NUCs'!A17&amp;""</f>
        <v>22-NUCs, Line 8</v>
      </c>
      <c r="K128" s="6">
        <f>'22-NUCs'!E17</f>
        <v>8487510.6330953706</v>
      </c>
    </row>
    <row r="129" spans="1:11" ht="13">
      <c r="A129" s="2">
        <f t="shared" si="4"/>
        <v>69</v>
      </c>
      <c r="B129" s="233" t="s">
        <v>206</v>
      </c>
      <c r="H129" s="12"/>
      <c r="I129" t="str">
        <f>"17-Depreciation, Line "&amp;'17-Depreciation'!A145&amp;""</f>
        <v>17-Depreciation, Line 70</v>
      </c>
      <c r="K129" s="6">
        <f>'17-Depreciation'!F145</f>
        <v>358133993.86154509</v>
      </c>
    </row>
    <row r="130" spans="1:11" ht="13">
      <c r="A130" s="2">
        <f t="shared" si="4"/>
        <v>70</v>
      </c>
      <c r="B130" s="233" t="s">
        <v>207</v>
      </c>
      <c r="H130" s="12"/>
      <c r="I130" t="str">
        <f>"12-AbandonedPlant, Line "&amp;'12-AbandonedPlant'!A18&amp;""</f>
        <v>12-AbandonedPlant, Line 1</v>
      </c>
      <c r="K130" s="6">
        <f>'12-AbandonedPlant'!G18</f>
        <v>0</v>
      </c>
    </row>
    <row r="131" spans="1:11" ht="13">
      <c r="A131" s="2">
        <f t="shared" si="4"/>
        <v>71</v>
      </c>
      <c r="B131" s="233" t="s">
        <v>146</v>
      </c>
      <c r="H131" s="12"/>
      <c r="I131" t="str">
        <f>"Line "&amp;A58&amp;""</f>
        <v>Line 36</v>
      </c>
      <c r="K131" s="6">
        <f>K58</f>
        <v>101157459.60224564</v>
      </c>
    </row>
    <row r="132" spans="1:11" ht="13">
      <c r="A132" s="2">
        <f t="shared" si="4"/>
        <v>72</v>
      </c>
      <c r="B132" t="s">
        <v>208</v>
      </c>
      <c r="H132" s="232" t="s">
        <v>118</v>
      </c>
      <c r="I132" t="str">
        <f>"21-Revenue Credits, Line "&amp;'21-RevenueCredits'!A284&amp;""</f>
        <v>21-Revenue Credits, Line 44</v>
      </c>
      <c r="K132" s="6">
        <f>-'21-RevenueCredits'!E284</f>
        <v>-59222843.150054194</v>
      </c>
    </row>
    <row r="133" spans="1:11" ht="13">
      <c r="A133" s="2">
        <f t="shared" si="4"/>
        <v>73</v>
      </c>
      <c r="B133" t="s">
        <v>209</v>
      </c>
      <c r="H133" s="12"/>
      <c r="I133" t="str">
        <f>"Line "&amp;A97&amp;""</f>
        <v>Line 56</v>
      </c>
      <c r="K133" s="6">
        <f>K97</f>
        <v>563160000.40183234</v>
      </c>
    </row>
    <row r="134" spans="1:11" ht="13">
      <c r="A134" s="2">
        <f t="shared" si="4"/>
        <v>74</v>
      </c>
      <c r="B134" t="s">
        <v>210</v>
      </c>
      <c r="H134" s="12"/>
      <c r="I134" t="str">
        <f>"Line "&amp;A112&amp;""</f>
        <v>Line 64</v>
      </c>
      <c r="K134" s="235">
        <f>K112</f>
        <v>143143133.98905733</v>
      </c>
    </row>
    <row r="135" spans="1:11" ht="13">
      <c r="A135" s="2">
        <f t="shared" si="4"/>
        <v>75</v>
      </c>
      <c r="B135" t="s">
        <v>211</v>
      </c>
      <c r="H135" s="232" t="s">
        <v>212</v>
      </c>
      <c r="I135" s="233" t="str">
        <f>"11-PHFU, Line "&amp;'11-PHFU'!A47&amp;""</f>
        <v>11-PHFU, Line 10</v>
      </c>
      <c r="K135" s="235">
        <f>-'11-PHFU'!E47</f>
        <v>0</v>
      </c>
    </row>
    <row r="136" spans="1:11" ht="13">
      <c r="A136" s="2">
        <f t="shared" si="4"/>
        <v>76</v>
      </c>
      <c r="B136" s="289" t="s">
        <v>213</v>
      </c>
      <c r="C136" s="289"/>
      <c r="H136" s="12"/>
      <c r="I136" s="233" t="str">
        <f>"23-RegAssets, Line "&amp;'23-RegAssets'!A19&amp;""</f>
        <v>23-RegAssets, Line 16</v>
      </c>
      <c r="K136" s="235">
        <f>'23-RegAssets'!E19</f>
        <v>0</v>
      </c>
    </row>
    <row r="137" spans="1:11" ht="13">
      <c r="A137" s="2">
        <f t="shared" si="4"/>
        <v>77</v>
      </c>
      <c r="B137" s="233" t="s">
        <v>214</v>
      </c>
      <c r="H137" s="12"/>
      <c r="I137" t="str">
        <f>"15-IncentiveAdder, Line "&amp;'15-IncentiveAdder'!A44&amp;""</f>
        <v>15-IncentiveAdder, Line 14</v>
      </c>
      <c r="K137" s="235">
        <f>'15-IncentiveAdder'!G44</f>
        <v>21671225.18462551</v>
      </c>
    </row>
    <row r="138" spans="1:11" ht="13">
      <c r="A138" s="2" t="s">
        <v>215</v>
      </c>
      <c r="B138" s="233" t="s">
        <v>216</v>
      </c>
      <c r="H138" s="232" t="s">
        <v>217</v>
      </c>
      <c r="I138" s="233" t="s">
        <v>218</v>
      </c>
      <c r="K138" s="53">
        <f>-K137</f>
        <v>-21671225.18462551</v>
      </c>
    </row>
    <row r="139" spans="1:11" ht="13">
      <c r="A139" s="2">
        <f>A137+1</f>
        <v>78</v>
      </c>
      <c r="B139" s="233" t="s">
        <v>219</v>
      </c>
      <c r="H139" s="12"/>
      <c r="I139" t="str">
        <f>"Sum of Lines "&amp;A126&amp;" to "&amp;A138&amp;""</f>
        <v>Sum of Lines 66 to 77a</v>
      </c>
      <c r="K139" s="6">
        <f>SUM(K126:K138)</f>
        <v>1345644737.2557948</v>
      </c>
    </row>
    <row r="140" spans="1:11" ht="13">
      <c r="A140" s="603"/>
      <c r="B140" s="233"/>
      <c r="H140" s="12"/>
      <c r="K140" s="6"/>
    </row>
    <row r="141" spans="1:11" ht="13">
      <c r="A141" s="2">
        <f>A139+1</f>
        <v>79</v>
      </c>
      <c r="B141" s="233" t="s">
        <v>220</v>
      </c>
      <c r="I141" t="str">
        <f>"L "&amp;A139&amp;" * FF Factor (28-FFU, L "&amp;'28-FFU'!A22&amp;")"</f>
        <v>L 78 * FF Factor (28-FFU, L 5)</v>
      </c>
      <c r="K141" s="6">
        <f>'28-FFU'!D22*K139</f>
        <v>12661705.342374235</v>
      </c>
    </row>
    <row r="142" spans="1:11" ht="13">
      <c r="A142" s="2">
        <f t="shared" si="4"/>
        <v>80</v>
      </c>
      <c r="B142" s="233" t="s">
        <v>221</v>
      </c>
      <c r="I142" t="str">
        <f>"L "&amp;A139&amp;" * U Factor (28-FFU, L "&amp;'28-FFU'!A22&amp;")"</f>
        <v>L 78 * U Factor (28-FFU, L 5)</v>
      </c>
      <c r="K142" s="6">
        <f>'28-FFU'!E22*K139</f>
        <v>29372238.856901288</v>
      </c>
    </row>
    <row r="143" spans="1:11" ht="13">
      <c r="A143" s="2"/>
      <c r="B143" s="233"/>
      <c r="K143" s="6"/>
    </row>
    <row r="144" spans="1:11" ht="13">
      <c r="A144" s="2">
        <f>A142+1</f>
        <v>81</v>
      </c>
      <c r="B144" s="233" t="s">
        <v>82</v>
      </c>
      <c r="I144" t="str">
        <f>"Line "&amp;A139&amp;" + Line "&amp;A141&amp;"+ Line "&amp;A142&amp;""</f>
        <v>Line 78 + Line 79+ Line 80</v>
      </c>
      <c r="K144" s="6">
        <f>K139+K141+K142</f>
        <v>1387678681.4550705</v>
      </c>
    </row>
    <row r="146" spans="1:13" ht="13">
      <c r="A146" s="9" t="s">
        <v>222</v>
      </c>
      <c r="B146" s="10"/>
      <c r="C146" s="10"/>
      <c r="D146" s="10"/>
      <c r="E146" s="10"/>
      <c r="F146" s="10"/>
      <c r="G146" s="10"/>
      <c r="H146" s="8"/>
      <c r="I146" s="8"/>
      <c r="J146" s="8"/>
      <c r="K146" s="8"/>
    </row>
    <row r="148" spans="1:13">
      <c r="B148" s="28" t="s">
        <v>223</v>
      </c>
    </row>
    <row r="149" spans="1:13" ht="13">
      <c r="A149" s="2">
        <f>A144+1</f>
        <v>82</v>
      </c>
      <c r="B149" t="s">
        <v>82</v>
      </c>
      <c r="I149" t="str">
        <f>"Line "&amp;A144&amp;""</f>
        <v>Line 81</v>
      </c>
      <c r="K149" s="6">
        <f>K144</f>
        <v>1387678681.4550705</v>
      </c>
    </row>
    <row r="150" spans="1:13" ht="13">
      <c r="A150" s="2">
        <f>A149+1</f>
        <v>83</v>
      </c>
      <c r="B150" t="s">
        <v>83</v>
      </c>
      <c r="I150" s="233" t="str">
        <f>"2-IFPTRR, Line "&amp;'2-IFPTRR'!A91&amp;""</f>
        <v>2-IFPTRR, Line 82</v>
      </c>
      <c r="K150" s="6">
        <f>'2-IFPTRR'!D91</f>
        <v>118708213.20057392</v>
      </c>
    </row>
    <row r="151" spans="1:13" ht="13">
      <c r="A151" s="2">
        <f>A150+1</f>
        <v>84</v>
      </c>
      <c r="B151" s="233" t="s">
        <v>224</v>
      </c>
      <c r="H151" s="233"/>
      <c r="I151" s="233" t="str">
        <f>"3-TrueUpAdjust, Line "&amp;'3-TrueUpAdjust'!A44&amp;""</f>
        <v>3-TrueUpAdjust, Line 30</v>
      </c>
      <c r="K151" s="235">
        <f>'3-TrueUpAdjust'!E44</f>
        <v>164914945.36542338</v>
      </c>
      <c r="L151" s="56"/>
    </row>
    <row r="152" spans="1:13" ht="13">
      <c r="A152" s="2" t="s">
        <v>225</v>
      </c>
      <c r="B152" s="233" t="s">
        <v>85</v>
      </c>
      <c r="C152" s="233"/>
      <c r="D152" s="233"/>
      <c r="E152" s="233"/>
      <c r="F152" s="586"/>
      <c r="G152" s="586"/>
      <c r="I152" s="231" t="str">
        <f>"Negative of 35-Other Formula Revenue, L "&amp;'35-Other Formula Revenue'!A116&amp;""</f>
        <v>Negative of 35-Other Formula Revenue, L 80</v>
      </c>
      <c r="J152" s="586"/>
      <c r="K152" s="235">
        <f>-'35-Other Formula Revenue'!D116</f>
        <v>-11785476.953691881</v>
      </c>
      <c r="L152" s="832"/>
    </row>
    <row r="153" spans="1:13" ht="13">
      <c r="A153" s="2">
        <f>A151+1</f>
        <v>85</v>
      </c>
      <c r="B153" s="233" t="s">
        <v>86</v>
      </c>
      <c r="H153" s="233" t="s">
        <v>226</v>
      </c>
      <c r="K153" s="116"/>
      <c r="M153" s="233"/>
    </row>
    <row r="154" spans="1:13" ht="13">
      <c r="A154" s="2"/>
      <c r="K154" s="6"/>
      <c r="M154" s="28"/>
    </row>
    <row r="155" spans="1:13" ht="13">
      <c r="A155" s="2">
        <f>A153+1</f>
        <v>86</v>
      </c>
      <c r="B155" s="233" t="s">
        <v>227</v>
      </c>
      <c r="H155" s="233" t="s">
        <v>228</v>
      </c>
      <c r="I155" s="233" t="str">
        <f>"L "&amp;A149&amp;" + L "&amp;A150&amp;" + L "&amp;A151&amp;"+ L "&amp;A152&amp;" + L "&amp;A153&amp;""</f>
        <v>L 82 + L 83 + L 84+ L 84a + L 85</v>
      </c>
      <c r="K155" s="235">
        <f>K149+K150+K151+K152+K153</f>
        <v>1659516363.0673759</v>
      </c>
      <c r="L155" s="6"/>
    </row>
    <row r="156" spans="1:13" ht="13">
      <c r="A156" s="2"/>
      <c r="K156" s="6"/>
    </row>
    <row r="157" spans="1:13" ht="13">
      <c r="A157" s="2"/>
      <c r="B157" s="28" t="s">
        <v>229</v>
      </c>
      <c r="K157" s="6"/>
    </row>
    <row r="158" spans="1:13" ht="13">
      <c r="A158" s="2">
        <f>A155+1</f>
        <v>87</v>
      </c>
      <c r="B158" t="s">
        <v>230</v>
      </c>
      <c r="I158" t="str">
        <f>"Line "&amp;A155&amp;""</f>
        <v>Line 86</v>
      </c>
      <c r="K158" s="6">
        <f>K155</f>
        <v>1659516363.0673759</v>
      </c>
      <c r="M158" s="233"/>
    </row>
    <row r="159" spans="1:13" ht="13">
      <c r="A159" s="2">
        <f>A158+1</f>
        <v>88</v>
      </c>
      <c r="B159" t="s">
        <v>231</v>
      </c>
      <c r="I159" s="233" t="s">
        <v>232</v>
      </c>
      <c r="K159" s="53">
        <f>'25-WholesaleDifference'!H24</f>
        <v>-31987818.068996407</v>
      </c>
      <c r="M159" s="28"/>
    </row>
    <row r="160" spans="1:13" ht="13">
      <c r="A160" s="2">
        <f>A159+1</f>
        <v>89</v>
      </c>
      <c r="B160" t="s">
        <v>229</v>
      </c>
      <c r="I160" t="str">
        <f>"Line "&amp;A158&amp;" + Line "&amp;A159&amp;""</f>
        <v>Line 87 + Line 88</v>
      </c>
      <c r="K160" s="6">
        <f>K158+K159</f>
        <v>1627528544.9983795</v>
      </c>
    </row>
    <row r="161" spans="2:14">
      <c r="H161" s="233"/>
    </row>
    <row r="162" spans="2:14" ht="13">
      <c r="B162" s="30" t="s">
        <v>233</v>
      </c>
    </row>
    <row r="163" spans="2:14">
      <c r="B163" s="233" t="s">
        <v>234</v>
      </c>
    </row>
    <row r="164" spans="2:14">
      <c r="B164" s="232" t="s">
        <v>235</v>
      </c>
    </row>
    <row r="165" spans="2:14">
      <c r="B165" s="233" t="s">
        <v>236</v>
      </c>
    </row>
    <row r="166" spans="2:14">
      <c r="B166" s="233" t="s">
        <v>237</v>
      </c>
    </row>
    <row r="167" spans="2:14">
      <c r="B167" s="233" t="s">
        <v>238</v>
      </c>
    </row>
    <row r="168" spans="2:14">
      <c r="B168" s="233"/>
      <c r="C168" t="s">
        <v>239</v>
      </c>
      <c r="F168" s="240" t="s">
        <v>240</v>
      </c>
      <c r="G168" s="54"/>
      <c r="H168" s="54"/>
      <c r="I168" s="54"/>
    </row>
    <row r="169" spans="2:14">
      <c r="B169" s="233" t="s">
        <v>241</v>
      </c>
      <c r="C169" s="233"/>
      <c r="D169" s="233"/>
      <c r="E169" s="233"/>
      <c r="F169" s="233"/>
      <c r="G169" s="233"/>
      <c r="H169" s="233"/>
    </row>
    <row r="170" spans="2:14">
      <c r="B170" s="233" t="s">
        <v>242</v>
      </c>
      <c r="K170" s="610"/>
    </row>
    <row r="171" spans="2:14">
      <c r="B171" s="233" t="s">
        <v>243</v>
      </c>
    </row>
    <row r="172" spans="2:14">
      <c r="B172" s="232" t="s">
        <v>244</v>
      </c>
    </row>
    <row r="173" spans="2:14">
      <c r="B173" s="276" t="s">
        <v>245</v>
      </c>
      <c r="C173" s="233"/>
      <c r="D173" s="233"/>
      <c r="E173" s="233"/>
      <c r="F173" s="233"/>
      <c r="G173" s="233"/>
      <c r="H173" s="233"/>
      <c r="I173" s="233"/>
      <c r="J173" s="233"/>
      <c r="K173" s="233"/>
    </row>
    <row r="174" spans="2:14">
      <c r="B174" s="826"/>
      <c r="M174" s="6"/>
      <c r="N174" s="6"/>
    </row>
    <row r="175" spans="2:14" ht="13">
      <c r="B175" s="276"/>
      <c r="C175" s="233"/>
      <c r="D175" s="233"/>
      <c r="E175" s="233"/>
      <c r="F175" s="2" t="s">
        <v>246</v>
      </c>
      <c r="G175" s="2" t="s">
        <v>247</v>
      </c>
      <c r="H175" s="233"/>
      <c r="I175" s="233"/>
      <c r="J175" s="233"/>
      <c r="K175" s="233"/>
    </row>
    <row r="176" spans="2:14" ht="13">
      <c r="B176" s="233"/>
      <c r="C176" s="233"/>
      <c r="D176" s="233"/>
      <c r="E176" s="233"/>
      <c r="F176" s="2" t="s">
        <v>248</v>
      </c>
      <c r="G176" s="2" t="s">
        <v>249</v>
      </c>
      <c r="H176" s="233"/>
      <c r="I176" s="233"/>
      <c r="J176" s="233"/>
      <c r="K176" s="233"/>
      <c r="M176" s="56"/>
      <c r="N176" s="6"/>
    </row>
    <row r="177" spans="2:14" ht="13">
      <c r="B177" s="30" t="s">
        <v>250</v>
      </c>
      <c r="C177" s="30"/>
      <c r="D177" s="30"/>
      <c r="E177" s="30"/>
      <c r="F177" s="3" t="s">
        <v>251</v>
      </c>
      <c r="G177" s="3" t="s">
        <v>81</v>
      </c>
      <c r="H177" s="3" t="s">
        <v>252</v>
      </c>
      <c r="I177" s="30" t="s">
        <v>253</v>
      </c>
      <c r="J177" s="233"/>
      <c r="K177" s="3" t="s">
        <v>254</v>
      </c>
      <c r="M177" s="56"/>
    </row>
    <row r="178" spans="2:14">
      <c r="B178" s="276" t="s">
        <v>255</v>
      </c>
      <c r="C178" s="240" t="s">
        <v>3200</v>
      </c>
      <c r="D178" s="240"/>
      <c r="E178" s="240"/>
      <c r="F178" s="235">
        <f>'35-Other Formula Revenue'!G80</f>
        <v>7083242.6897185966</v>
      </c>
      <c r="G178" s="253">
        <f>546346313+0+9076859+0+2173550</f>
        <v>557596722</v>
      </c>
      <c r="H178" s="908">
        <f>SUM(F178:G178)</f>
        <v>564679964.6897186</v>
      </c>
      <c r="I178" s="233" t="s">
        <v>128</v>
      </c>
      <c r="J178" s="233"/>
      <c r="K178" s="233" t="s">
        <v>256</v>
      </c>
      <c r="M178" s="56"/>
    </row>
    <row r="179" spans="2:14">
      <c r="B179" s="276" t="s">
        <v>257</v>
      </c>
      <c r="C179" s="240" t="s">
        <v>258</v>
      </c>
      <c r="D179" s="240"/>
      <c r="E179" s="240"/>
      <c r="F179" s="235">
        <f>'35-Other Formula Revenue'!G87</f>
        <v>44672.418723061695</v>
      </c>
      <c r="G179" s="529">
        <v>164807981</v>
      </c>
      <c r="H179" s="908">
        <f>SUM(F179:G179)</f>
        <v>164852653.41872308</v>
      </c>
      <c r="I179" s="276" t="s">
        <v>135</v>
      </c>
      <c r="J179" s="233"/>
      <c r="K179" s="233" t="s">
        <v>259</v>
      </c>
      <c r="M179" s="56"/>
    </row>
    <row r="180" spans="2:14">
      <c r="B180" s="276" t="s">
        <v>260</v>
      </c>
      <c r="C180" s="240" t="s">
        <v>261</v>
      </c>
      <c r="D180" s="240"/>
      <c r="E180" s="240"/>
      <c r="F180" s="235">
        <f>'35-Other Formula Revenue'!G88</f>
        <v>131.66499623642324</v>
      </c>
      <c r="G180" s="529">
        <v>590077</v>
      </c>
      <c r="H180" s="908">
        <f t="shared" ref="H180:H185" si="5">SUM(F180:G180)</f>
        <v>590208.66499623645</v>
      </c>
      <c r="I180" s="276" t="s">
        <v>136</v>
      </c>
      <c r="J180" s="233"/>
      <c r="K180" s="233" t="s">
        <v>262</v>
      </c>
    </row>
    <row r="181" spans="2:14">
      <c r="B181" s="276" t="s">
        <v>263</v>
      </c>
      <c r="C181" s="240" t="s">
        <v>264</v>
      </c>
      <c r="D181" s="240"/>
      <c r="E181" s="240"/>
      <c r="F181" s="235">
        <f>'35-Other Formula Revenue'!G89</f>
        <v>30.714999122027418</v>
      </c>
      <c r="G181" s="529">
        <v>138002</v>
      </c>
      <c r="H181" s="908">
        <f t="shared" si="5"/>
        <v>138032.71499912202</v>
      </c>
      <c r="I181" s="276" t="s">
        <v>137</v>
      </c>
      <c r="J181" s="233"/>
      <c r="K181" s="233" t="s">
        <v>265</v>
      </c>
      <c r="M181" s="56"/>
    </row>
    <row r="182" spans="2:14">
      <c r="B182" s="276" t="s">
        <v>266</v>
      </c>
      <c r="C182" s="240" t="s">
        <v>267</v>
      </c>
      <c r="D182" s="240"/>
      <c r="E182" s="240"/>
      <c r="F182" s="235">
        <f>'35-Other Formula Revenue'!G90</f>
        <v>1081.369969089591</v>
      </c>
      <c r="G182" s="529">
        <v>2487594</v>
      </c>
      <c r="H182" s="908">
        <f t="shared" si="5"/>
        <v>2488675.3699690895</v>
      </c>
      <c r="I182" s="276" t="s">
        <v>138</v>
      </c>
      <c r="J182" s="233"/>
      <c r="K182" s="233" t="s">
        <v>268</v>
      </c>
      <c r="M182" s="56"/>
    </row>
    <row r="183" spans="2:14">
      <c r="B183" s="276" t="s">
        <v>269</v>
      </c>
      <c r="C183" s="240" t="s">
        <v>3113</v>
      </c>
      <c r="D183" s="240"/>
      <c r="E183" s="240"/>
      <c r="F183" s="235">
        <f>'35-Other Formula Revenue'!G91</f>
        <v>383.32998904270778</v>
      </c>
      <c r="G183" s="529">
        <v>1863510</v>
      </c>
      <c r="H183" s="908">
        <f>SUM(F183:G183)</f>
        <v>1863893.3299890426</v>
      </c>
      <c r="I183" s="276" t="s">
        <v>139</v>
      </c>
      <c r="J183" s="233"/>
      <c r="K183" s="233" t="s">
        <v>270</v>
      </c>
      <c r="N183" s="56"/>
    </row>
    <row r="184" spans="2:14">
      <c r="B184" s="276" t="s">
        <v>271</v>
      </c>
      <c r="C184" s="240" t="s">
        <v>272</v>
      </c>
      <c r="D184" s="240"/>
      <c r="E184" s="240"/>
      <c r="F184" s="235">
        <f>'35-Other Formula Revenue'!G92</f>
        <v>620.4849822637533</v>
      </c>
      <c r="G184" s="529">
        <v>14728496</v>
      </c>
      <c r="H184" s="908">
        <f t="shared" si="5"/>
        <v>14729116.484982263</v>
      </c>
      <c r="I184" s="276" t="s">
        <v>140</v>
      </c>
      <c r="J184" s="233"/>
      <c r="K184" s="233" t="s">
        <v>273</v>
      </c>
      <c r="N184" s="56"/>
    </row>
    <row r="185" spans="2:14">
      <c r="B185" s="276" t="s">
        <v>274</v>
      </c>
      <c r="C185" s="240" t="s">
        <v>275</v>
      </c>
      <c r="D185" s="240"/>
      <c r="E185" s="240"/>
      <c r="F185" s="235">
        <f>'35-Other Formula Revenue'!G93</f>
        <v>12.639999638692061</v>
      </c>
      <c r="G185" s="529">
        <v>34250</v>
      </c>
      <c r="H185" s="908">
        <f t="shared" si="5"/>
        <v>34262.63999963869</v>
      </c>
      <c r="I185" s="276" t="s">
        <v>141</v>
      </c>
      <c r="J185" s="233"/>
      <c r="K185" s="233" t="s">
        <v>276</v>
      </c>
      <c r="N185" s="56"/>
    </row>
    <row r="186" spans="2:14">
      <c r="K186" s="233"/>
      <c r="N186" s="56"/>
    </row>
    <row r="187" spans="2:14">
      <c r="B187" s="977"/>
      <c r="C187" s="978"/>
      <c r="D187" s="978"/>
      <c r="E187" s="978"/>
      <c r="N187" s="56"/>
    </row>
    <row r="188" spans="2:14">
      <c r="B188" s="979"/>
      <c r="C188" s="978"/>
      <c r="D188" s="978"/>
      <c r="E188" s="978"/>
      <c r="N188" s="56"/>
    </row>
    <row r="189" spans="2:14">
      <c r="B189" s="979"/>
      <c r="C189" s="978"/>
      <c r="D189" s="978"/>
      <c r="E189" s="978"/>
      <c r="G189" s="56"/>
    </row>
    <row r="190" spans="2:14">
      <c r="B190" s="979"/>
      <c r="C190" s="978"/>
      <c r="D190" s="978"/>
      <c r="E190" s="978"/>
      <c r="G190" s="56"/>
      <c r="N190" s="56"/>
    </row>
    <row r="191" spans="2:14">
      <c r="B191" s="979"/>
      <c r="C191" s="978"/>
      <c r="D191" s="978"/>
      <c r="E191" s="978"/>
      <c r="G191" s="56"/>
    </row>
    <row r="192" spans="2:14">
      <c r="B192" s="232"/>
      <c r="G192" s="56"/>
    </row>
    <row r="193" spans="2:7">
      <c r="B193" s="232"/>
      <c r="G193" s="56"/>
    </row>
    <row r="194" spans="2:7">
      <c r="B194" s="232"/>
      <c r="G194" s="56"/>
    </row>
    <row r="195" spans="2:7">
      <c r="B195" s="232"/>
      <c r="G195" s="56"/>
    </row>
    <row r="196" spans="2:7">
      <c r="B196" s="232"/>
      <c r="G196" s="56"/>
    </row>
    <row r="197" spans="2:7">
      <c r="G197" s="56"/>
    </row>
    <row r="198" spans="2:7">
      <c r="G198" s="56"/>
    </row>
  </sheetData>
  <phoneticPr fontId="26" type="noConversion"/>
  <pageMargins left="0.7" right="0.7" top="0.75" bottom="0.75" header="0.3" footer="0.3"/>
  <pageSetup scale="50" fitToWidth="3" orientation="portrait" cellComments="asDisplayed" r:id="rId1"/>
  <headerFooter alignWithMargins="0">
    <oddHeader>&amp;CSchedule 1
Base TRR
&amp;RTO2027 Draft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14" ht="13">
      <c r="A1" s="288" t="s">
        <v>2905</v>
      </c>
      <c r="B1" s="288"/>
      <c r="C1" s="289"/>
      <c r="D1" s="289"/>
      <c r="G1" s="289"/>
      <c r="H1" s="289"/>
      <c r="I1" s="289"/>
      <c r="J1" s="289"/>
      <c r="K1" s="289"/>
      <c r="L1" s="289"/>
      <c r="M1" s="289"/>
    </row>
    <row r="2" spans="1:14" ht="13">
      <c r="C2" s="39" t="s">
        <v>200</v>
      </c>
      <c r="E2" s="240" t="s">
        <v>2906</v>
      </c>
      <c r="F2" s="54"/>
      <c r="G2" s="54"/>
    </row>
    <row r="3" spans="1:14" ht="13">
      <c r="A3" s="290" t="s">
        <v>282</v>
      </c>
      <c r="B3" s="290"/>
      <c r="C3" s="289"/>
      <c r="D3" s="289"/>
      <c r="E3" s="289"/>
      <c r="F3" s="289"/>
      <c r="G3" s="289"/>
      <c r="H3" s="289"/>
      <c r="I3" s="289"/>
      <c r="J3" s="289"/>
      <c r="K3" s="289"/>
      <c r="L3" s="289"/>
      <c r="M3" s="289"/>
    </row>
    <row r="4" spans="1:14" ht="13">
      <c r="A4" s="291">
        <v>1</v>
      </c>
      <c r="B4" s="291"/>
      <c r="C4" s="289"/>
      <c r="D4" s="289"/>
      <c r="E4" s="289"/>
      <c r="F4" s="289"/>
      <c r="G4" s="289"/>
      <c r="H4" s="289"/>
      <c r="I4" s="289"/>
      <c r="J4" s="289"/>
      <c r="K4" s="289"/>
      <c r="L4" s="289"/>
      <c r="M4" s="289"/>
    </row>
    <row r="5" spans="1:14" ht="13">
      <c r="A5" s="291">
        <v>2</v>
      </c>
      <c r="B5" s="291"/>
      <c r="C5" s="289"/>
      <c r="D5" s="289"/>
      <c r="E5" s="289"/>
      <c r="F5" s="289"/>
      <c r="G5" s="289"/>
      <c r="H5" s="289"/>
      <c r="I5" s="289"/>
      <c r="J5" s="289"/>
      <c r="K5" s="289"/>
      <c r="L5" s="289"/>
      <c r="M5" s="289"/>
    </row>
    <row r="6" spans="1:14" ht="13">
      <c r="A6" s="291">
        <v>3</v>
      </c>
      <c r="B6" s="291"/>
      <c r="C6" s="289"/>
      <c r="D6" s="289"/>
      <c r="E6" s="289"/>
      <c r="F6" s="289"/>
      <c r="G6" s="289"/>
      <c r="H6" s="289"/>
      <c r="I6" s="289"/>
      <c r="J6" s="289"/>
      <c r="K6" s="291" t="s">
        <v>921</v>
      </c>
      <c r="L6" s="289"/>
      <c r="M6" s="289"/>
    </row>
    <row r="7" spans="1:14" ht="13">
      <c r="A7" s="291">
        <v>4</v>
      </c>
      <c r="B7" s="291"/>
      <c r="C7" s="289"/>
      <c r="D7" s="289"/>
      <c r="E7" s="368" t="s">
        <v>254</v>
      </c>
      <c r="F7" s="291"/>
      <c r="G7" s="289"/>
      <c r="H7" s="289"/>
      <c r="I7" s="289"/>
      <c r="J7" s="289"/>
      <c r="K7" s="368" t="s">
        <v>81</v>
      </c>
      <c r="L7" s="289"/>
      <c r="M7" s="293"/>
    </row>
    <row r="8" spans="1:14" ht="13">
      <c r="A8" s="291">
        <v>5</v>
      </c>
      <c r="B8" s="291"/>
      <c r="C8" s="289"/>
      <c r="D8" s="289"/>
      <c r="E8" s="289"/>
      <c r="F8" s="289"/>
      <c r="G8" s="289"/>
      <c r="H8" s="289"/>
      <c r="I8" s="289"/>
      <c r="J8" s="289"/>
      <c r="K8" s="294"/>
      <c r="L8" s="289"/>
      <c r="M8" s="289"/>
    </row>
    <row r="9" spans="1:14" ht="13">
      <c r="A9" s="291">
        <v>6</v>
      </c>
      <c r="B9" s="291"/>
      <c r="C9" s="288" t="s">
        <v>2907</v>
      </c>
      <c r="D9" s="289"/>
      <c r="E9" s="289" t="s">
        <v>2908</v>
      </c>
      <c r="F9" s="289"/>
      <c r="G9" s="289"/>
      <c r="H9" s="289"/>
      <c r="I9" s="289"/>
      <c r="J9" s="289"/>
      <c r="K9" s="294">
        <f>I20</f>
        <v>-23986919.70908444</v>
      </c>
      <c r="L9" s="289"/>
      <c r="M9" s="289"/>
      <c r="N9" s="369"/>
    </row>
    <row r="10" spans="1:14" ht="13.5" thickBot="1">
      <c r="A10" s="291">
        <v>7</v>
      </c>
      <c r="B10" s="291"/>
      <c r="C10" s="288" t="s">
        <v>2909</v>
      </c>
      <c r="D10" s="290"/>
      <c r="E10" s="289" t="s">
        <v>2910</v>
      </c>
      <c r="F10" s="289"/>
      <c r="G10" s="289"/>
      <c r="H10" s="289"/>
      <c r="I10" s="289"/>
      <c r="J10" s="289"/>
      <c r="K10" s="370">
        <f>+K20</f>
        <v>-31100120.046017211</v>
      </c>
      <c r="L10" s="289"/>
      <c r="M10" s="289"/>
    </row>
    <row r="11" spans="1:14" ht="13.5" thickTop="1">
      <c r="A11" s="291">
        <v>8</v>
      </c>
      <c r="B11" s="291"/>
      <c r="C11" s="289"/>
      <c r="D11" s="289"/>
      <c r="E11" s="289"/>
      <c r="F11" s="289"/>
      <c r="G11" s="289"/>
      <c r="H11" s="289"/>
      <c r="I11" s="289"/>
      <c r="J11" s="289"/>
      <c r="K11" s="294"/>
      <c r="L11" s="289"/>
      <c r="M11" s="289"/>
    </row>
    <row r="12" spans="1:14" ht="13">
      <c r="A12" s="291">
        <v>9</v>
      </c>
      <c r="B12" s="291"/>
      <c r="C12" s="289"/>
      <c r="D12" s="289"/>
      <c r="E12" s="289"/>
      <c r="F12" s="289"/>
      <c r="G12" s="371" t="s">
        <v>345</v>
      </c>
      <c r="H12" s="371"/>
      <c r="I12" s="371" t="s">
        <v>346</v>
      </c>
      <c r="J12" s="371"/>
      <c r="K12" s="371" t="s">
        <v>347</v>
      </c>
      <c r="L12" s="289"/>
      <c r="M12" s="289"/>
    </row>
    <row r="13" spans="1:14" ht="13">
      <c r="A13" s="291">
        <v>10</v>
      </c>
      <c r="B13" s="291"/>
      <c r="C13" s="289"/>
      <c r="D13" s="289"/>
      <c r="E13" s="289"/>
      <c r="F13" s="289"/>
      <c r="G13" s="291" t="s">
        <v>921</v>
      </c>
      <c r="H13" s="291"/>
      <c r="I13" s="291" t="s">
        <v>921</v>
      </c>
      <c r="J13" s="291"/>
      <c r="K13" s="291" t="s">
        <v>921</v>
      </c>
      <c r="L13" s="289"/>
      <c r="M13" s="289"/>
    </row>
    <row r="14" spans="1:14" ht="14.5">
      <c r="A14" s="291">
        <v>11</v>
      </c>
      <c r="B14" s="291"/>
      <c r="C14" s="291"/>
      <c r="D14" s="291"/>
      <c r="E14" s="291"/>
      <c r="F14" s="291"/>
      <c r="G14" s="291" t="s">
        <v>861</v>
      </c>
      <c r="H14" s="291"/>
      <c r="I14" s="291" t="s">
        <v>1193</v>
      </c>
      <c r="J14" s="291"/>
      <c r="K14" s="372" t="s">
        <v>863</v>
      </c>
      <c r="L14" s="289"/>
      <c r="M14" s="289"/>
    </row>
    <row r="15" spans="1:14" ht="13">
      <c r="A15" s="291">
        <v>12</v>
      </c>
      <c r="B15" s="291"/>
      <c r="C15" s="291" t="s">
        <v>2389</v>
      </c>
      <c r="D15" s="291"/>
      <c r="E15" s="291"/>
      <c r="F15" s="291"/>
      <c r="G15" s="291" t="s">
        <v>2911</v>
      </c>
      <c r="H15" s="291"/>
      <c r="I15" s="291" t="s">
        <v>2911</v>
      </c>
      <c r="J15" s="291"/>
      <c r="K15" s="291" t="s">
        <v>2911</v>
      </c>
      <c r="L15" s="289"/>
      <c r="M15" s="289"/>
    </row>
    <row r="16" spans="1:14" ht="13">
      <c r="A16" s="291">
        <v>13</v>
      </c>
      <c r="B16" s="291"/>
      <c r="C16" s="292" t="s">
        <v>74</v>
      </c>
      <c r="D16" s="292"/>
      <c r="E16" s="292"/>
      <c r="F16" s="292"/>
      <c r="G16" s="368" t="s">
        <v>2912</v>
      </c>
      <c r="H16" s="291"/>
      <c r="I16" s="368" t="s">
        <v>2912</v>
      </c>
      <c r="J16" s="291"/>
      <c r="K16" s="368" t="s">
        <v>2912</v>
      </c>
      <c r="L16" s="289"/>
      <c r="M16" s="289"/>
    </row>
    <row r="17" spans="1:14" ht="13">
      <c r="A17" s="291">
        <v>14</v>
      </c>
      <c r="B17" s="291"/>
      <c r="C17" s="289" t="s">
        <v>2913</v>
      </c>
      <c r="D17" s="289"/>
      <c r="E17" s="233" t="s">
        <v>2914</v>
      </c>
      <c r="F17" s="233"/>
      <c r="G17" s="294">
        <f>+G27</f>
        <v>-32236348.632874951</v>
      </c>
      <c r="H17" s="294"/>
      <c r="I17" s="294">
        <f>+I27</f>
        <v>-17951883.29286284</v>
      </c>
      <c r="J17" s="294"/>
      <c r="K17" s="294">
        <f>(+G17+I17)/2</f>
        <v>-25094115.962868895</v>
      </c>
      <c r="L17" s="289"/>
      <c r="M17" s="289"/>
      <c r="N17" s="289"/>
    </row>
    <row r="18" spans="1:14" ht="13">
      <c r="A18" s="291">
        <v>15</v>
      </c>
      <c r="B18" s="291"/>
      <c r="C18" s="289" t="s">
        <v>2915</v>
      </c>
      <c r="D18" s="289"/>
      <c r="E18" s="289" t="s">
        <v>2916</v>
      </c>
      <c r="F18" s="289"/>
      <c r="G18" s="294">
        <f>+G32</f>
        <v>-5540078.731576818</v>
      </c>
      <c r="H18" s="294"/>
      <c r="I18" s="294">
        <f>+I32</f>
        <v>-5617252.3780477466</v>
      </c>
      <c r="J18" s="294"/>
      <c r="K18" s="294">
        <f>(+G18+I18)/2</f>
        <v>-5578665.5548122823</v>
      </c>
      <c r="L18" s="289"/>
      <c r="M18" s="289"/>
      <c r="N18" s="289"/>
    </row>
    <row r="19" spans="1:14" ht="13">
      <c r="A19" s="291">
        <v>16</v>
      </c>
      <c r="B19" s="291"/>
      <c r="C19" s="289" t="s">
        <v>2917</v>
      </c>
      <c r="D19" s="289"/>
      <c r="E19" s="289" t="s">
        <v>2918</v>
      </c>
      <c r="F19" s="289"/>
      <c r="G19" s="1202">
        <f>+G39</f>
        <v>-436893.01849821379</v>
      </c>
      <c r="H19" s="373"/>
      <c r="I19" s="1202">
        <f>+I39</f>
        <v>-417784.03817385517</v>
      </c>
      <c r="J19" s="373"/>
      <c r="K19" s="294">
        <f>(+G19+I19)/2</f>
        <v>-427338.52833603451</v>
      </c>
      <c r="L19" s="289"/>
      <c r="M19" s="289"/>
    </row>
    <row r="20" spans="1:14" ht="13.5" thickBot="1">
      <c r="A20" s="291">
        <v>17</v>
      </c>
      <c r="B20" s="291"/>
      <c r="C20" s="289" t="s">
        <v>440</v>
      </c>
      <c r="D20" s="289"/>
      <c r="E20" s="289" t="s">
        <v>2919</v>
      </c>
      <c r="F20" s="289"/>
      <c r="G20" s="374">
        <f>+G17+G18+G19</f>
        <v>-38213320.382949978</v>
      </c>
      <c r="H20" s="294"/>
      <c r="I20" s="374">
        <f>+I17+I18+I19</f>
        <v>-23986919.70908444</v>
      </c>
      <c r="J20" s="294"/>
      <c r="K20" s="374">
        <f>+K17+K18+K19</f>
        <v>-31100120.046017211</v>
      </c>
      <c r="L20" s="289"/>
      <c r="M20" s="289"/>
      <c r="N20" s="233" t="s">
        <v>132</v>
      </c>
    </row>
    <row r="21" spans="1:14" ht="13.5" thickTop="1">
      <c r="A21" s="291">
        <v>18</v>
      </c>
      <c r="B21" s="291"/>
      <c r="C21" s="289"/>
      <c r="D21" s="289"/>
      <c r="E21" s="289"/>
      <c r="F21" s="289"/>
      <c r="G21" s="289"/>
      <c r="H21" s="289"/>
      <c r="I21" s="289"/>
      <c r="J21" s="289"/>
      <c r="K21" s="289"/>
      <c r="L21" s="289"/>
      <c r="M21" s="289"/>
    </row>
    <row r="22" spans="1:14" ht="13">
      <c r="A22" s="291">
        <v>19</v>
      </c>
      <c r="B22" s="291"/>
      <c r="C22" s="290" t="s">
        <v>2920</v>
      </c>
      <c r="D22" s="290"/>
      <c r="E22" s="290"/>
      <c r="F22" s="290"/>
      <c r="G22" s="289"/>
      <c r="H22" s="289"/>
      <c r="I22" s="289"/>
      <c r="J22" s="289"/>
      <c r="K22" s="289"/>
      <c r="L22" s="289"/>
      <c r="M22" s="289"/>
    </row>
    <row r="23" spans="1:14" ht="13">
      <c r="A23" s="291">
        <v>20</v>
      </c>
      <c r="B23" s="291"/>
      <c r="K23" s="234" t="s">
        <v>863</v>
      </c>
    </row>
    <row r="24" spans="1:14" ht="13">
      <c r="A24" s="291">
        <v>21</v>
      </c>
      <c r="B24" s="291"/>
      <c r="C24" s="290" t="s">
        <v>1751</v>
      </c>
      <c r="D24" s="290"/>
      <c r="E24" s="290"/>
      <c r="F24" s="290"/>
      <c r="G24" s="196" t="s">
        <v>861</v>
      </c>
      <c r="H24" s="37"/>
      <c r="I24" s="196" t="s">
        <v>1193</v>
      </c>
      <c r="J24" s="37"/>
      <c r="K24" s="375" t="s">
        <v>2921</v>
      </c>
      <c r="M24" s="245" t="s">
        <v>132</v>
      </c>
    </row>
    <row r="25" spans="1:14" ht="13">
      <c r="A25" s="291">
        <v>22</v>
      </c>
      <c r="B25" s="291"/>
      <c r="C25" s="233" t="s">
        <v>2922</v>
      </c>
      <c r="E25" s="289" t="s">
        <v>2923</v>
      </c>
      <c r="F25" s="289"/>
      <c r="G25" s="984">
        <v>-499542354.95999992</v>
      </c>
      <c r="H25" s="376"/>
      <c r="I25" s="984">
        <v>-278186780.96000004</v>
      </c>
      <c r="J25" s="377"/>
      <c r="M25" s="192"/>
      <c r="N25" s="303"/>
    </row>
    <row r="26" spans="1:14" ht="13">
      <c r="A26" s="291">
        <v>23</v>
      </c>
      <c r="B26" s="291"/>
      <c r="C26" t="s">
        <v>2548</v>
      </c>
      <c r="E26" s="378" t="s">
        <v>2924</v>
      </c>
      <c r="F26" s="378"/>
      <c r="G26" s="379">
        <f>'27-Allocators'!G15</f>
        <v>6.4531762547854879E-2</v>
      </c>
      <c r="H26" s="380"/>
      <c r="I26" s="379">
        <f>'27-Allocators'!G15</f>
        <v>6.4531762547854879E-2</v>
      </c>
      <c r="J26" s="380"/>
      <c r="M26" s="369"/>
    </row>
    <row r="27" spans="1:14" ht="13.5" thickBot="1">
      <c r="A27" s="291">
        <v>24</v>
      </c>
      <c r="B27" s="291"/>
      <c r="C27" t="s">
        <v>2925</v>
      </c>
      <c r="E27" s="243" t="s">
        <v>2926</v>
      </c>
      <c r="F27" s="31"/>
      <c r="G27" s="381">
        <f>+G25*G26</f>
        <v>-32236348.632874951</v>
      </c>
      <c r="H27" s="382"/>
      <c r="I27" s="381">
        <f>+I25*I26</f>
        <v>-17951883.29286284</v>
      </c>
      <c r="J27" s="382"/>
      <c r="K27" s="383">
        <f>(G27+I27)/2</f>
        <v>-25094115.962868895</v>
      </c>
      <c r="M27" s="369"/>
    </row>
    <row r="28" spans="1:14" ht="13.5" thickTop="1">
      <c r="A28" s="291">
        <v>25</v>
      </c>
      <c r="B28" s="291"/>
      <c r="M28" s="369"/>
    </row>
    <row r="29" spans="1:14" ht="13">
      <c r="A29" s="291">
        <v>26</v>
      </c>
      <c r="B29" s="291"/>
      <c r="C29" s="30" t="s">
        <v>2927</v>
      </c>
      <c r="D29" s="30"/>
      <c r="E29" s="30"/>
      <c r="F29" s="30"/>
      <c r="M29" s="384" t="s">
        <v>132</v>
      </c>
    </row>
    <row r="30" spans="1:14" ht="13">
      <c r="A30" s="291">
        <v>27</v>
      </c>
      <c r="B30" s="291"/>
      <c r="C30" s="233" t="s">
        <v>2928</v>
      </c>
      <c r="D30" s="233"/>
      <c r="E30" s="289" t="s">
        <v>2923</v>
      </c>
      <c r="F30" s="289"/>
      <c r="G30" s="984">
        <v>-85850417.109999999</v>
      </c>
      <c r="H30" s="376"/>
      <c r="I30" s="984">
        <v>-87046318.840000004</v>
      </c>
      <c r="J30" s="377"/>
      <c r="M30" s="369"/>
    </row>
    <row r="31" spans="1:14" ht="13">
      <c r="A31" s="291">
        <v>28</v>
      </c>
      <c r="B31" s="291"/>
      <c r="C31" t="s">
        <v>2548</v>
      </c>
      <c r="E31" s="378" t="s">
        <v>2924</v>
      </c>
      <c r="F31" s="378"/>
      <c r="G31" s="379">
        <f>'27-Allocators'!G15</f>
        <v>6.4531762547854879E-2</v>
      </c>
      <c r="H31" s="380"/>
      <c r="I31" s="379">
        <f>'27-Allocators'!G15</f>
        <v>6.4531762547854879E-2</v>
      </c>
      <c r="J31" s="380"/>
      <c r="M31" s="369"/>
    </row>
    <row r="32" spans="1:14" ht="13.5" thickBot="1">
      <c r="A32" s="291">
        <v>29</v>
      </c>
      <c r="B32" s="291"/>
      <c r="C32" t="s">
        <v>2925</v>
      </c>
      <c r="E32" s="243" t="s">
        <v>2929</v>
      </c>
      <c r="F32" s="31"/>
      <c r="G32" s="381">
        <f>+G30*G31</f>
        <v>-5540078.731576818</v>
      </c>
      <c r="H32" s="382"/>
      <c r="I32" s="381">
        <f>+I30*I31</f>
        <v>-5617252.3780477466</v>
      </c>
      <c r="J32" s="382"/>
      <c r="K32" s="383">
        <f>(G32+I32)/2</f>
        <v>-5578665.5548122823</v>
      </c>
      <c r="M32" s="369"/>
    </row>
    <row r="33" spans="1:11" ht="13.5" thickTop="1">
      <c r="A33" s="291">
        <f t="shared" ref="A33:A39" si="0">1+A32</f>
        <v>30</v>
      </c>
    </row>
    <row r="34" spans="1:11" ht="13">
      <c r="A34" s="291">
        <f t="shared" si="0"/>
        <v>31</v>
      </c>
      <c r="C34" s="30" t="s">
        <v>2930</v>
      </c>
    </row>
    <row r="35" spans="1:11" ht="13">
      <c r="A35" s="291">
        <f t="shared" si="0"/>
        <v>32</v>
      </c>
      <c r="C35" s="233" t="s">
        <v>2930</v>
      </c>
      <c r="E35" s="289" t="s">
        <v>2923</v>
      </c>
      <c r="F35" s="289"/>
      <c r="G35" s="984">
        <v>-13540402.469999999</v>
      </c>
      <c r="H35" s="376"/>
      <c r="I35" s="984">
        <v>-12948167.59</v>
      </c>
      <c r="J35" s="377"/>
    </row>
    <row r="36" spans="1:11" ht="13">
      <c r="A36" s="291">
        <f t="shared" si="0"/>
        <v>33</v>
      </c>
      <c r="C36" s="233" t="s">
        <v>2931</v>
      </c>
      <c r="E36" s="641" t="s">
        <v>2932</v>
      </c>
      <c r="G36" s="386">
        <v>0.5</v>
      </c>
      <c r="I36" s="386">
        <v>0.5</v>
      </c>
    </row>
    <row r="37" spans="1:11" ht="13">
      <c r="A37" s="291">
        <f t="shared" si="0"/>
        <v>34</v>
      </c>
      <c r="C37" s="233" t="s">
        <v>2933</v>
      </c>
      <c r="E37" s="233" t="s">
        <v>2934</v>
      </c>
      <c r="G37" s="6">
        <f>+G35*G36</f>
        <v>-6770201.2349999994</v>
      </c>
      <c r="H37" s="6"/>
      <c r="I37" s="6">
        <f>+I35*I36</f>
        <v>-6474083.7949999999</v>
      </c>
    </row>
    <row r="38" spans="1:11" ht="13">
      <c r="A38" s="291">
        <f t="shared" si="0"/>
        <v>35</v>
      </c>
      <c r="C38" t="s">
        <v>2548</v>
      </c>
      <c r="E38" s="378" t="s">
        <v>2924</v>
      </c>
      <c r="F38" s="378"/>
      <c r="G38" s="379">
        <f>'27-Allocators'!G15</f>
        <v>6.4531762547854879E-2</v>
      </c>
      <c r="H38" s="380"/>
      <c r="I38" s="379">
        <f>'27-Allocators'!G15</f>
        <v>6.4531762547854879E-2</v>
      </c>
      <c r="J38" s="380"/>
    </row>
    <row r="39" spans="1:11" ht="13.5" thickBot="1">
      <c r="A39" s="291">
        <f t="shared" si="0"/>
        <v>36</v>
      </c>
      <c r="C39" t="s">
        <v>2925</v>
      </c>
      <c r="E39" s="243" t="s">
        <v>2935</v>
      </c>
      <c r="F39" s="31"/>
      <c r="G39" s="381">
        <f>+G37*G38</f>
        <v>-436893.01849821379</v>
      </c>
      <c r="H39" s="382"/>
      <c r="I39" s="381">
        <f>+I37*I38</f>
        <v>-417784.03817385517</v>
      </c>
      <c r="J39" s="382"/>
      <c r="K39" s="383">
        <f>(G39+I39)/2</f>
        <v>-427338.52833603451</v>
      </c>
    </row>
    <row r="40" spans="1:11" ht="13" thickTop="1"/>
    <row r="41" spans="1:11" ht="13">
      <c r="C41" s="30" t="s">
        <v>233</v>
      </c>
    </row>
    <row r="42" spans="1:11">
      <c r="C42" s="233" t="s">
        <v>2936</v>
      </c>
      <c r="D42" s="610"/>
    </row>
    <row r="43" spans="1:11">
      <c r="C43" s="232" t="s">
        <v>2937</v>
      </c>
    </row>
    <row r="44" spans="1:11">
      <c r="C44" t="s">
        <v>2938</v>
      </c>
    </row>
    <row r="45" spans="1:11">
      <c r="C45" s="663" t="s">
        <v>2939</v>
      </c>
    </row>
  </sheetData>
  <pageMargins left="0.7" right="0.7" top="0.75" bottom="0.75" header="0.3" footer="0.3"/>
  <pageSetup scale="84" fitToHeight="0" orientation="landscape" cellComments="asDisplayed" r:id="rId1"/>
  <headerFooter>
    <oddHeader>&amp;CSchedule 34
Unfunded Reserves
&amp;RTO2027 Draft Annual Update 
Attachment 1</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B180-CB3D-4681-A768-5D5BF418A439}">
  <dimension ref="A1:K133"/>
  <sheetViews>
    <sheetView zoomScaleNormal="100" workbookViewId="0"/>
  </sheetViews>
  <sheetFormatPr defaultRowHeight="12.5"/>
  <cols>
    <col min="1" max="1" width="5.81640625" customWidth="1"/>
    <col min="2" max="2" width="4.81640625" customWidth="1"/>
    <col min="3" max="3" width="55.1796875" customWidth="1"/>
    <col min="4" max="8" width="13.81640625" customWidth="1"/>
    <col min="9" max="9" width="17" customWidth="1"/>
  </cols>
  <sheetData>
    <row r="1" spans="1:11" ht="13">
      <c r="A1" s="1" t="s">
        <v>3030</v>
      </c>
      <c r="B1" s="233"/>
      <c r="C1" s="233"/>
      <c r="D1" s="233"/>
      <c r="E1" s="233"/>
      <c r="F1" s="233"/>
      <c r="G1" s="233"/>
    </row>
    <row r="2" spans="1:11" ht="13">
      <c r="A2" s="233"/>
      <c r="B2" s="1"/>
      <c r="C2" s="39" t="s">
        <v>200</v>
      </c>
      <c r="D2" s="240" t="s">
        <v>2940</v>
      </c>
      <c r="E2" s="240"/>
      <c r="F2" s="240"/>
      <c r="G2" s="233"/>
    </row>
    <row r="3" spans="1:11">
      <c r="A3" s="233"/>
      <c r="B3" s="233"/>
      <c r="C3" s="233"/>
      <c r="D3" s="233"/>
      <c r="E3" s="233"/>
      <c r="F3" s="233"/>
      <c r="G3" s="233"/>
    </row>
    <row r="4" spans="1:11" ht="13">
      <c r="A4" s="3" t="s">
        <v>282</v>
      </c>
      <c r="B4" s="233"/>
      <c r="C4" s="233"/>
      <c r="D4" s="240" t="s">
        <v>99</v>
      </c>
      <c r="E4" s="240"/>
      <c r="F4" s="240"/>
      <c r="G4" s="233"/>
    </row>
    <row r="5" spans="1:11" ht="13">
      <c r="A5" s="2">
        <v>1</v>
      </c>
      <c r="B5" s="562" t="s">
        <v>2941</v>
      </c>
      <c r="C5" s="233"/>
      <c r="D5" s="233"/>
      <c r="E5" s="311"/>
      <c r="F5" s="233"/>
      <c r="G5" s="303"/>
      <c r="H5" s="303"/>
      <c r="I5" s="856"/>
    </row>
    <row r="6" spans="1:11" ht="13">
      <c r="A6" s="2">
        <f>A5+1</f>
        <v>2</v>
      </c>
      <c r="B6" s="4" t="s">
        <v>2942</v>
      </c>
      <c r="C6" s="949" t="s">
        <v>2943</v>
      </c>
      <c r="D6" s="314"/>
      <c r="E6" s="314"/>
      <c r="F6" s="315"/>
      <c r="G6" s="233"/>
    </row>
    <row r="7" spans="1:11" ht="13">
      <c r="A7" s="2">
        <f t="shared" ref="A7:A73" si="0">A6+1</f>
        <v>3</v>
      </c>
      <c r="B7" s="4" t="s">
        <v>2944</v>
      </c>
      <c r="C7" s="314"/>
      <c r="D7" s="314"/>
      <c r="E7" s="314"/>
      <c r="F7" s="314"/>
      <c r="G7" s="233"/>
      <c r="J7" s="810"/>
      <c r="K7" s="303"/>
    </row>
    <row r="8" spans="1:11" ht="13">
      <c r="A8" s="2">
        <f t="shared" si="0"/>
        <v>4</v>
      </c>
      <c r="B8" s="4" t="s">
        <v>2945</v>
      </c>
      <c r="C8" s="314"/>
      <c r="D8" s="314"/>
      <c r="E8" s="314"/>
      <c r="F8" s="314"/>
      <c r="G8" s="233"/>
      <c r="J8" s="810"/>
      <c r="K8" s="303"/>
    </row>
    <row r="9" spans="1:11" ht="13">
      <c r="A9" s="2"/>
      <c r="B9" s="4"/>
      <c r="C9" s="4"/>
      <c r="D9" s="4"/>
      <c r="E9" s="4"/>
      <c r="F9" s="4"/>
      <c r="G9" s="233"/>
      <c r="J9" s="810"/>
      <c r="K9" s="303"/>
    </row>
    <row r="10" spans="1:11" ht="13">
      <c r="A10" s="2"/>
      <c r="B10" s="233"/>
      <c r="C10" s="4"/>
      <c r="D10" s="4"/>
      <c r="E10" s="4"/>
      <c r="F10" s="4"/>
      <c r="G10" s="233"/>
      <c r="J10" s="810"/>
      <c r="K10" s="303"/>
    </row>
    <row r="11" spans="1:11" ht="13">
      <c r="A11" s="2"/>
      <c r="B11" s="47" t="s">
        <v>2946</v>
      </c>
      <c r="C11" s="233"/>
      <c r="D11" s="233"/>
      <c r="E11" s="233"/>
      <c r="F11" s="233"/>
      <c r="G11" s="233"/>
      <c r="H11" s="811"/>
      <c r="I11" s="857"/>
      <c r="J11" s="810"/>
      <c r="K11" s="303"/>
    </row>
    <row r="12" spans="1:11" ht="13">
      <c r="A12" s="2"/>
      <c r="B12" s="47"/>
      <c r="C12" s="233"/>
      <c r="D12" s="233"/>
      <c r="E12" s="233"/>
      <c r="F12" s="233"/>
      <c r="G12" s="233"/>
      <c r="H12" s="811"/>
      <c r="I12" s="857"/>
      <c r="J12" s="810"/>
      <c r="K12" s="303"/>
    </row>
    <row r="13" spans="1:11" ht="13">
      <c r="A13" s="2"/>
      <c r="B13" s="233"/>
      <c r="C13" s="303"/>
      <c r="D13" s="48" t="s">
        <v>345</v>
      </c>
      <c r="E13" s="48" t="s">
        <v>346</v>
      </c>
      <c r="F13" s="48" t="s">
        <v>347</v>
      </c>
      <c r="G13" s="48" t="s">
        <v>348</v>
      </c>
      <c r="H13" s="811"/>
      <c r="I13" s="857"/>
      <c r="J13" s="810"/>
      <c r="K13" s="303"/>
    </row>
    <row r="14" spans="1:11" ht="13">
      <c r="A14" s="233"/>
      <c r="B14" s="233"/>
      <c r="C14" s="303"/>
      <c r="D14" s="310" t="s">
        <v>2947</v>
      </c>
      <c r="E14" s="310" t="s">
        <v>2948</v>
      </c>
      <c r="F14" s="310" t="s">
        <v>2949</v>
      </c>
      <c r="G14" s="310" t="s">
        <v>1476</v>
      </c>
      <c r="H14" s="810"/>
      <c r="I14" s="809"/>
      <c r="J14" s="303"/>
      <c r="K14" s="303"/>
    </row>
    <row r="15" spans="1:11" ht="13">
      <c r="A15" s="2"/>
      <c r="B15" s="233"/>
      <c r="C15" s="303"/>
      <c r="D15" s="310" t="s">
        <v>921</v>
      </c>
      <c r="E15" s="310" t="s">
        <v>921</v>
      </c>
      <c r="F15" s="310" t="s">
        <v>921</v>
      </c>
      <c r="G15" s="310" t="s">
        <v>921</v>
      </c>
      <c r="H15" s="809"/>
      <c r="I15" s="831"/>
      <c r="J15" s="303"/>
      <c r="K15" s="303"/>
    </row>
    <row r="16" spans="1:11" ht="16">
      <c r="A16" s="3" t="s">
        <v>282</v>
      </c>
      <c r="B16" s="194" t="s">
        <v>2950</v>
      </c>
      <c r="C16" s="233"/>
      <c r="D16" s="328" t="s">
        <v>251</v>
      </c>
      <c r="E16" s="328" t="s">
        <v>251</v>
      </c>
      <c r="F16" s="328" t="s">
        <v>251</v>
      </c>
      <c r="G16" s="328" t="s">
        <v>251</v>
      </c>
      <c r="H16" s="1098"/>
      <c r="I16" s="809"/>
      <c r="J16" s="303"/>
      <c r="K16" s="303"/>
    </row>
    <row r="17" spans="1:11" ht="13">
      <c r="A17" s="2">
        <f>A8+1</f>
        <v>5</v>
      </c>
      <c r="B17" s="233"/>
      <c r="C17" s="243" t="s">
        <v>1636</v>
      </c>
      <c r="D17" s="315">
        <v>22315.910363876486</v>
      </c>
      <c r="E17" s="314"/>
      <c r="F17" s="314"/>
      <c r="G17" s="344">
        <f>SUM(D17:F17)</f>
        <v>22315.910363876486</v>
      </c>
      <c r="H17" s="810"/>
      <c r="I17" s="306"/>
      <c r="J17" s="303"/>
      <c r="K17" s="303"/>
    </row>
    <row r="18" spans="1:11" ht="13">
      <c r="A18" s="2">
        <f t="shared" si="0"/>
        <v>6</v>
      </c>
      <c r="B18" s="233"/>
      <c r="C18" s="243" t="s">
        <v>1637</v>
      </c>
      <c r="D18" s="253"/>
      <c r="E18" s="240"/>
      <c r="F18" s="240"/>
      <c r="G18" s="344">
        <f t="shared" ref="G18:G47" si="1">SUM(D18:F18)</f>
        <v>0</v>
      </c>
      <c r="I18" s="813"/>
    </row>
    <row r="19" spans="1:11" ht="13">
      <c r="A19" s="2">
        <f t="shared" si="0"/>
        <v>7</v>
      </c>
      <c r="B19" s="233"/>
      <c r="C19" s="243" t="s">
        <v>1638</v>
      </c>
      <c r="D19" s="253">
        <v>42674.362430767833</v>
      </c>
      <c r="E19" s="240"/>
      <c r="F19" s="240"/>
      <c r="G19" s="344">
        <f t="shared" si="1"/>
        <v>42674.362430767833</v>
      </c>
      <c r="I19" s="813"/>
    </row>
    <row r="20" spans="1:11" ht="13">
      <c r="A20" s="2">
        <f t="shared" si="0"/>
        <v>8</v>
      </c>
      <c r="B20" s="233"/>
      <c r="C20" s="243" t="s">
        <v>1639</v>
      </c>
      <c r="D20" s="253"/>
      <c r="E20" s="240"/>
      <c r="F20" s="240"/>
      <c r="G20" s="344">
        <f t="shared" si="1"/>
        <v>0</v>
      </c>
      <c r="I20" s="813"/>
    </row>
    <row r="21" spans="1:11" ht="13">
      <c r="A21" s="2">
        <f t="shared" si="0"/>
        <v>9</v>
      </c>
      <c r="B21" s="233"/>
      <c r="C21" s="243" t="s">
        <v>1641</v>
      </c>
      <c r="D21" s="253">
        <v>52441.221126858749</v>
      </c>
      <c r="E21" s="240"/>
      <c r="F21" s="240"/>
      <c r="G21" s="344">
        <f t="shared" si="1"/>
        <v>52441.221126858749</v>
      </c>
      <c r="I21" s="813"/>
    </row>
    <row r="22" spans="1:11" ht="13">
      <c r="A22" s="2">
        <f t="shared" si="0"/>
        <v>10</v>
      </c>
      <c r="B22" s="233"/>
      <c r="C22" s="243" t="s">
        <v>1642</v>
      </c>
      <c r="D22" s="253"/>
      <c r="E22" s="240"/>
      <c r="F22" s="240"/>
      <c r="G22" s="344">
        <f t="shared" si="1"/>
        <v>0</v>
      </c>
      <c r="I22" s="813"/>
    </row>
    <row r="23" spans="1:11" ht="13">
      <c r="A23" s="2">
        <f t="shared" si="0"/>
        <v>11</v>
      </c>
      <c r="B23" s="233"/>
      <c r="C23" s="243" t="s">
        <v>1643</v>
      </c>
      <c r="D23" s="253"/>
      <c r="E23" s="240"/>
      <c r="F23" s="240"/>
      <c r="G23" s="344">
        <f t="shared" si="1"/>
        <v>0</v>
      </c>
      <c r="I23" s="813"/>
    </row>
    <row r="24" spans="1:11" ht="13">
      <c r="A24" s="2">
        <f t="shared" si="0"/>
        <v>12</v>
      </c>
      <c r="B24" s="233"/>
      <c r="C24" s="243" t="s">
        <v>1645</v>
      </c>
      <c r="D24" s="253"/>
      <c r="E24" s="240"/>
      <c r="F24" s="240"/>
      <c r="G24" s="344">
        <f t="shared" si="1"/>
        <v>0</v>
      </c>
      <c r="I24" s="813"/>
    </row>
    <row r="25" spans="1:11" ht="13">
      <c r="A25" s="2">
        <f t="shared" si="0"/>
        <v>13</v>
      </c>
      <c r="B25" s="233"/>
      <c r="C25" s="243" t="s">
        <v>1646</v>
      </c>
      <c r="D25" s="253">
        <v>360211.8156160537</v>
      </c>
      <c r="E25" s="240"/>
      <c r="F25" s="240"/>
      <c r="G25" s="344">
        <f t="shared" si="1"/>
        <v>360211.8156160537</v>
      </c>
      <c r="I25" s="813"/>
    </row>
    <row r="26" spans="1:11" ht="13">
      <c r="A26" s="2">
        <f t="shared" si="0"/>
        <v>14</v>
      </c>
      <c r="B26" s="233"/>
      <c r="C26" s="243" t="s">
        <v>1647</v>
      </c>
      <c r="D26" s="253"/>
      <c r="E26" s="240"/>
      <c r="F26" s="240"/>
      <c r="G26" s="344">
        <f t="shared" si="1"/>
        <v>0</v>
      </c>
      <c r="I26" s="813"/>
    </row>
    <row r="27" spans="1:11" ht="13">
      <c r="A27" s="2">
        <f t="shared" si="0"/>
        <v>15</v>
      </c>
      <c r="B27" s="233"/>
      <c r="C27" s="243" t="s">
        <v>1648</v>
      </c>
      <c r="D27" s="253"/>
      <c r="E27" s="240"/>
      <c r="F27" s="240"/>
      <c r="G27" s="344">
        <f t="shared" si="1"/>
        <v>0</v>
      </c>
      <c r="I27" s="813"/>
    </row>
    <row r="28" spans="1:11" ht="13">
      <c r="A28" s="2">
        <f t="shared" si="0"/>
        <v>16</v>
      </c>
      <c r="B28" s="233"/>
      <c r="C28" s="243" t="s">
        <v>1649</v>
      </c>
      <c r="D28" s="253"/>
      <c r="E28" s="240"/>
      <c r="F28" s="240"/>
      <c r="G28" s="344">
        <f t="shared" si="1"/>
        <v>0</v>
      </c>
      <c r="I28" s="813"/>
    </row>
    <row r="29" spans="1:11" ht="13">
      <c r="A29" s="2">
        <f t="shared" si="0"/>
        <v>17</v>
      </c>
      <c r="B29" s="233"/>
      <c r="C29" s="243" t="s">
        <v>1651</v>
      </c>
      <c r="D29" s="253"/>
      <c r="E29" s="240"/>
      <c r="F29" s="240"/>
      <c r="G29" s="344">
        <f t="shared" si="1"/>
        <v>0</v>
      </c>
      <c r="I29" s="813"/>
    </row>
    <row r="30" spans="1:11" ht="13">
      <c r="A30" s="2">
        <f t="shared" si="0"/>
        <v>18</v>
      </c>
      <c r="B30" s="233"/>
      <c r="C30" s="243" t="s">
        <v>1652</v>
      </c>
      <c r="D30" s="253">
        <v>161175.2011322469</v>
      </c>
      <c r="E30" s="240"/>
      <c r="F30" s="240"/>
      <c r="G30" s="344">
        <f t="shared" si="1"/>
        <v>161175.2011322469</v>
      </c>
      <c r="I30" s="813"/>
    </row>
    <row r="31" spans="1:11" ht="13">
      <c r="A31" s="2">
        <f t="shared" si="0"/>
        <v>19</v>
      </c>
      <c r="B31" s="233"/>
      <c r="C31" s="243" t="s">
        <v>1654</v>
      </c>
      <c r="D31" s="253"/>
      <c r="E31" s="240"/>
      <c r="F31" s="240"/>
      <c r="G31" s="344">
        <f t="shared" si="1"/>
        <v>0</v>
      </c>
      <c r="I31" s="813"/>
    </row>
    <row r="32" spans="1:11" ht="13">
      <c r="A32" s="2">
        <f t="shared" si="0"/>
        <v>20</v>
      </c>
      <c r="B32" s="233"/>
      <c r="C32" s="243" t="s">
        <v>1656</v>
      </c>
      <c r="D32" s="253"/>
      <c r="E32" s="240"/>
      <c r="F32" s="240"/>
      <c r="G32" s="344">
        <f t="shared" si="1"/>
        <v>0</v>
      </c>
      <c r="I32" s="813"/>
    </row>
    <row r="33" spans="1:9" ht="13">
      <c r="A33" s="2">
        <f t="shared" si="0"/>
        <v>21</v>
      </c>
      <c r="B33" s="233"/>
      <c r="C33" s="243" t="s">
        <v>1657</v>
      </c>
      <c r="D33" s="253">
        <v>1469066.8805167449</v>
      </c>
      <c r="E33" s="240"/>
      <c r="F33" s="240"/>
      <c r="G33" s="344">
        <f t="shared" si="1"/>
        <v>1469066.8805167449</v>
      </c>
      <c r="I33" s="813"/>
    </row>
    <row r="34" spans="1:9" ht="13">
      <c r="A34" s="2">
        <f t="shared" si="0"/>
        <v>22</v>
      </c>
      <c r="B34" s="233"/>
      <c r="C34" s="243" t="s">
        <v>1658</v>
      </c>
      <c r="D34" s="253"/>
      <c r="E34" s="240"/>
      <c r="F34" s="240"/>
      <c r="G34" s="344">
        <f t="shared" si="1"/>
        <v>0</v>
      </c>
      <c r="I34" s="813"/>
    </row>
    <row r="35" spans="1:9" ht="13">
      <c r="A35" s="2">
        <f t="shared" si="0"/>
        <v>23</v>
      </c>
      <c r="B35" s="233"/>
      <c r="C35" s="243" t="s">
        <v>1659</v>
      </c>
      <c r="D35" s="253"/>
      <c r="E35" s="240"/>
      <c r="F35" s="240"/>
      <c r="G35" s="344">
        <f t="shared" si="1"/>
        <v>0</v>
      </c>
      <c r="I35" s="813"/>
    </row>
    <row r="36" spans="1:9" ht="13">
      <c r="A36" s="2">
        <f t="shared" si="0"/>
        <v>24</v>
      </c>
      <c r="B36" s="233"/>
      <c r="C36" s="243" t="s">
        <v>1660</v>
      </c>
      <c r="D36" s="253">
        <v>4272.7064667446803</v>
      </c>
      <c r="E36" s="240"/>
      <c r="F36" s="240"/>
      <c r="G36" s="344">
        <f t="shared" si="1"/>
        <v>4272.7064667446803</v>
      </c>
      <c r="I36" s="813"/>
    </row>
    <row r="37" spans="1:9" ht="13">
      <c r="A37" s="2">
        <f t="shared" si="0"/>
        <v>25</v>
      </c>
      <c r="B37" s="233"/>
      <c r="C37" s="243" t="s">
        <v>1661</v>
      </c>
      <c r="D37" s="253"/>
      <c r="E37" s="240"/>
      <c r="F37" s="240"/>
      <c r="G37" s="344">
        <f t="shared" si="1"/>
        <v>0</v>
      </c>
      <c r="I37" s="813"/>
    </row>
    <row r="38" spans="1:9" ht="13">
      <c r="A38" s="2">
        <f t="shared" si="0"/>
        <v>26</v>
      </c>
      <c r="B38" s="233"/>
      <c r="C38" s="243" t="s">
        <v>1662</v>
      </c>
      <c r="D38" s="253"/>
      <c r="E38" s="240"/>
      <c r="F38" s="240"/>
      <c r="G38" s="344">
        <f t="shared" si="1"/>
        <v>0</v>
      </c>
      <c r="I38" s="813"/>
    </row>
    <row r="39" spans="1:9" ht="13">
      <c r="A39" s="2">
        <f t="shared" si="0"/>
        <v>27</v>
      </c>
      <c r="B39" s="233"/>
      <c r="C39" s="243" t="s">
        <v>1664</v>
      </c>
      <c r="D39" s="253"/>
      <c r="E39" s="240"/>
      <c r="F39" s="240"/>
      <c r="G39" s="344">
        <f t="shared" si="1"/>
        <v>0</v>
      </c>
      <c r="I39" s="813"/>
    </row>
    <row r="40" spans="1:9" ht="13">
      <c r="A40" s="2">
        <f t="shared" si="0"/>
        <v>28</v>
      </c>
      <c r="B40" s="233"/>
      <c r="C40" s="243" t="s">
        <v>1665</v>
      </c>
      <c r="D40" s="253"/>
      <c r="E40" s="240"/>
      <c r="F40" s="240"/>
      <c r="G40" s="344">
        <f t="shared" si="1"/>
        <v>0</v>
      </c>
      <c r="I40" s="813"/>
    </row>
    <row r="41" spans="1:9" ht="13">
      <c r="A41" s="2">
        <f t="shared" si="0"/>
        <v>29</v>
      </c>
      <c r="B41" s="233"/>
      <c r="C41" s="243" t="s">
        <v>1666</v>
      </c>
      <c r="D41" s="253"/>
      <c r="E41" s="240"/>
      <c r="F41" s="240"/>
      <c r="G41" s="344">
        <f t="shared" si="1"/>
        <v>0</v>
      </c>
      <c r="I41" s="813"/>
    </row>
    <row r="42" spans="1:9" ht="13">
      <c r="A42" s="2">
        <f t="shared" si="0"/>
        <v>30</v>
      </c>
      <c r="B42" s="233"/>
      <c r="C42" s="243" t="s">
        <v>1667</v>
      </c>
      <c r="D42" s="253">
        <v>501959.32981062616</v>
      </c>
      <c r="E42" s="240"/>
      <c r="F42" s="240"/>
      <c r="G42" s="344">
        <f t="shared" si="1"/>
        <v>501959.32981062616</v>
      </c>
      <c r="I42" s="813"/>
    </row>
    <row r="43" spans="1:9" ht="13">
      <c r="A43" s="2">
        <f t="shared" si="0"/>
        <v>31</v>
      </c>
      <c r="B43" s="233"/>
      <c r="C43" s="243" t="s">
        <v>1668</v>
      </c>
      <c r="D43" s="253"/>
      <c r="E43" s="240"/>
      <c r="F43" s="240"/>
      <c r="G43" s="344">
        <f t="shared" si="1"/>
        <v>0</v>
      </c>
      <c r="I43" s="813"/>
    </row>
    <row r="44" spans="1:9" ht="13">
      <c r="A44" s="2">
        <f t="shared" si="0"/>
        <v>32</v>
      </c>
      <c r="B44" s="233"/>
      <c r="C44" s="243" t="s">
        <v>1669</v>
      </c>
      <c r="D44" s="253"/>
      <c r="E44" s="240"/>
      <c r="F44" s="240"/>
      <c r="G44" s="344">
        <f t="shared" si="1"/>
        <v>0</v>
      </c>
      <c r="I44" s="813"/>
    </row>
    <row r="45" spans="1:9" ht="13">
      <c r="A45" s="2">
        <f t="shared" si="0"/>
        <v>33</v>
      </c>
      <c r="B45" s="233"/>
      <c r="C45" s="243" t="s">
        <v>1670</v>
      </c>
      <c r="D45" s="253"/>
      <c r="E45" s="240"/>
      <c r="F45" s="240"/>
      <c r="G45" s="344">
        <f t="shared" si="1"/>
        <v>0</v>
      </c>
      <c r="I45" s="813"/>
    </row>
    <row r="46" spans="1:9" ht="13">
      <c r="A46" s="2">
        <f t="shared" si="0"/>
        <v>34</v>
      </c>
      <c r="B46" s="233"/>
      <c r="C46" s="243" t="s">
        <v>1671</v>
      </c>
      <c r="D46" s="253">
        <v>14621.525463293581</v>
      </c>
      <c r="E46" s="240"/>
      <c r="F46" s="240"/>
      <c r="G46" s="344">
        <f t="shared" si="1"/>
        <v>14621.525463293581</v>
      </c>
      <c r="I46" s="813"/>
    </row>
    <row r="47" spans="1:9" ht="13">
      <c r="A47" s="2">
        <f t="shared" si="0"/>
        <v>35</v>
      </c>
      <c r="B47" s="233"/>
      <c r="C47" s="243" t="s">
        <v>2951</v>
      </c>
      <c r="D47" s="253"/>
      <c r="E47" s="240"/>
      <c r="F47" s="240"/>
      <c r="G47" s="344">
        <f t="shared" si="1"/>
        <v>0</v>
      </c>
      <c r="I47" s="813"/>
    </row>
    <row r="48" spans="1:9" ht="13">
      <c r="A48" s="2">
        <f t="shared" si="0"/>
        <v>36</v>
      </c>
      <c r="B48" s="233"/>
      <c r="C48" s="266" t="s">
        <v>639</v>
      </c>
      <c r="D48" s="950"/>
      <c r="E48" s="951"/>
      <c r="F48" s="951"/>
      <c r="G48" s="961"/>
      <c r="I48" s="829"/>
    </row>
    <row r="49" spans="1:9" ht="13">
      <c r="A49" s="2">
        <f t="shared" si="0"/>
        <v>37</v>
      </c>
      <c r="B49" s="233"/>
      <c r="C49" s="231" t="s">
        <v>2952</v>
      </c>
      <c r="D49" s="235">
        <f>SUM(D17:D48)</f>
        <v>2628738.9529272132</v>
      </c>
      <c r="E49" s="235">
        <f t="shared" ref="E49:F49" si="2">SUM(E17:E47)</f>
        <v>0</v>
      </c>
      <c r="F49" s="235">
        <f t="shared" si="2"/>
        <v>0</v>
      </c>
      <c r="G49" s="344">
        <f>SUM(D49:F49)</f>
        <v>2628738.9529272132</v>
      </c>
    </row>
    <row r="50" spans="1:9" ht="13">
      <c r="A50" s="2"/>
      <c r="B50" s="233"/>
      <c r="C50" s="231"/>
      <c r="D50" s="235"/>
      <c r="E50" s="233"/>
      <c r="F50" s="233"/>
      <c r="G50" s="233"/>
    </row>
    <row r="51" spans="1:9" ht="13">
      <c r="A51" s="2"/>
      <c r="B51" s="233"/>
      <c r="C51" s="231"/>
      <c r="D51" s="48" t="s">
        <v>345</v>
      </c>
      <c r="E51" s="48" t="s">
        <v>346</v>
      </c>
      <c r="F51" s="48" t="s">
        <v>347</v>
      </c>
      <c r="G51" s="48" t="s">
        <v>348</v>
      </c>
    </row>
    <row r="52" spans="1:9" ht="13">
      <c r="A52" s="2"/>
      <c r="B52" s="233"/>
      <c r="C52" s="233"/>
      <c r="D52" s="310" t="s">
        <v>2947</v>
      </c>
      <c r="E52" s="310" t="s">
        <v>2948</v>
      </c>
      <c r="F52" s="310" t="s">
        <v>2949</v>
      </c>
      <c r="G52" s="310" t="s">
        <v>1476</v>
      </c>
    </row>
    <row r="53" spans="1:9" ht="13">
      <c r="A53" s="2"/>
      <c r="B53" s="233"/>
      <c r="C53" s="233"/>
      <c r="D53" s="310" t="s">
        <v>921</v>
      </c>
      <c r="E53" s="310" t="s">
        <v>921</v>
      </c>
      <c r="F53" s="310" t="s">
        <v>921</v>
      </c>
      <c r="G53" s="310" t="s">
        <v>921</v>
      </c>
    </row>
    <row r="54" spans="1:9" ht="13">
      <c r="A54" s="3" t="s">
        <v>282</v>
      </c>
      <c r="B54" s="194" t="s">
        <v>2953</v>
      </c>
      <c r="C54" s="233"/>
      <c r="D54" s="328" t="s">
        <v>251</v>
      </c>
      <c r="E54" s="328" t="s">
        <v>251</v>
      </c>
      <c r="F54" s="328" t="s">
        <v>251</v>
      </c>
      <c r="G54" s="328" t="s">
        <v>251</v>
      </c>
    </row>
    <row r="55" spans="1:9" ht="13">
      <c r="A55" s="2">
        <f>A49+1</f>
        <v>38</v>
      </c>
      <c r="B55" s="233"/>
      <c r="C55" s="233" t="s">
        <v>2954</v>
      </c>
      <c r="D55" s="253">
        <v>202466.41212006641</v>
      </c>
      <c r="E55" s="240"/>
      <c r="F55" s="240"/>
      <c r="G55" s="344">
        <f>SUM(D55:F55)</f>
        <v>202466.41212006641</v>
      </c>
      <c r="I55" s="813"/>
    </row>
    <row r="56" spans="1:9" ht="13">
      <c r="A56" s="2">
        <f t="shared" si="0"/>
        <v>39</v>
      </c>
      <c r="B56" s="233"/>
      <c r="C56" s="233" t="s">
        <v>2955</v>
      </c>
      <c r="D56" s="253">
        <v>170376.22489705528</v>
      </c>
      <c r="E56" s="240"/>
      <c r="F56" s="240"/>
      <c r="G56" s="344">
        <f t="shared" ref="G56:G73" si="3">SUM(D56:F56)</f>
        <v>170376.22489705528</v>
      </c>
      <c r="I56" s="813"/>
    </row>
    <row r="57" spans="1:9" ht="13">
      <c r="A57" s="2">
        <f t="shared" si="0"/>
        <v>40</v>
      </c>
      <c r="B57" s="233"/>
      <c r="C57" s="233" t="s">
        <v>2956</v>
      </c>
      <c r="D57" s="253">
        <v>-102133.96715460414</v>
      </c>
      <c r="E57" s="240"/>
      <c r="F57" s="240"/>
      <c r="G57" s="344">
        <f t="shared" si="3"/>
        <v>-102133.96715460414</v>
      </c>
      <c r="I57" s="813"/>
    </row>
    <row r="58" spans="1:9" ht="13">
      <c r="A58" s="2">
        <f t="shared" si="0"/>
        <v>41</v>
      </c>
      <c r="B58" s="233"/>
      <c r="C58" s="233" t="s">
        <v>2957</v>
      </c>
      <c r="D58" s="253">
        <v>24377.97929364334</v>
      </c>
      <c r="E58" s="240"/>
      <c r="F58" s="240"/>
      <c r="G58" s="344">
        <f t="shared" si="3"/>
        <v>24377.97929364334</v>
      </c>
      <c r="I58" s="813"/>
    </row>
    <row r="59" spans="1:9" ht="13">
      <c r="A59" s="2">
        <f t="shared" si="0"/>
        <v>42</v>
      </c>
      <c r="B59" s="233"/>
      <c r="C59" s="233" t="s">
        <v>2958</v>
      </c>
      <c r="D59" s="253">
        <v>0</v>
      </c>
      <c r="E59" s="240"/>
      <c r="F59" s="240"/>
      <c r="G59" s="344">
        <f t="shared" si="3"/>
        <v>0</v>
      </c>
      <c r="I59" s="813"/>
    </row>
    <row r="60" spans="1:9" ht="13">
      <c r="A60" s="2">
        <f t="shared" si="0"/>
        <v>43</v>
      </c>
      <c r="B60" s="233"/>
      <c r="C60" s="233" t="s">
        <v>2959</v>
      </c>
      <c r="D60" s="253">
        <v>636215.71918483078</v>
      </c>
      <c r="E60" s="240"/>
      <c r="F60" s="240"/>
      <c r="G60" s="344">
        <f t="shared" si="3"/>
        <v>636215.71918483078</v>
      </c>
      <c r="I60" s="813"/>
    </row>
    <row r="61" spans="1:9" ht="13">
      <c r="A61" s="2">
        <f t="shared" si="0"/>
        <v>44</v>
      </c>
      <c r="B61" s="233"/>
      <c r="C61" s="233" t="s">
        <v>2960</v>
      </c>
      <c r="D61" s="253">
        <v>31687.632361550259</v>
      </c>
      <c r="E61" s="240"/>
      <c r="F61" s="240"/>
      <c r="G61" s="344">
        <f t="shared" si="3"/>
        <v>31687.632361550259</v>
      </c>
      <c r="I61" s="813"/>
    </row>
    <row r="62" spans="1:9" ht="13">
      <c r="A62" s="2">
        <f t="shared" si="0"/>
        <v>45</v>
      </c>
      <c r="B62" s="233"/>
      <c r="C62" s="233" t="s">
        <v>2961</v>
      </c>
      <c r="D62" s="253">
        <v>94761.499091477512</v>
      </c>
      <c r="E62" s="240"/>
      <c r="F62" s="240"/>
      <c r="G62" s="344">
        <f t="shared" si="3"/>
        <v>94761.499091477512</v>
      </c>
      <c r="I62" s="838"/>
    </row>
    <row r="63" spans="1:9" ht="13">
      <c r="A63" s="2">
        <f t="shared" si="0"/>
        <v>46</v>
      </c>
      <c r="B63" s="953"/>
      <c r="C63" s="233" t="s">
        <v>2962</v>
      </c>
      <c r="D63" s="253">
        <v>2992.2758177351197</v>
      </c>
      <c r="E63" s="240"/>
      <c r="F63" s="240"/>
      <c r="G63" s="344">
        <f t="shared" si="3"/>
        <v>2992.2758177351197</v>
      </c>
      <c r="I63" s="813"/>
    </row>
    <row r="64" spans="1:9" ht="13">
      <c r="A64" s="2">
        <f t="shared" si="0"/>
        <v>47</v>
      </c>
      <c r="B64" s="954"/>
      <c r="C64" s="233" t="s">
        <v>2963</v>
      </c>
      <c r="D64" s="253">
        <v>0</v>
      </c>
      <c r="E64" s="240"/>
      <c r="F64" s="240"/>
      <c r="G64" s="344">
        <f t="shared" si="3"/>
        <v>0</v>
      </c>
      <c r="I64" s="813"/>
    </row>
    <row r="65" spans="1:9" ht="13">
      <c r="A65" s="2">
        <f t="shared" si="0"/>
        <v>48</v>
      </c>
      <c r="B65" s="303"/>
      <c r="C65" s="233" t="s">
        <v>2964</v>
      </c>
      <c r="D65" s="253">
        <v>8195.4845244985809</v>
      </c>
      <c r="E65" s="240"/>
      <c r="F65" s="240"/>
      <c r="G65" s="344">
        <f t="shared" si="3"/>
        <v>8195.4845244985809</v>
      </c>
      <c r="I65" s="813"/>
    </row>
    <row r="66" spans="1:9" ht="13">
      <c r="A66" s="2">
        <f t="shared" si="0"/>
        <v>49</v>
      </c>
      <c r="B66" s="954"/>
      <c r="C66" s="233" t="s">
        <v>2965</v>
      </c>
      <c r="D66" s="253">
        <v>10945.006192446112</v>
      </c>
      <c r="E66" s="240"/>
      <c r="F66" s="240"/>
      <c r="G66" s="344">
        <f t="shared" si="3"/>
        <v>10945.006192446112</v>
      </c>
      <c r="I66" s="813"/>
    </row>
    <row r="67" spans="1:9" ht="13">
      <c r="A67" s="2">
        <f t="shared" si="0"/>
        <v>50</v>
      </c>
      <c r="B67" s="954"/>
      <c r="C67" s="233" t="s">
        <v>2966</v>
      </c>
      <c r="D67" s="253">
        <v>5412.8614967056956</v>
      </c>
      <c r="E67" s="240"/>
      <c r="F67" s="240"/>
      <c r="G67" s="344">
        <f t="shared" si="3"/>
        <v>5412.8614967056956</v>
      </c>
      <c r="I67" s="813"/>
    </row>
    <row r="68" spans="1:9" ht="13">
      <c r="A68" s="2">
        <f t="shared" si="0"/>
        <v>51</v>
      </c>
      <c r="B68" s="233"/>
      <c r="C68" s="245" t="s">
        <v>3112</v>
      </c>
      <c r="D68" s="253">
        <v>16735.835865171946</v>
      </c>
      <c r="E68" s="240"/>
      <c r="F68" s="240"/>
      <c r="G68" s="344">
        <f t="shared" si="3"/>
        <v>16735.835865171946</v>
      </c>
      <c r="H68" s="1096"/>
      <c r="I68" s="829"/>
    </row>
    <row r="69" spans="1:9" ht="13">
      <c r="A69" s="2" t="s">
        <v>2967</v>
      </c>
      <c r="B69" s="233"/>
      <c r="C69" s="245" t="s">
        <v>2968</v>
      </c>
      <c r="D69" s="1114"/>
      <c r="E69" s="392"/>
      <c r="F69" s="392"/>
      <c r="G69" s="344">
        <f t="shared" si="3"/>
        <v>0</v>
      </c>
      <c r="H69" s="1096"/>
      <c r="I69" s="829"/>
    </row>
    <row r="70" spans="1:9" ht="13">
      <c r="A70" s="2" t="s">
        <v>2969</v>
      </c>
      <c r="B70" s="233"/>
      <c r="C70" s="245" t="s">
        <v>2970</v>
      </c>
      <c r="D70" s="1114"/>
      <c r="E70" s="392"/>
      <c r="F70" s="392"/>
      <c r="G70" s="344">
        <f t="shared" si="3"/>
        <v>0</v>
      </c>
      <c r="H70" s="1096"/>
      <c r="I70" s="829"/>
    </row>
    <row r="71" spans="1:9" ht="13">
      <c r="A71" s="2" t="s">
        <v>2971</v>
      </c>
      <c r="B71" s="233"/>
      <c r="C71" s="245" t="s">
        <v>2972</v>
      </c>
      <c r="D71" s="1114"/>
      <c r="E71" s="392"/>
      <c r="F71" s="392"/>
      <c r="G71" s="344">
        <f t="shared" si="3"/>
        <v>0</v>
      </c>
      <c r="H71" s="1096"/>
      <c r="I71" s="829"/>
    </row>
    <row r="72" spans="1:9" ht="13">
      <c r="A72" s="2">
        <f>A68+1</f>
        <v>52</v>
      </c>
      <c r="B72" s="233"/>
      <c r="C72" s="266" t="s">
        <v>639</v>
      </c>
      <c r="D72" s="950"/>
      <c r="E72" s="951"/>
      <c r="F72" s="951"/>
      <c r="G72" s="955"/>
      <c r="I72" s="829"/>
    </row>
    <row r="73" spans="1:9" ht="13">
      <c r="A73" s="2">
        <f t="shared" si="0"/>
        <v>53</v>
      </c>
      <c r="B73" s="233"/>
      <c r="C73" s="231" t="s">
        <v>2973</v>
      </c>
      <c r="D73" s="235">
        <f>SUM(D55:D72)</f>
        <v>1102032.9636905771</v>
      </c>
      <c r="E73" s="235">
        <f>SUM(E55:E72)</f>
        <v>0</v>
      </c>
      <c r="F73" s="235">
        <f>SUM(F55:F72)</f>
        <v>0</v>
      </c>
      <c r="G73" s="344">
        <f t="shared" si="3"/>
        <v>1102032.9636905771</v>
      </c>
    </row>
    <row r="74" spans="1:9" ht="13">
      <c r="A74" s="2"/>
      <c r="B74" s="233"/>
      <c r="C74" s="231"/>
      <c r="D74" s="235"/>
      <c r="E74" s="235"/>
      <c r="F74" s="235"/>
      <c r="G74" s="344"/>
    </row>
    <row r="75" spans="1:9" ht="13">
      <c r="A75" s="2"/>
      <c r="B75" s="233"/>
      <c r="C75" s="231"/>
      <c r="D75" s="48" t="s">
        <v>345</v>
      </c>
      <c r="E75" s="48" t="s">
        <v>346</v>
      </c>
      <c r="F75" s="48" t="s">
        <v>347</v>
      </c>
      <c r="G75" s="48" t="s">
        <v>348</v>
      </c>
    </row>
    <row r="76" spans="1:9" ht="13">
      <c r="A76" s="2"/>
      <c r="B76" s="233"/>
      <c r="C76" s="231"/>
      <c r="D76" s="310" t="s">
        <v>2947</v>
      </c>
      <c r="E76" s="310" t="s">
        <v>2948</v>
      </c>
      <c r="F76" s="310" t="s">
        <v>2949</v>
      </c>
      <c r="G76" s="310" t="s">
        <v>1476</v>
      </c>
    </row>
    <row r="77" spans="1:9" ht="13">
      <c r="A77" s="2"/>
      <c r="B77" s="233"/>
      <c r="C77" s="233"/>
      <c r="D77" s="310" t="s">
        <v>921</v>
      </c>
      <c r="E77" s="310" t="s">
        <v>921</v>
      </c>
      <c r="F77" s="310" t="s">
        <v>921</v>
      </c>
      <c r="G77" s="310" t="s">
        <v>921</v>
      </c>
    </row>
    <row r="78" spans="1:9" ht="13">
      <c r="A78" s="3" t="s">
        <v>282</v>
      </c>
      <c r="B78" s="194" t="s">
        <v>2974</v>
      </c>
      <c r="C78" s="233"/>
      <c r="D78" s="328" t="s">
        <v>251</v>
      </c>
      <c r="E78" s="328" t="s">
        <v>251</v>
      </c>
      <c r="F78" s="328" t="s">
        <v>251</v>
      </c>
      <c r="G78" s="328" t="s">
        <v>251</v>
      </c>
    </row>
    <row r="79" spans="1:9" ht="13">
      <c r="A79" s="2">
        <f>A73+1</f>
        <v>54</v>
      </c>
      <c r="B79" s="233"/>
      <c r="C79" s="233" t="s">
        <v>128</v>
      </c>
      <c r="D79" s="253">
        <v>7083242.6897185966</v>
      </c>
      <c r="E79" s="240"/>
      <c r="F79" s="240"/>
      <c r="G79" s="952">
        <f>SUM(D79:F79)</f>
        <v>7083242.6897185966</v>
      </c>
      <c r="I79" s="829"/>
    </row>
    <row r="80" spans="1:9" ht="13">
      <c r="A80" s="2">
        <f>A79+1</f>
        <v>55</v>
      </c>
      <c r="B80" s="233"/>
      <c r="C80" s="231" t="s">
        <v>2975</v>
      </c>
      <c r="D80" s="235">
        <f>SUM(D79)</f>
        <v>7083242.6897185966</v>
      </c>
      <c r="E80" s="235">
        <f>SUM(E79)</f>
        <v>0</v>
      </c>
      <c r="F80" s="235">
        <f>SUM(F79)</f>
        <v>0</v>
      </c>
      <c r="G80" s="344">
        <f t="shared" ref="G80" si="4">SUM(D80:F80)</f>
        <v>7083242.6897185966</v>
      </c>
    </row>
    <row r="81" spans="1:11" ht="13">
      <c r="A81" s="2"/>
      <c r="B81" s="233"/>
      <c r="C81" s="233"/>
      <c r="D81" s="233"/>
      <c r="E81" s="233"/>
      <c r="F81" s="233"/>
      <c r="G81" s="233"/>
    </row>
    <row r="82" spans="1:11" ht="13">
      <c r="A82" s="2"/>
      <c r="B82" s="233"/>
      <c r="C82" s="233"/>
      <c r="D82" s="233"/>
      <c r="E82" s="233"/>
      <c r="F82" s="233"/>
      <c r="G82" s="233"/>
    </row>
    <row r="83" spans="1:11" ht="13">
      <c r="A83" s="2"/>
      <c r="B83" s="233"/>
      <c r="C83" s="233"/>
      <c r="D83" s="48" t="s">
        <v>345</v>
      </c>
      <c r="E83" s="48" t="s">
        <v>346</v>
      </c>
      <c r="F83" s="48" t="s">
        <v>347</v>
      </c>
      <c r="G83" s="48" t="s">
        <v>348</v>
      </c>
    </row>
    <row r="84" spans="1:11" ht="13">
      <c r="A84" s="2"/>
      <c r="B84" s="233"/>
      <c r="C84" s="233"/>
      <c r="D84" s="310" t="s">
        <v>2947</v>
      </c>
      <c r="E84" s="310" t="s">
        <v>2948</v>
      </c>
      <c r="F84" s="310" t="s">
        <v>2949</v>
      </c>
      <c r="G84" s="310" t="s">
        <v>1476</v>
      </c>
    </row>
    <row r="85" spans="1:11" ht="13">
      <c r="A85" s="233"/>
      <c r="B85" s="233"/>
      <c r="C85" s="233"/>
      <c r="D85" s="310" t="s">
        <v>921</v>
      </c>
      <c r="E85" s="310" t="s">
        <v>921</v>
      </c>
      <c r="F85" s="310" t="s">
        <v>921</v>
      </c>
      <c r="G85" s="310" t="s">
        <v>921</v>
      </c>
    </row>
    <row r="86" spans="1:11" ht="13">
      <c r="A86" s="3" t="s">
        <v>282</v>
      </c>
      <c r="B86" s="194" t="s">
        <v>2976</v>
      </c>
      <c r="C86" s="233"/>
      <c r="D86" s="328" t="s">
        <v>251</v>
      </c>
      <c r="E86" s="328" t="s">
        <v>251</v>
      </c>
      <c r="F86" s="328" t="s">
        <v>251</v>
      </c>
      <c r="G86" s="328" t="s">
        <v>251</v>
      </c>
    </row>
    <row r="87" spans="1:11" ht="13">
      <c r="A87" s="2">
        <f>A80+1</f>
        <v>56</v>
      </c>
      <c r="B87" s="233"/>
      <c r="C87" s="276" t="s">
        <v>135</v>
      </c>
      <c r="D87" s="253">
        <v>44672.418723061695</v>
      </c>
      <c r="E87" s="240"/>
      <c r="F87" s="240"/>
      <c r="G87" s="344">
        <f>SUM(D87:F87)</f>
        <v>44672.418723061695</v>
      </c>
      <c r="I87" s="813"/>
      <c r="K87" s="188"/>
    </row>
    <row r="88" spans="1:11" ht="13">
      <c r="A88" s="2">
        <f t="shared" ref="A88:A94" si="5">A87+1</f>
        <v>57</v>
      </c>
      <c r="B88" s="233"/>
      <c r="C88" s="276" t="s">
        <v>136</v>
      </c>
      <c r="D88" s="253">
        <v>131.66499623642324</v>
      </c>
      <c r="E88" s="240"/>
      <c r="F88" s="240"/>
      <c r="G88" s="344">
        <f t="shared" ref="G88:G89" si="6">SUM(D88:F88)</f>
        <v>131.66499623642324</v>
      </c>
      <c r="I88" s="813"/>
      <c r="K88" s="188"/>
    </row>
    <row r="89" spans="1:11" ht="13">
      <c r="A89" s="2">
        <f t="shared" si="5"/>
        <v>58</v>
      </c>
      <c r="B89" s="233"/>
      <c r="C89" s="276" t="s">
        <v>137</v>
      </c>
      <c r="D89" s="253">
        <v>30.714999122027418</v>
      </c>
      <c r="E89" s="240"/>
      <c r="F89" s="240"/>
      <c r="G89" s="344">
        <f t="shared" si="6"/>
        <v>30.714999122027418</v>
      </c>
      <c r="I89" s="813"/>
      <c r="K89" s="188"/>
    </row>
    <row r="90" spans="1:11" ht="13">
      <c r="A90" s="2">
        <f t="shared" si="5"/>
        <v>59</v>
      </c>
      <c r="B90" s="233"/>
      <c r="C90" s="276" t="s">
        <v>138</v>
      </c>
      <c r="D90" s="253">
        <v>1081.369969089591</v>
      </c>
      <c r="E90" s="240"/>
      <c r="F90" s="240"/>
      <c r="G90" s="344">
        <f t="shared" ref="G90:G93" si="7">SUM(D90:F90)</f>
        <v>1081.369969089591</v>
      </c>
      <c r="I90" s="813"/>
      <c r="K90" s="232"/>
    </row>
    <row r="91" spans="1:11" ht="13">
      <c r="A91" s="2">
        <f t="shared" si="5"/>
        <v>60</v>
      </c>
      <c r="B91" s="233"/>
      <c r="C91" s="276" t="s">
        <v>139</v>
      </c>
      <c r="D91" s="253">
        <v>383.32998904270778</v>
      </c>
      <c r="E91" s="240"/>
      <c r="F91" s="240"/>
      <c r="G91" s="344">
        <f t="shared" si="7"/>
        <v>383.32998904270778</v>
      </c>
      <c r="I91" s="813"/>
      <c r="K91" s="12"/>
    </row>
    <row r="92" spans="1:11" ht="13">
      <c r="A92" s="2">
        <f t="shared" si="5"/>
        <v>61</v>
      </c>
      <c r="B92" s="233"/>
      <c r="C92" s="276" t="s">
        <v>140</v>
      </c>
      <c r="D92" s="253">
        <v>620.4849822637533</v>
      </c>
      <c r="E92" s="240"/>
      <c r="F92" s="240"/>
      <c r="G92" s="344">
        <f t="shared" si="7"/>
        <v>620.4849822637533</v>
      </c>
      <c r="I92" s="813"/>
      <c r="K92" s="12"/>
    </row>
    <row r="93" spans="1:11" ht="13">
      <c r="A93" s="2">
        <f t="shared" si="5"/>
        <v>62</v>
      </c>
      <c r="B93" s="233"/>
      <c r="C93" s="276" t="s">
        <v>141</v>
      </c>
      <c r="D93" s="61">
        <v>12.639999638692061</v>
      </c>
      <c r="E93" s="240"/>
      <c r="F93" s="240"/>
      <c r="G93" s="952">
        <f t="shared" si="7"/>
        <v>12.639999638692061</v>
      </c>
      <c r="I93" s="829"/>
      <c r="K93" s="12"/>
    </row>
    <row r="94" spans="1:11" ht="13">
      <c r="A94" s="2">
        <f t="shared" si="5"/>
        <v>63</v>
      </c>
      <c r="B94" s="233"/>
      <c r="C94" s="231" t="s">
        <v>2977</v>
      </c>
      <c r="D94" s="235">
        <f>SUM(D87:D93)</f>
        <v>46932.62365845489</v>
      </c>
      <c r="E94" s="235">
        <f t="shared" ref="E94:F94" si="8">SUM(E87:E93)</f>
        <v>0</v>
      </c>
      <c r="F94" s="235">
        <f t="shared" si="8"/>
        <v>0</v>
      </c>
      <c r="G94" s="344">
        <f>SUM(D94:F94)</f>
        <v>46932.62365845489</v>
      </c>
    </row>
    <row r="95" spans="1:11" ht="13">
      <c r="A95" s="2"/>
      <c r="B95" s="233"/>
      <c r="C95" s="231"/>
      <c r="D95" s="235"/>
      <c r="E95" s="235"/>
      <c r="F95" s="235"/>
      <c r="G95" s="344"/>
    </row>
    <row r="96" spans="1:11" ht="13">
      <c r="A96" s="2"/>
      <c r="B96" s="233"/>
      <c r="C96" s="231"/>
      <c r="D96" s="48" t="s">
        <v>345</v>
      </c>
      <c r="E96" s="48" t="s">
        <v>346</v>
      </c>
      <c r="F96" s="48" t="s">
        <v>347</v>
      </c>
      <c r="G96" s="48" t="s">
        <v>348</v>
      </c>
    </row>
    <row r="97" spans="1:9" ht="13">
      <c r="A97" s="2"/>
      <c r="B97" s="233"/>
      <c r="C97" s="1"/>
      <c r="D97" s="310" t="s">
        <v>2947</v>
      </c>
      <c r="E97" s="310" t="s">
        <v>2948</v>
      </c>
      <c r="F97" s="310" t="s">
        <v>2949</v>
      </c>
      <c r="G97" s="310" t="s">
        <v>1476</v>
      </c>
    </row>
    <row r="98" spans="1:9" ht="13">
      <c r="A98" s="2"/>
      <c r="B98" s="233"/>
      <c r="C98" s="233"/>
      <c r="D98" s="310" t="s">
        <v>921</v>
      </c>
      <c r="E98" s="310" t="s">
        <v>921</v>
      </c>
      <c r="F98" s="310" t="s">
        <v>921</v>
      </c>
      <c r="G98" s="310" t="s">
        <v>921</v>
      </c>
    </row>
    <row r="99" spans="1:9" ht="13">
      <c r="A99" s="3" t="s">
        <v>282</v>
      </c>
      <c r="B99" s="194" t="s">
        <v>2978</v>
      </c>
      <c r="C99" s="233"/>
      <c r="D99" s="328" t="s">
        <v>251</v>
      </c>
      <c r="E99" s="328" t="s">
        <v>251</v>
      </c>
      <c r="F99" s="328" t="s">
        <v>251</v>
      </c>
      <c r="G99" s="328" t="s">
        <v>251</v>
      </c>
    </row>
    <row r="100" spans="1:9" ht="13">
      <c r="A100" s="2">
        <f>A94+1</f>
        <v>64</v>
      </c>
      <c r="B100" s="233"/>
      <c r="C100" s="233" t="s">
        <v>2979</v>
      </c>
      <c r="D100" s="253">
        <v>780314.329233628</v>
      </c>
      <c r="E100" s="240"/>
      <c r="F100" s="240"/>
      <c r="G100" s="344">
        <f>SUM(D100:F100)</f>
        <v>780314.329233628</v>
      </c>
      <c r="H100" s="834"/>
      <c r="I100" s="813"/>
    </row>
    <row r="101" spans="1:9" ht="13">
      <c r="A101" s="2">
        <f t="shared" ref="A101:A116" si="9">A100+1</f>
        <v>65</v>
      </c>
      <c r="B101" s="233"/>
      <c r="C101" s="233" t="s">
        <v>114</v>
      </c>
      <c r="D101" s="253">
        <v>41705.371851362768</v>
      </c>
      <c r="E101" s="240"/>
      <c r="F101" s="240"/>
      <c r="G101" s="344">
        <f t="shared" ref="G101:G104" si="10">SUM(D101:F101)</f>
        <v>41705.371851362768</v>
      </c>
      <c r="H101" s="834"/>
      <c r="I101" s="813"/>
    </row>
    <row r="102" spans="1:9" ht="13">
      <c r="A102" s="2">
        <f t="shared" ref="A102:A113" si="11">A101+1</f>
        <v>66</v>
      </c>
      <c r="B102" s="233"/>
      <c r="C102" s="233" t="s">
        <v>2980</v>
      </c>
      <c r="D102" s="253">
        <v>102510.02261204971</v>
      </c>
      <c r="E102" s="240"/>
      <c r="F102" s="240"/>
      <c r="G102" s="344">
        <f t="shared" si="10"/>
        <v>102510.02261204971</v>
      </c>
      <c r="H102" s="834"/>
      <c r="I102" s="813"/>
    </row>
    <row r="103" spans="1:9" ht="13">
      <c r="A103" s="2">
        <f t="shared" si="11"/>
        <v>67</v>
      </c>
      <c r="B103" s="233"/>
      <c r="C103" s="233" t="s">
        <v>2981</v>
      </c>
      <c r="D103" s="253"/>
      <c r="E103" s="240"/>
      <c r="F103" s="240"/>
      <c r="G103" s="344">
        <f t="shared" si="10"/>
        <v>0</v>
      </c>
      <c r="H103" s="834"/>
      <c r="I103" s="813"/>
    </row>
    <row r="104" spans="1:9" ht="13">
      <c r="A104" s="2">
        <f t="shared" si="11"/>
        <v>68</v>
      </c>
      <c r="B104" s="233"/>
      <c r="C104" s="266" t="s">
        <v>639</v>
      </c>
      <c r="D104" s="872"/>
      <c r="E104" s="951"/>
      <c r="F104" s="951"/>
      <c r="G104" s="952">
        <f t="shared" si="10"/>
        <v>0</v>
      </c>
      <c r="H104" s="834"/>
      <c r="I104" s="813"/>
    </row>
    <row r="105" spans="1:9" ht="13">
      <c r="A105" s="2">
        <f t="shared" si="11"/>
        <v>69</v>
      </c>
      <c r="B105" s="233"/>
      <c r="C105" s="231" t="s">
        <v>2982</v>
      </c>
      <c r="D105" s="235">
        <f>SUM(D100:D104)</f>
        <v>924529.72369704046</v>
      </c>
      <c r="E105" s="235">
        <f t="shared" ref="E105:F105" si="12">SUM(E100:E104)</f>
        <v>0</v>
      </c>
      <c r="F105" s="235">
        <f t="shared" si="12"/>
        <v>0</v>
      </c>
      <c r="G105" s="344">
        <f>SUM(D105:F105)</f>
        <v>924529.72369704046</v>
      </c>
    </row>
    <row r="106" spans="1:9" ht="13">
      <c r="A106" s="2">
        <f t="shared" si="11"/>
        <v>70</v>
      </c>
      <c r="B106" s="233"/>
      <c r="C106" s="231"/>
      <c r="D106" s="235"/>
      <c r="E106" s="235"/>
      <c r="F106" s="235"/>
      <c r="G106" s="344"/>
    </row>
    <row r="107" spans="1:9" ht="13">
      <c r="A107" s="2">
        <f t="shared" si="11"/>
        <v>71</v>
      </c>
      <c r="B107" s="233"/>
      <c r="C107" s="233"/>
      <c r="D107" s="48" t="s">
        <v>345</v>
      </c>
      <c r="E107" s="48" t="s">
        <v>346</v>
      </c>
      <c r="F107" s="48" t="s">
        <v>347</v>
      </c>
      <c r="G107" s="233"/>
    </row>
    <row r="108" spans="1:9" ht="13">
      <c r="A108" s="2">
        <f t="shared" si="11"/>
        <v>72</v>
      </c>
      <c r="B108" s="233"/>
      <c r="C108" s="233"/>
      <c r="D108" s="310" t="s">
        <v>2947</v>
      </c>
      <c r="E108" s="310" t="s">
        <v>2948</v>
      </c>
      <c r="F108" s="310" t="s">
        <v>2949</v>
      </c>
      <c r="G108" s="233"/>
    </row>
    <row r="109" spans="1:9" ht="13">
      <c r="A109" s="2">
        <f t="shared" si="11"/>
        <v>73</v>
      </c>
      <c r="B109" s="233"/>
      <c r="C109" s="233"/>
      <c r="D109" s="310" t="s">
        <v>921</v>
      </c>
      <c r="E109" s="310" t="s">
        <v>921</v>
      </c>
      <c r="F109" s="310" t="s">
        <v>921</v>
      </c>
      <c r="G109" s="233"/>
    </row>
    <row r="110" spans="1:9" ht="13">
      <c r="A110" s="2">
        <f t="shared" si="11"/>
        <v>74</v>
      </c>
      <c r="B110" s="233"/>
      <c r="C110" s="233"/>
      <c r="D110" s="328" t="s">
        <v>251</v>
      </c>
      <c r="E110" s="328" t="s">
        <v>251</v>
      </c>
      <c r="F110" s="328" t="s">
        <v>251</v>
      </c>
      <c r="G110" s="233"/>
    </row>
    <row r="111" spans="1:9" ht="13">
      <c r="A111" s="2">
        <f t="shared" si="11"/>
        <v>75</v>
      </c>
      <c r="B111" s="233"/>
      <c r="C111" s="231" t="s">
        <v>2983</v>
      </c>
      <c r="D111" s="235">
        <f>D49+D73+D80+D94+D105</f>
        <v>11785476.953691881</v>
      </c>
      <c r="E111" s="235">
        <f>E49+E73+E80+E94+E105</f>
        <v>0</v>
      </c>
      <c r="F111" s="235">
        <f>F49+F73+F80+F94+F105</f>
        <v>0</v>
      </c>
      <c r="G111" s="233"/>
    </row>
    <row r="112" spans="1:9" ht="13">
      <c r="A112" s="2">
        <f t="shared" si="11"/>
        <v>76</v>
      </c>
      <c r="B112" s="233"/>
      <c r="C112" s="233"/>
      <c r="D112" s="233"/>
      <c r="E112" s="233"/>
      <c r="F112" s="233"/>
      <c r="G112" s="233"/>
    </row>
    <row r="113" spans="1:7" ht="13">
      <c r="A113" s="2">
        <f t="shared" si="11"/>
        <v>77</v>
      </c>
      <c r="B113" s="233"/>
      <c r="C113" s="233"/>
      <c r="D113" s="233"/>
      <c r="E113" s="233"/>
      <c r="F113" s="233"/>
      <c r="G113" s="233"/>
    </row>
    <row r="114" spans="1:7" ht="13">
      <c r="A114" s="2">
        <f t="shared" si="9"/>
        <v>78</v>
      </c>
      <c r="B114" s="233"/>
      <c r="C114" s="233"/>
      <c r="D114" s="310" t="s">
        <v>921</v>
      </c>
      <c r="E114" s="233"/>
      <c r="F114" s="233"/>
      <c r="G114" s="233"/>
    </row>
    <row r="115" spans="1:7" ht="13">
      <c r="A115" s="2">
        <f t="shared" si="9"/>
        <v>79</v>
      </c>
      <c r="B115" s="233"/>
      <c r="C115" s="233"/>
      <c r="D115" s="328" t="s">
        <v>251</v>
      </c>
      <c r="E115" s="3" t="s">
        <v>254</v>
      </c>
      <c r="F115" s="233"/>
      <c r="G115" s="233"/>
    </row>
    <row r="116" spans="1:7" ht="13">
      <c r="A116" s="2">
        <f t="shared" si="9"/>
        <v>80</v>
      </c>
      <c r="B116" s="233"/>
      <c r="C116" s="231" t="s">
        <v>2984</v>
      </c>
      <c r="D116" s="235">
        <f>D111+E111+F111</f>
        <v>11785476.953691881</v>
      </c>
      <c r="E116" s="232" t="s">
        <v>2985</v>
      </c>
      <c r="F116" s="233"/>
      <c r="G116" s="233"/>
    </row>
    <row r="117" spans="1:7" ht="13">
      <c r="A117" s="2"/>
      <c r="B117" s="233"/>
      <c r="C117" s="231"/>
      <c r="D117" s="235"/>
      <c r="E117" s="232"/>
      <c r="F117" s="233"/>
      <c r="G117" s="233"/>
    </row>
    <row r="118" spans="1:7" ht="14.5">
      <c r="A118" s="2"/>
      <c r="B118" s="30" t="s">
        <v>442</v>
      </c>
      <c r="C118" s="231"/>
      <c r="D118" s="235"/>
      <c r="E118" s="956"/>
      <c r="F118" s="957"/>
      <c r="G118" s="957"/>
    </row>
    <row r="119" spans="1:7" ht="14.5">
      <c r="A119" s="2"/>
      <c r="B119" s="233" t="s">
        <v>2986</v>
      </c>
      <c r="C119" s="231"/>
      <c r="D119" s="235"/>
      <c r="E119" s="956"/>
      <c r="F119" s="957"/>
      <c r="G119" s="957"/>
    </row>
    <row r="120" spans="1:7" ht="14.5">
      <c r="A120" s="2"/>
      <c r="B120" s="232" t="s">
        <v>2987</v>
      </c>
      <c r="C120" s="233"/>
      <c r="D120" s="233"/>
      <c r="E120" s="957"/>
      <c r="F120" s="957"/>
      <c r="G120" s="957"/>
    </row>
    <row r="121" spans="1:7" ht="13">
      <c r="A121" s="2"/>
      <c r="B121" s="30" t="s">
        <v>233</v>
      </c>
      <c r="C121" s="233"/>
      <c r="D121" s="233"/>
      <c r="E121" s="233"/>
      <c r="F121" s="233"/>
      <c r="G121" s="233"/>
    </row>
    <row r="122" spans="1:7" ht="13">
      <c r="A122" s="2"/>
      <c r="B122" s="232" t="s">
        <v>2988</v>
      </c>
      <c r="C122" s="233"/>
      <c r="D122" s="233"/>
      <c r="E122" s="233"/>
      <c r="F122" s="233"/>
      <c r="G122" s="233"/>
    </row>
    <row r="123" spans="1:7" ht="13">
      <c r="A123" s="2"/>
      <c r="B123" s="247" t="s">
        <v>2989</v>
      </c>
      <c r="C123" s="233"/>
      <c r="D123" s="233"/>
      <c r="E123" s="233"/>
      <c r="F123" s="233"/>
      <c r="G123" s="233"/>
    </row>
    <row r="124" spans="1:7" ht="13">
      <c r="A124" s="2"/>
      <c r="B124" s="232" t="s">
        <v>2990</v>
      </c>
      <c r="C124" s="233"/>
      <c r="D124" s="233"/>
      <c r="E124" s="233"/>
      <c r="F124" s="233"/>
      <c r="G124" s="233"/>
    </row>
    <row r="125" spans="1:7" ht="13">
      <c r="A125" s="2"/>
      <c r="B125" s="247" t="s">
        <v>2991</v>
      </c>
      <c r="C125" s="233"/>
      <c r="D125" s="233"/>
      <c r="E125" s="233"/>
      <c r="F125" s="233"/>
      <c r="G125" s="233"/>
    </row>
    <row r="126" spans="1:7" ht="13">
      <c r="A126" s="2"/>
      <c r="B126" s="232" t="s">
        <v>2992</v>
      </c>
      <c r="C126" s="233"/>
      <c r="D126" s="233"/>
      <c r="E126" s="233"/>
      <c r="F126" s="233"/>
      <c r="G126" s="233"/>
    </row>
    <row r="127" spans="1:7" ht="13">
      <c r="A127" s="2"/>
      <c r="B127" s="247" t="s">
        <v>2993</v>
      </c>
      <c r="C127" s="233"/>
      <c r="D127" s="233"/>
      <c r="E127" s="233"/>
      <c r="F127" s="233"/>
      <c r="G127" s="233"/>
    </row>
    <row r="128" spans="1:7" ht="13">
      <c r="A128" s="603"/>
      <c r="B128" s="232" t="s">
        <v>3025</v>
      </c>
      <c r="C128" s="233"/>
    </row>
    <row r="129" spans="2:4">
      <c r="B129" s="481"/>
      <c r="C129" s="233" t="s">
        <v>3071</v>
      </c>
      <c r="D129" s="586"/>
    </row>
    <row r="130" spans="2:4">
      <c r="B130" s="481"/>
      <c r="C130" s="233" t="s">
        <v>3054</v>
      </c>
      <c r="D130" s="586"/>
    </row>
    <row r="131" spans="2:4">
      <c r="B131" s="821"/>
      <c r="D131" s="586"/>
    </row>
    <row r="132" spans="2:4">
      <c r="B132" s="821"/>
      <c r="D132" s="586"/>
    </row>
    <row r="133" spans="2:4">
      <c r="B133" s="821"/>
      <c r="D133" s="586"/>
    </row>
  </sheetData>
  <phoneticPr fontId="26" type="noConversion"/>
  <pageMargins left="0.7" right="0.7" top="0.75" bottom="0.75" header="0.3" footer="0.3"/>
  <pageSetup scale="67" orientation="portrait" r:id="rId1"/>
  <headerFooter>
    <oddHeader>&amp;CSchedule 35
Other Formula Revenue&amp;RTO2027 Draft Annual Update 
Attachment 1</oddHeader>
    <oddFooter>&amp;R&amp;A</oddFooter>
  </headerFooter>
  <rowBreaks count="1" manualBreakCount="1">
    <brk id="7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5"/>
  <cols>
    <col min="1" max="1" width="4.54296875" customWidth="1"/>
    <col min="2" max="2" width="20.54296875" customWidth="1"/>
    <col min="3" max="4" width="16.54296875" customWidth="1"/>
    <col min="5" max="5" width="29.81640625" customWidth="1"/>
    <col min="6" max="6" width="9.453125" customWidth="1"/>
    <col min="7" max="7" width="9" bestFit="1" customWidth="1"/>
    <col min="10" max="10" width="18.54296875" customWidth="1"/>
    <col min="11" max="11" width="20.54296875" customWidth="1"/>
  </cols>
  <sheetData>
    <row r="1" spans="1:6" ht="13">
      <c r="A1" s="1" t="s">
        <v>277</v>
      </c>
    </row>
    <row r="2" spans="1:6" ht="13">
      <c r="A2" s="1"/>
    </row>
    <row r="3" spans="1:6">
      <c r="B3" s="233" t="s">
        <v>278</v>
      </c>
    </row>
    <row r="4" spans="1:6" ht="13">
      <c r="A4" s="1"/>
      <c r="B4" s="232" t="s">
        <v>279</v>
      </c>
    </row>
    <row r="5" spans="1:6" ht="13">
      <c r="A5" s="1"/>
      <c r="B5" s="232" t="s">
        <v>280</v>
      </c>
    </row>
    <row r="7" spans="1:6" ht="13">
      <c r="B7" s="1" t="s">
        <v>281</v>
      </c>
    </row>
    <row r="8" spans="1:6">
      <c r="E8" s="12"/>
    </row>
    <row r="9" spans="1:6" ht="13">
      <c r="A9" s="30" t="s">
        <v>282</v>
      </c>
      <c r="B9" s="40" t="s">
        <v>283</v>
      </c>
    </row>
    <row r="10" spans="1:6" ht="13">
      <c r="A10" s="2">
        <v>1</v>
      </c>
    </row>
    <row r="11" spans="1:6" ht="13">
      <c r="A11" s="2">
        <f>A10+1</f>
        <v>2</v>
      </c>
      <c r="B11" s="247" t="s">
        <v>284</v>
      </c>
    </row>
    <row r="12" spans="1:6" ht="13">
      <c r="A12" s="2">
        <f t="shared" ref="A12:A87" si="0">A11+1</f>
        <v>3</v>
      </c>
      <c r="B12" s="247" t="s">
        <v>285</v>
      </c>
    </row>
    <row r="13" spans="1:6" ht="13">
      <c r="A13" s="2">
        <f t="shared" si="0"/>
        <v>4</v>
      </c>
      <c r="B13" s="247"/>
    </row>
    <row r="14" spans="1:6" ht="13">
      <c r="A14" s="2">
        <f t="shared" si="0"/>
        <v>5</v>
      </c>
      <c r="B14" s="247" t="s">
        <v>286</v>
      </c>
    </row>
    <row r="15" spans="1:6" ht="13">
      <c r="A15" s="2">
        <f t="shared" si="0"/>
        <v>6</v>
      </c>
      <c r="B15" s="188"/>
    </row>
    <row r="16" spans="1:6" ht="13">
      <c r="A16" s="2">
        <f t="shared" si="0"/>
        <v>7</v>
      </c>
      <c r="B16" s="247" t="s">
        <v>287</v>
      </c>
      <c r="F16" s="62"/>
    </row>
    <row r="17" spans="1:7" ht="13">
      <c r="A17" s="2">
        <f t="shared" si="0"/>
        <v>8</v>
      </c>
      <c r="B17" s="481" t="s">
        <v>288</v>
      </c>
      <c r="F17" s="7"/>
    </row>
    <row r="18" spans="1:7" ht="13">
      <c r="A18" s="2">
        <f t="shared" si="0"/>
        <v>9</v>
      </c>
      <c r="B18" s="481" t="s">
        <v>289</v>
      </c>
      <c r="F18" s="7"/>
    </row>
    <row r="19" spans="1:7" ht="13">
      <c r="A19" s="2">
        <f t="shared" si="0"/>
        <v>10</v>
      </c>
      <c r="B19" s="481" t="s">
        <v>197</v>
      </c>
      <c r="E19" s="231"/>
      <c r="F19" s="6"/>
    </row>
    <row r="20" spans="1:7" ht="13">
      <c r="A20" s="2">
        <f t="shared" si="0"/>
        <v>11</v>
      </c>
      <c r="B20" s="1"/>
      <c r="D20" s="231"/>
      <c r="E20" s="3" t="s">
        <v>254</v>
      </c>
    </row>
    <row r="21" spans="1:7" ht="13">
      <c r="A21" s="2">
        <f t="shared" si="0"/>
        <v>12</v>
      </c>
      <c r="C21" s="231" t="s">
        <v>290</v>
      </c>
      <c r="D21" s="858">
        <f>'1-BaseTRR'!K90</f>
        <v>2.3021004082255818E-2</v>
      </c>
      <c r="E21" s="232" t="str">
        <f>"1-BaseTRR, Line "&amp;'1-BaseTRR'!A90&amp;""</f>
        <v>1-BaseTRR, Line 51</v>
      </c>
    </row>
    <row r="22" spans="1:7" ht="13">
      <c r="A22" s="2">
        <f t="shared" si="0"/>
        <v>13</v>
      </c>
      <c r="C22" s="231" t="s">
        <v>291</v>
      </c>
      <c r="D22" s="858">
        <f>'1-BaseTRR'!K95</f>
        <v>5.1564815749195636E-2</v>
      </c>
      <c r="E22" s="232" t="str">
        <f>"1-BaseTRR, Line "&amp;'1-BaseTRR'!A95&amp;""</f>
        <v>1-BaseTRR, Line 55</v>
      </c>
    </row>
    <row r="23" spans="1:7" ht="13">
      <c r="A23" s="2">
        <f t="shared" si="0"/>
        <v>14</v>
      </c>
      <c r="C23" s="231" t="s">
        <v>292</v>
      </c>
      <c r="D23" s="858">
        <f>'1-BaseTRR'!K104</f>
        <v>0.27983599999999997</v>
      </c>
      <c r="E23" s="232" t="str">
        <f>"1-BaseTRR, Line "&amp;'1-BaseTRR'!A104&amp;""</f>
        <v>1-BaseTRR, Line 59</v>
      </c>
    </row>
    <row r="24" spans="1:7" ht="13">
      <c r="A24" s="2">
        <f t="shared" si="0"/>
        <v>15</v>
      </c>
      <c r="B24" s="233"/>
      <c r="D24" s="858"/>
      <c r="E24" s="232"/>
    </row>
    <row r="25" spans="1:7" ht="13">
      <c r="A25" s="2">
        <f t="shared" si="0"/>
        <v>16</v>
      </c>
      <c r="C25" s="231" t="s">
        <v>293</v>
      </c>
      <c r="D25" s="858">
        <f>D21 + (D22*(1/(1-D23)))</f>
        <v>9.4622494505542221E-2</v>
      </c>
      <c r="E25" s="232" t="str">
        <f>"Line "&amp;A21&amp;" + (Line "&amp;A22&amp;" * (1/(1 - Line "&amp;A23&amp;")))"</f>
        <v>Line 12 + (Line 13 * (1/(1 - Line 14)))</v>
      </c>
      <c r="G25" s="859"/>
    </row>
    <row r="26" spans="1:7" ht="13">
      <c r="A26" s="2">
        <f t="shared" si="0"/>
        <v>17</v>
      </c>
      <c r="B26" s="233"/>
      <c r="D26" s="231"/>
      <c r="E26" s="232"/>
    </row>
    <row r="27" spans="1:7" ht="13">
      <c r="A27" s="2">
        <f t="shared" si="0"/>
        <v>18</v>
      </c>
      <c r="B27" s="40" t="s">
        <v>294</v>
      </c>
      <c r="D27" s="231"/>
      <c r="E27" s="232"/>
    </row>
    <row r="28" spans="1:7" ht="13">
      <c r="A28" s="2">
        <f t="shared" si="0"/>
        <v>19</v>
      </c>
      <c r="B28" s="233"/>
      <c r="D28" s="231"/>
      <c r="E28" s="232"/>
    </row>
    <row r="29" spans="1:7" ht="13">
      <c r="A29" s="2">
        <f t="shared" si="0"/>
        <v>20</v>
      </c>
      <c r="B29" s="247" t="s">
        <v>295</v>
      </c>
      <c r="D29" s="231"/>
      <c r="E29" s="232"/>
    </row>
    <row r="30" spans="1:7" ht="13">
      <c r="A30" s="2">
        <f t="shared" si="0"/>
        <v>21</v>
      </c>
      <c r="B30" s="247" t="s">
        <v>296</v>
      </c>
      <c r="D30" s="231"/>
      <c r="E30" s="232"/>
    </row>
    <row r="31" spans="1:7" ht="13">
      <c r="A31" s="2">
        <f t="shared" si="0"/>
        <v>22</v>
      </c>
      <c r="D31" s="231"/>
      <c r="E31" s="232"/>
    </row>
    <row r="32" spans="1:7" ht="13">
      <c r="A32" s="2">
        <f t="shared" si="0"/>
        <v>23</v>
      </c>
      <c r="B32" s="481" t="s">
        <v>297</v>
      </c>
      <c r="D32" s="231"/>
      <c r="E32" s="232"/>
    </row>
    <row r="33" spans="1:11" ht="13">
      <c r="A33" s="2">
        <f t="shared" si="0"/>
        <v>24</v>
      </c>
    </row>
    <row r="34" spans="1:11" ht="13">
      <c r="A34" s="2">
        <f t="shared" si="0"/>
        <v>25</v>
      </c>
      <c r="B34" s="40" t="s">
        <v>298</v>
      </c>
    </row>
    <row r="35" spans="1:11" ht="13">
      <c r="A35" s="2">
        <f t="shared" si="0"/>
        <v>26</v>
      </c>
      <c r="B35" s="233"/>
      <c r="E35" s="3" t="s">
        <v>254</v>
      </c>
    </row>
    <row r="36" spans="1:11" ht="13">
      <c r="A36" s="2">
        <f t="shared" si="0"/>
        <v>27</v>
      </c>
      <c r="C36" s="231" t="s">
        <v>299</v>
      </c>
      <c r="D36" s="235">
        <f>'6-PlantInService'!I46</f>
        <v>11828275665.428312</v>
      </c>
      <c r="E36" s="232" t="s">
        <v>3010</v>
      </c>
    </row>
    <row r="37" spans="1:11" ht="13">
      <c r="A37" s="2">
        <f t="shared" si="0"/>
        <v>28</v>
      </c>
      <c r="C37" s="231" t="s">
        <v>300</v>
      </c>
      <c r="D37" s="235">
        <f>'6-PlantInService'!F57</f>
        <v>0</v>
      </c>
      <c r="E37" s="232" t="s">
        <v>3011</v>
      </c>
    </row>
    <row r="38" spans="1:11" ht="13">
      <c r="A38" s="2">
        <f t="shared" si="0"/>
        <v>29</v>
      </c>
      <c r="C38" s="231" t="s">
        <v>301</v>
      </c>
      <c r="D38" s="235">
        <f>'8-AccDep'!J46</f>
        <v>3093419455.9705281</v>
      </c>
      <c r="E38" s="232" t="s">
        <v>3009</v>
      </c>
    </row>
    <row r="39" spans="1:11" ht="13">
      <c r="A39" s="2">
        <f t="shared" si="0"/>
        <v>30</v>
      </c>
      <c r="C39" s="231" t="s">
        <v>302</v>
      </c>
      <c r="D39" s="53">
        <f>'8-AccDep'!G74</f>
        <v>0</v>
      </c>
      <c r="E39" s="232" t="s">
        <v>3012</v>
      </c>
    </row>
    <row r="40" spans="1:11" ht="13">
      <c r="A40" s="2">
        <f t="shared" si="0"/>
        <v>31</v>
      </c>
      <c r="C40" s="231" t="s">
        <v>303</v>
      </c>
      <c r="D40" s="6">
        <f>(D36+D37)-(D38+D39)</f>
        <v>8734856209.4577847</v>
      </c>
      <c r="E40" s="232" t="str">
        <f>"(L"&amp;A36&amp;" + L"&amp;A37&amp;") - (L"&amp;A38&amp;" + L"&amp;A39&amp;")"</f>
        <v>(L27 + L28) - (L29 + L30)</v>
      </c>
    </row>
    <row r="41" spans="1:11" ht="13">
      <c r="A41" s="2">
        <f t="shared" si="0"/>
        <v>32</v>
      </c>
      <c r="C41" s="231"/>
      <c r="D41" s="6"/>
      <c r="E41" s="232"/>
    </row>
    <row r="42" spans="1:11" ht="13">
      <c r="A42" s="2">
        <f t="shared" si="0"/>
        <v>33</v>
      </c>
      <c r="B42" s="40" t="s">
        <v>304</v>
      </c>
    </row>
    <row r="43" spans="1:11" ht="13">
      <c r="A43" s="2">
        <f t="shared" si="0"/>
        <v>34</v>
      </c>
      <c r="B43" s="40"/>
    </row>
    <row r="44" spans="1:11" ht="13">
      <c r="A44" s="2">
        <f t="shared" si="0"/>
        <v>35</v>
      </c>
      <c r="B44" s="40" t="s">
        <v>305</v>
      </c>
    </row>
    <row r="45" spans="1:11" ht="13">
      <c r="A45" s="2">
        <f t="shared" si="0"/>
        <v>36</v>
      </c>
      <c r="B45" s="34" t="s">
        <v>306</v>
      </c>
    </row>
    <row r="46" spans="1:11" ht="13">
      <c r="A46" s="2">
        <f t="shared" si="0"/>
        <v>37</v>
      </c>
      <c r="B46" s="40"/>
      <c r="C46" s="231" t="s">
        <v>307</v>
      </c>
      <c r="D46" s="235">
        <f>'10-CWIP'!D25</f>
        <v>193667038.40999997</v>
      </c>
      <c r="E46" s="232" t="str">
        <f>"10-CWIP, L "&amp;'10-CWIP'!A25&amp;" C1"</f>
        <v>10-CWIP, L 13 C1</v>
      </c>
      <c r="K46" s="6"/>
    </row>
    <row r="47" spans="1:11" ht="13">
      <c r="A47" s="2">
        <f t="shared" si="0"/>
        <v>38</v>
      </c>
      <c r="B47" s="40"/>
      <c r="C47" s="231" t="s">
        <v>308</v>
      </c>
      <c r="D47" s="860">
        <f>D25</f>
        <v>9.4622494505542221E-2</v>
      </c>
      <c r="E47" s="232" t="str">
        <f>"Line "&amp;A25&amp;""</f>
        <v>Line 16</v>
      </c>
      <c r="K47" s="6"/>
    </row>
    <row r="48" spans="1:11" ht="13">
      <c r="A48" s="2">
        <f t="shared" si="0"/>
        <v>39</v>
      </c>
      <c r="B48" s="40"/>
      <c r="C48" s="231" t="s">
        <v>309</v>
      </c>
      <c r="D48" s="235">
        <f>D46*D47</f>
        <v>18325258.277854856</v>
      </c>
      <c r="E48" s="232" t="str">
        <f>"Line "&amp;A46&amp;" * Line "&amp;A47&amp;""</f>
        <v>Line 37 * Line 38</v>
      </c>
      <c r="K48" s="6"/>
    </row>
    <row r="49" spans="1:11" ht="13">
      <c r="A49" s="2">
        <f t="shared" si="0"/>
        <v>40</v>
      </c>
      <c r="B49" s="40"/>
      <c r="C49" s="231"/>
      <c r="D49" s="235"/>
      <c r="E49" s="232"/>
      <c r="K49" s="6"/>
    </row>
    <row r="50" spans="1:11" ht="13">
      <c r="A50" s="2">
        <f t="shared" si="0"/>
        <v>41</v>
      </c>
      <c r="B50" s="34" t="s">
        <v>310</v>
      </c>
      <c r="K50" s="6"/>
    </row>
    <row r="51" spans="1:11" ht="13">
      <c r="A51" s="2">
        <f t="shared" si="0"/>
        <v>42</v>
      </c>
      <c r="B51" s="40"/>
      <c r="C51" s="231" t="s">
        <v>311</v>
      </c>
      <c r="D51" s="235">
        <f>'15-IncentiveAdder'!G17</f>
        <v>6595.7198638087975</v>
      </c>
      <c r="E51" s="12" t="str">
        <f>"15-IncentiveAdder, Line "&amp;'15-IncentiveAdder'!A17&amp;""</f>
        <v>15-IncentiveAdder, Line 3</v>
      </c>
      <c r="K51" s="6"/>
    </row>
    <row r="52" spans="1:11" ht="13">
      <c r="A52" s="2">
        <f t="shared" si="0"/>
        <v>43</v>
      </c>
      <c r="B52" s="40"/>
      <c r="C52" s="231"/>
      <c r="K52" s="6"/>
    </row>
    <row r="53" spans="1:11" ht="13">
      <c r="A53" s="2">
        <f t="shared" si="0"/>
        <v>44</v>
      </c>
      <c r="B53" s="40"/>
      <c r="C53" s="231" t="s">
        <v>312</v>
      </c>
      <c r="D53" s="6">
        <f>'10-CWIP'!E25</f>
        <v>0</v>
      </c>
      <c r="E53" s="232" t="str">
        <f>"10-CWIP, Line "&amp;'10-CWIP'!A25&amp;""</f>
        <v>10-CWIP, Line 13</v>
      </c>
      <c r="F53" s="233"/>
      <c r="K53" s="6"/>
    </row>
    <row r="54" spans="1:11" ht="13">
      <c r="A54" s="2">
        <f t="shared" si="0"/>
        <v>45</v>
      </c>
      <c r="B54" s="40"/>
      <c r="C54" s="231" t="s">
        <v>313</v>
      </c>
      <c r="D54" s="26">
        <f>'15-IncentiveAdder'!E26</f>
        <v>1.2500000000000001E-2</v>
      </c>
      <c r="E54" s="12" t="str">
        <f>"15-IncentiveAdder, Line "&amp;'15-IncentiveAdder'!A26&amp;""</f>
        <v>15-IncentiveAdder, Line 5</v>
      </c>
      <c r="F54" s="233"/>
      <c r="K54" s="6"/>
    </row>
    <row r="55" spans="1:11" ht="13">
      <c r="A55" s="2">
        <f t="shared" si="0"/>
        <v>46</v>
      </c>
      <c r="B55" s="40"/>
      <c r="C55" s="231" t="s">
        <v>314</v>
      </c>
      <c r="D55" s="6">
        <f>(D53/1000000)*($D$51*(D54/0.01))</f>
        <v>0</v>
      </c>
      <c r="E55" s="232" t="str">
        <f>"Formula on Line "&amp;A61&amp;""</f>
        <v>Formula on Line 52</v>
      </c>
      <c r="K55" s="6"/>
    </row>
    <row r="56" spans="1:11" ht="13">
      <c r="A56" s="2">
        <f t="shared" si="0"/>
        <v>47</v>
      </c>
      <c r="B56" s="40"/>
      <c r="C56" s="231"/>
      <c r="E56" s="6"/>
      <c r="K56" s="6"/>
    </row>
    <row r="57" spans="1:11" ht="13">
      <c r="A57" s="2">
        <f t="shared" si="0"/>
        <v>48</v>
      </c>
      <c r="C57" s="231" t="s">
        <v>315</v>
      </c>
      <c r="D57" s="6">
        <f>'10-CWIP'!F25</f>
        <v>0</v>
      </c>
      <c r="E57" s="232" t="str">
        <f>"10-CWIP, Line "&amp;'10-CWIP'!A25&amp;""</f>
        <v>10-CWIP, Line 13</v>
      </c>
      <c r="K57" s="6"/>
    </row>
    <row r="58" spans="1:11" ht="13">
      <c r="A58" s="2">
        <f t="shared" si="0"/>
        <v>49</v>
      </c>
      <c r="C58" s="231" t="s">
        <v>316</v>
      </c>
      <c r="D58" s="26">
        <f>'15-IncentiveAdder'!E27</f>
        <v>0.01</v>
      </c>
      <c r="E58" s="12" t="str">
        <f>"15-IncentiveAdder, Line "&amp;'15-IncentiveAdder'!A27&amp;""</f>
        <v>15-IncentiveAdder, Line 6</v>
      </c>
      <c r="K58" s="6"/>
    </row>
    <row r="59" spans="1:11" ht="13">
      <c r="A59" s="2">
        <f t="shared" si="0"/>
        <v>50</v>
      </c>
      <c r="C59" s="231" t="s">
        <v>317</v>
      </c>
      <c r="D59" s="6">
        <f>(D57/1000000)*($D$51*(D58/0.01))</f>
        <v>0</v>
      </c>
      <c r="E59" s="232" t="str">
        <f>"Formula on Line "&amp;A61&amp;""</f>
        <v>Formula on Line 52</v>
      </c>
      <c r="K59" s="6"/>
    </row>
    <row r="60" spans="1:11" ht="13">
      <c r="A60" s="2">
        <f t="shared" si="0"/>
        <v>51</v>
      </c>
      <c r="C60" s="231"/>
      <c r="D60" s="6"/>
      <c r="E60" s="232"/>
      <c r="K60" s="6"/>
    </row>
    <row r="61" spans="1:11" ht="13">
      <c r="A61" s="2">
        <f t="shared" si="0"/>
        <v>52</v>
      </c>
      <c r="C61" s="276" t="s">
        <v>318</v>
      </c>
      <c r="D61" s="6"/>
      <c r="E61" s="232"/>
      <c r="K61" s="6"/>
    </row>
    <row r="62" spans="1:11" ht="13">
      <c r="A62" s="2">
        <f t="shared" si="0"/>
        <v>53</v>
      </c>
      <c r="K62" s="6"/>
    </row>
    <row r="63" spans="1:11" ht="13">
      <c r="A63" s="2">
        <f t="shared" si="0"/>
        <v>54</v>
      </c>
      <c r="C63" s="231" t="s">
        <v>319</v>
      </c>
      <c r="D63" s="235">
        <f>D48+D55+D59</f>
        <v>18325258.277854856</v>
      </c>
      <c r="E63" s="232" t="str">
        <f>"Line "&amp;A48&amp;" + Line "&amp;A55&amp;" + Line "&amp;A59&amp;""</f>
        <v>Line 39 + Line 46 + Line 50</v>
      </c>
      <c r="K63" s="6"/>
    </row>
    <row r="64" spans="1:11" ht="13">
      <c r="A64" s="2">
        <f t="shared" si="0"/>
        <v>55</v>
      </c>
      <c r="C64" s="231" t="s">
        <v>320</v>
      </c>
      <c r="D64" s="53">
        <f>('28-FFU'!D22+'28-FFU'!E22)*D63</f>
        <v>572426.63131096482</v>
      </c>
      <c r="E64" s="232" t="str">
        <f>"(28-FFU, L"&amp;'28-FFU'!A22&amp;" FF Factor + U Factor) * L"&amp;A63&amp;""</f>
        <v>(28-FFU, L5 FF Factor + U Factor) * L54</v>
      </c>
      <c r="K64" s="6"/>
    </row>
    <row r="65" spans="1:11" ht="13">
      <c r="A65" s="2">
        <f t="shared" si="0"/>
        <v>56</v>
      </c>
      <c r="C65" s="231" t="s">
        <v>321</v>
      </c>
      <c r="D65" s="235">
        <f>SUM(D63:D64)</f>
        <v>18897684.909165822</v>
      </c>
      <c r="E65" s="232" t="str">
        <f>"Line "&amp;A63&amp;" + Line "&amp;A64&amp;""</f>
        <v>Line 54 + Line 55</v>
      </c>
      <c r="K65" s="6"/>
    </row>
    <row r="66" spans="1:11" ht="13">
      <c r="A66" s="2">
        <f t="shared" si="0"/>
        <v>57</v>
      </c>
      <c r="C66" s="231"/>
      <c r="D66" s="235"/>
      <c r="E66" s="232"/>
      <c r="K66" s="6"/>
    </row>
    <row r="67" spans="1:11" ht="13">
      <c r="A67" s="2">
        <f t="shared" si="0"/>
        <v>58</v>
      </c>
      <c r="B67" s="40" t="s">
        <v>322</v>
      </c>
      <c r="C67" s="231"/>
      <c r="D67" s="235"/>
      <c r="E67" s="232"/>
      <c r="K67" s="6"/>
    </row>
    <row r="68" spans="1:11" ht="13">
      <c r="A68" s="2">
        <f t="shared" si="0"/>
        <v>59</v>
      </c>
      <c r="K68" s="6"/>
    </row>
    <row r="69" spans="1:11" ht="13">
      <c r="A69" s="2">
        <f t="shared" si="0"/>
        <v>60</v>
      </c>
      <c r="C69" s="231" t="s">
        <v>319</v>
      </c>
      <c r="D69" s="235">
        <f>D63</f>
        <v>18325258.277854856</v>
      </c>
      <c r="E69" s="232" t="str">
        <f>"Line "&amp;A63&amp;""</f>
        <v>Line 54</v>
      </c>
      <c r="K69" s="6"/>
    </row>
    <row r="70" spans="1:11" ht="13">
      <c r="A70" s="2">
        <f t="shared" si="0"/>
        <v>61</v>
      </c>
      <c r="C70" s="231" t="s">
        <v>323</v>
      </c>
      <c r="D70" s="235">
        <f>'1-BaseTRR'!K139</f>
        <v>1345644737.2557948</v>
      </c>
      <c r="E70" s="232" t="str">
        <f>"1-BaseTRR, Line "&amp;'1-BaseTRR'!A139&amp;""</f>
        <v>1-BaseTRR, Line 78</v>
      </c>
      <c r="K70" s="6"/>
    </row>
    <row r="71" spans="1:11" ht="13">
      <c r="A71" s="2">
        <f t="shared" si="0"/>
        <v>62</v>
      </c>
      <c r="C71" s="231" t="s">
        <v>324</v>
      </c>
      <c r="D71" s="235">
        <f>D70-D69</f>
        <v>1327319478.9779398</v>
      </c>
      <c r="E71" s="232" t="str">
        <f>"Line "&amp;A70&amp;" - Line "&amp;A69&amp;""</f>
        <v>Line 61 - Line 60</v>
      </c>
      <c r="K71" s="6"/>
    </row>
    <row r="72" spans="1:11" ht="13">
      <c r="A72" s="2">
        <f t="shared" si="0"/>
        <v>63</v>
      </c>
      <c r="C72" s="388" t="s">
        <v>325</v>
      </c>
      <c r="D72" s="6">
        <f>('1-BaseTRR'!K126+'1-BaseTRR'!K127)*0.75</f>
        <v>173089111.43855479</v>
      </c>
      <c r="E72" s="232" t="str">
        <f>"(1-BaseTRR, Line "&amp;'1-BaseTRR'!A126&amp;" + Line "&amp;'1-BaseTRR'!A127&amp;") * .75"</f>
        <v>(1-BaseTRR, Line 66 + Line 67) * .75</v>
      </c>
      <c r="K72" s="6"/>
    </row>
    <row r="73" spans="1:11" ht="13">
      <c r="A73" s="2">
        <f t="shared" si="0"/>
        <v>64</v>
      </c>
      <c r="C73" s="231" t="s">
        <v>326</v>
      </c>
      <c r="D73" s="860">
        <f xml:space="preserve"> (D71-D72)/D40</f>
        <v>0.13214074048404212</v>
      </c>
      <c r="E73" s="232" t="str">
        <f>"(Line "&amp;A71&amp;" - Line "&amp;A72&amp;") / Line "&amp;A40&amp;""</f>
        <v>(Line 62 - Line 63) / Line 31</v>
      </c>
      <c r="K73" s="6"/>
    </row>
    <row r="74" spans="1:11" ht="13">
      <c r="A74" s="2">
        <f t="shared" si="0"/>
        <v>65</v>
      </c>
      <c r="D74" s="6"/>
      <c r="E74" s="232"/>
    </row>
    <row r="75" spans="1:11" ht="13">
      <c r="A75" s="2">
        <f t="shared" si="0"/>
        <v>66</v>
      </c>
      <c r="B75" s="1" t="s">
        <v>327</v>
      </c>
    </row>
    <row r="76" spans="1:11" ht="13">
      <c r="A76" s="2">
        <f t="shared" si="0"/>
        <v>67</v>
      </c>
    </row>
    <row r="77" spans="1:11" ht="13">
      <c r="A77" s="2">
        <f t="shared" si="0"/>
        <v>68</v>
      </c>
      <c r="E77" s="3" t="s">
        <v>254</v>
      </c>
      <c r="I77" s="1"/>
    </row>
    <row r="78" spans="1:11" ht="13">
      <c r="A78" s="2">
        <f t="shared" si="0"/>
        <v>69</v>
      </c>
      <c r="C78" s="231" t="s">
        <v>328</v>
      </c>
      <c r="D78" s="6">
        <f>'16-PlantAdditions'!N37</f>
        <v>668867512.76452649</v>
      </c>
      <c r="E78" s="232" t="str">
        <f>"16-PlantAdditions, L "&amp;'16-PlantAdditions'!A37&amp;", C10"</f>
        <v>16-PlantAdditions, L 25, C10</v>
      </c>
      <c r="K78" s="6"/>
    </row>
    <row r="79" spans="1:11" ht="13">
      <c r="A79" s="2">
        <f t="shared" si="0"/>
        <v>70</v>
      </c>
      <c r="C79" s="231" t="s">
        <v>326</v>
      </c>
      <c r="D79" s="990">
        <f>D73</f>
        <v>0.13214074048404212</v>
      </c>
      <c r="E79" s="232" t="str">
        <f>"Line "&amp;A73&amp;""</f>
        <v>Line 64</v>
      </c>
      <c r="K79" s="366"/>
    </row>
    <row r="80" spans="1:11" ht="13">
      <c r="A80" s="2">
        <f t="shared" si="0"/>
        <v>71</v>
      </c>
      <c r="C80" s="231" t="s">
        <v>329</v>
      </c>
      <c r="D80" s="6">
        <f>D78*D79</f>
        <v>88384648.422424018</v>
      </c>
      <c r="E80" s="232" t="str">
        <f>"Line "&amp;A78&amp;" * Line "&amp;A79&amp;""</f>
        <v>Line 69 * Line 70</v>
      </c>
      <c r="K80" s="6"/>
    </row>
    <row r="81" spans="1:11" ht="13">
      <c r="A81" s="2">
        <f t="shared" si="0"/>
        <v>72</v>
      </c>
      <c r="K81" s="6"/>
    </row>
    <row r="82" spans="1:11" ht="13">
      <c r="A82" s="2">
        <f t="shared" si="0"/>
        <v>73</v>
      </c>
      <c r="C82" s="231" t="s">
        <v>330</v>
      </c>
      <c r="D82" s="6">
        <f>'10-CWIP'!K79</f>
        <v>282467653.9161731</v>
      </c>
      <c r="E82" s="232" t="str">
        <f>"10-CWIP, L "&amp;'10-CWIP'!A79&amp;", C8"</f>
        <v>10-CWIP, L 54, C8</v>
      </c>
      <c r="K82" s="6"/>
    </row>
    <row r="83" spans="1:11" ht="13">
      <c r="A83" s="2">
        <f t="shared" si="0"/>
        <v>74</v>
      </c>
      <c r="C83" s="231" t="s">
        <v>308</v>
      </c>
      <c r="D83" s="990">
        <f>D25</f>
        <v>9.4622494505542221E-2</v>
      </c>
      <c r="E83" s="232" t="str">
        <f>"Line "&amp;A25&amp;""</f>
        <v>Line 16</v>
      </c>
      <c r="K83" s="366"/>
    </row>
    <row r="84" spans="1:11" ht="13">
      <c r="A84" s="2">
        <f t="shared" si="0"/>
        <v>75</v>
      </c>
      <c r="C84" s="231" t="s">
        <v>331</v>
      </c>
      <c r="D84" s="6">
        <f>D82*D83</f>
        <v>26727794.030676492</v>
      </c>
      <c r="E84" s="232" t="str">
        <f>"Line "&amp;A82&amp;" * Line "&amp;A83&amp;""</f>
        <v>Line 73 * Line 74</v>
      </c>
      <c r="K84" s="6"/>
    </row>
    <row r="85" spans="1:11" ht="13">
      <c r="A85" s="2">
        <f t="shared" si="0"/>
        <v>76</v>
      </c>
      <c r="K85" s="6"/>
    </row>
    <row r="86" spans="1:11" ht="13">
      <c r="A86" s="2">
        <f t="shared" si="0"/>
        <v>77</v>
      </c>
      <c r="C86" s="231" t="s">
        <v>332</v>
      </c>
      <c r="D86" s="6">
        <f>D80+D84</f>
        <v>115112442.4531005</v>
      </c>
      <c r="E86" s="232" t="str">
        <f>"Line "&amp;A80&amp;" + Line "&amp;A84&amp;""</f>
        <v>Line 71 + Line 75</v>
      </c>
      <c r="K86" s="6"/>
    </row>
    <row r="87" spans="1:11" ht="13">
      <c r="A87" s="2">
        <f t="shared" si="0"/>
        <v>78</v>
      </c>
      <c r="K87" s="6"/>
    </row>
    <row r="88" spans="1:11" ht="13">
      <c r="A88" s="2">
        <f t="shared" ref="A88:A91" si="1">A87+1</f>
        <v>79</v>
      </c>
      <c r="C88" s="231" t="s">
        <v>333</v>
      </c>
      <c r="D88" s="6">
        <f>'28-FFU'!D22*D86</f>
        <v>1083138.6525945356</v>
      </c>
      <c r="E88" s="12" t="str">
        <f>"Line "&amp;A86&amp;" * FF (from 28-FFU, L "&amp;'28-FFU'!A22&amp;")"</f>
        <v>Line 77 * FF (from 28-FFU, L 5)</v>
      </c>
      <c r="K88" s="6"/>
    </row>
    <row r="89" spans="1:11" ht="13">
      <c r="A89" s="2">
        <f t="shared" si="1"/>
        <v>80</v>
      </c>
      <c r="C89" s="25" t="s">
        <v>334</v>
      </c>
      <c r="D89" s="6">
        <f>'28-FFU'!E22*D86</f>
        <v>2512632.0948788831</v>
      </c>
      <c r="E89" s="12" t="str">
        <f>"Line "&amp;A86&amp;" * U (from 28-FFU, L "&amp;'28-FFU'!A22&amp;")"</f>
        <v>Line 77 * U (from 28-FFU, L 5)</v>
      </c>
      <c r="K89" s="6"/>
    </row>
    <row r="90" spans="1:11" ht="13">
      <c r="A90" s="2">
        <f t="shared" si="1"/>
        <v>81</v>
      </c>
      <c r="D90" s="6"/>
      <c r="K90" s="6"/>
    </row>
    <row r="91" spans="1:11" ht="13">
      <c r="A91" s="2">
        <f t="shared" si="1"/>
        <v>82</v>
      </c>
      <c r="C91" s="25" t="s">
        <v>335</v>
      </c>
      <c r="D91" s="6">
        <f>D86+D88+D89</f>
        <v>118708213.20057392</v>
      </c>
      <c r="E91" s="232" t="str">
        <f>"Line "&amp;A86&amp;" + Line "&amp;A88&amp;" + Line "&amp;A89&amp;""</f>
        <v>Line 77 + Line 79 + Line 80</v>
      </c>
      <c r="K91" s="6"/>
    </row>
  </sheetData>
  <phoneticPr fontId="26" type="noConversion"/>
  <pageMargins left="0.75" right="0.75" top="1" bottom="1" header="0.5" footer="0.5"/>
  <pageSetup scale="74" orientation="portrait" cellComments="asDisplayed" r:id="rId1"/>
  <headerFooter alignWithMargins="0">
    <oddHeader>&amp;CSchedule 2
Incremental Forecast Period TRR
&amp;RTO2027 Draft Annual Update 
Attachment 1</oddHeader>
    <oddFooter>&amp;R&amp;A</oddFooter>
  </headerFooter>
  <rowBreaks count="1" manualBreakCount="1">
    <brk id="66"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workbookViewId="0">
      <selection activeCell="C107" sqref="C107"/>
    </sheetView>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8.54296875" bestFit="1" customWidth="1"/>
    <col min="13" max="16" width="12.54296875" customWidth="1"/>
  </cols>
  <sheetData>
    <row r="1" spans="1:12" ht="13">
      <c r="A1" s="1" t="s">
        <v>336</v>
      </c>
      <c r="B1" s="112"/>
      <c r="C1" s="112"/>
      <c r="D1" s="112"/>
      <c r="E1" s="112"/>
      <c r="F1" s="112"/>
      <c r="G1" s="112"/>
      <c r="H1" s="112"/>
      <c r="I1" s="112"/>
      <c r="J1" s="112"/>
      <c r="K1" s="112"/>
      <c r="L1" s="112"/>
    </row>
    <row r="2" spans="1:12">
      <c r="A2" s="112"/>
      <c r="B2" s="112"/>
      <c r="C2" s="112"/>
      <c r="D2" s="112"/>
      <c r="E2" s="112"/>
      <c r="F2" s="112"/>
      <c r="G2" s="112"/>
      <c r="H2" s="112"/>
      <c r="I2" s="112"/>
      <c r="J2" s="112"/>
      <c r="K2" s="112"/>
      <c r="L2" s="112"/>
    </row>
    <row r="3" spans="1:12" ht="13">
      <c r="A3" s="112"/>
      <c r="B3" s="1" t="s">
        <v>337</v>
      </c>
      <c r="C3" s="112"/>
      <c r="D3" s="112"/>
      <c r="E3" s="112"/>
      <c r="F3" s="112"/>
      <c r="G3" s="112"/>
      <c r="H3" s="112"/>
      <c r="I3" s="112"/>
      <c r="J3" s="112"/>
      <c r="K3" s="112"/>
      <c r="L3" s="112"/>
    </row>
    <row r="4" spans="1:12">
      <c r="A4" s="112"/>
      <c r="B4" s="232" t="s">
        <v>338</v>
      </c>
      <c r="C4" s="112"/>
      <c r="D4" s="112"/>
      <c r="E4" s="112"/>
      <c r="F4" s="112"/>
      <c r="G4" s="112"/>
      <c r="H4" s="112"/>
      <c r="I4" s="112"/>
      <c r="J4" s="112"/>
      <c r="K4" s="112"/>
      <c r="L4" s="112"/>
    </row>
    <row r="5" spans="1:12">
      <c r="A5" s="112"/>
      <c r="B5" s="232" t="s">
        <v>339</v>
      </c>
      <c r="C5" s="112"/>
      <c r="D5" s="112"/>
      <c r="E5" s="112"/>
      <c r="F5" s="112"/>
      <c r="G5" s="112"/>
      <c r="H5" s="112"/>
      <c r="I5" s="112"/>
      <c r="J5" s="112"/>
      <c r="K5" s="112"/>
      <c r="L5" s="112"/>
    </row>
    <row r="6" spans="1:12">
      <c r="A6" s="112"/>
      <c r="B6" s="232" t="s">
        <v>340</v>
      </c>
      <c r="C6" s="112"/>
      <c r="D6" s="112"/>
      <c r="E6" s="112"/>
      <c r="F6" s="112"/>
      <c r="G6" s="112"/>
      <c r="H6" s="112"/>
      <c r="I6" s="112"/>
      <c r="J6" s="112"/>
      <c r="K6" s="112"/>
      <c r="L6" s="112"/>
    </row>
    <row r="7" spans="1:12">
      <c r="A7" s="112"/>
      <c r="B7" s="232" t="str">
        <f>"d) Include previous Annual Update Cumulative Excess or Shortfall in Prior Year (from Previous Annual Update Line "&amp;A36&amp;")"</f>
        <v>d) Include previous Annual Update Cumulative Excess or Shortfall in Prior Year (from Previous Annual Update Line 23)</v>
      </c>
      <c r="C7" s="112"/>
      <c r="D7" s="112"/>
      <c r="E7" s="112"/>
      <c r="F7" s="112"/>
      <c r="G7" s="112"/>
      <c r="H7" s="112"/>
      <c r="I7" s="112"/>
      <c r="J7" s="112"/>
      <c r="K7" s="112"/>
      <c r="L7" s="112"/>
    </row>
    <row r="8" spans="1:12">
      <c r="A8" s="112"/>
      <c r="B8" s="480" t="str">
        <f>"and any One-Time Adjustments in Column 4 (Lines "&amp;A24&amp;" and "&amp;A25&amp;" respectively)."</f>
        <v>and any One-Time Adjustments in Column 4 (Lines 11 and 12 respectively).</v>
      </c>
      <c r="C8" s="112"/>
      <c r="D8" s="112"/>
      <c r="E8" s="112"/>
      <c r="F8" s="112"/>
      <c r="G8" s="112"/>
      <c r="H8" s="112"/>
      <c r="I8" s="112"/>
      <c r="J8" s="112"/>
      <c r="K8" s="112"/>
      <c r="L8" s="112"/>
    </row>
    <row r="9" spans="1:12">
      <c r="A9" s="112"/>
      <c r="B9" s="232"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12"/>
      <c r="D9" s="112"/>
      <c r="E9" s="112"/>
      <c r="F9" s="112"/>
      <c r="G9" s="112"/>
      <c r="H9" s="112"/>
      <c r="I9" s="112"/>
      <c r="J9" s="112"/>
      <c r="K9" s="112"/>
      <c r="L9" s="112"/>
    </row>
    <row r="10" spans="1:12">
      <c r="A10" s="112"/>
      <c r="B10" s="112"/>
      <c r="C10" s="112"/>
      <c r="D10" s="112"/>
      <c r="E10" s="112"/>
      <c r="F10" s="112"/>
      <c r="G10" s="112"/>
      <c r="H10" s="112"/>
      <c r="I10" s="112"/>
      <c r="J10" s="112"/>
      <c r="K10" s="112"/>
      <c r="L10" s="112"/>
    </row>
    <row r="11" spans="1:12" ht="13">
      <c r="A11" s="2"/>
      <c r="B11" s="47" t="s">
        <v>341</v>
      </c>
      <c r="C11" s="112"/>
      <c r="D11" s="113"/>
      <c r="E11" s="114"/>
      <c r="F11" s="112"/>
      <c r="G11" s="112"/>
      <c r="H11" s="112"/>
      <c r="I11" s="112"/>
      <c r="J11" s="112"/>
      <c r="K11" s="235"/>
      <c r="L11" s="112"/>
    </row>
    <row r="12" spans="1:12" ht="13">
      <c r="A12" s="2"/>
      <c r="B12" s="40" t="s">
        <v>342</v>
      </c>
      <c r="C12" s="112"/>
      <c r="D12" s="113"/>
      <c r="E12" s="114"/>
      <c r="F12" s="112"/>
      <c r="G12" s="112"/>
      <c r="H12" s="112"/>
      <c r="I12" s="112"/>
      <c r="J12" s="112"/>
      <c r="K12" s="112"/>
      <c r="L12" s="112"/>
    </row>
    <row r="13" spans="1:12" ht="13">
      <c r="A13" s="32" t="s">
        <v>282</v>
      </c>
      <c r="B13" s="112"/>
      <c r="C13" s="47"/>
      <c r="D13" s="113"/>
      <c r="E13" s="114"/>
      <c r="F13" s="3"/>
      <c r="G13" s="112"/>
      <c r="H13" s="112"/>
      <c r="I13" s="112"/>
      <c r="J13" s="112"/>
      <c r="K13" s="112"/>
      <c r="L13" s="112"/>
    </row>
    <row r="14" spans="1:12" ht="13">
      <c r="A14" s="2">
        <f>A7+1</f>
        <v>1</v>
      </c>
      <c r="B14" s="112"/>
      <c r="C14" s="112"/>
      <c r="D14" s="246" t="s">
        <v>343</v>
      </c>
      <c r="E14" s="114">
        <f>'4-TUTRR'!E75</f>
        <v>1371254519.573452</v>
      </c>
      <c r="F14" s="247" t="s">
        <v>344</v>
      </c>
      <c r="G14" s="112"/>
      <c r="H14" s="112" t="str">
        <f>"Line "&amp;'4-TUTRR'!A75&amp;""</f>
        <v>Line 46</v>
      </c>
      <c r="I14" s="112"/>
      <c r="J14" s="112"/>
      <c r="K14" s="112"/>
      <c r="L14" s="112"/>
    </row>
    <row r="15" spans="1:12" ht="13">
      <c r="A15" s="2">
        <f>A14+1</f>
        <v>2</v>
      </c>
      <c r="B15" s="47"/>
      <c r="C15" s="112"/>
      <c r="D15" s="112"/>
      <c r="E15" s="112"/>
      <c r="F15" s="112"/>
      <c r="G15" s="112"/>
      <c r="H15" s="114"/>
      <c r="I15" s="112"/>
      <c r="J15" s="112"/>
      <c r="K15" s="112"/>
      <c r="L15" s="112"/>
    </row>
    <row r="16" spans="1:12" ht="13">
      <c r="A16" s="2">
        <f t="shared" ref="A16:A50" si="0">A15+1</f>
        <v>3</v>
      </c>
      <c r="B16" s="112"/>
      <c r="C16" s="112"/>
      <c r="D16" s="48" t="s">
        <v>345</v>
      </c>
      <c r="E16" s="48" t="s">
        <v>346</v>
      </c>
      <c r="F16" s="48" t="s">
        <v>347</v>
      </c>
      <c r="G16" s="48" t="s">
        <v>348</v>
      </c>
      <c r="H16" s="48" t="s">
        <v>349</v>
      </c>
      <c r="I16" s="48" t="s">
        <v>350</v>
      </c>
      <c r="J16" s="48" t="s">
        <v>351</v>
      </c>
      <c r="K16" s="48" t="s">
        <v>352</v>
      </c>
      <c r="L16" s="48" t="s">
        <v>353</v>
      </c>
    </row>
    <row r="17" spans="1:12" ht="13">
      <c r="A17" s="2">
        <f t="shared" si="0"/>
        <v>4</v>
      </c>
      <c r="B17" s="112"/>
      <c r="C17" s="113" t="s">
        <v>354</v>
      </c>
      <c r="D17" s="48"/>
      <c r="E17" s="234" t="s">
        <v>355</v>
      </c>
      <c r="F17" s="234" t="s">
        <v>356</v>
      </c>
      <c r="G17" s="234" t="s">
        <v>357</v>
      </c>
      <c r="H17" s="239" t="s">
        <v>358</v>
      </c>
      <c r="I17" s="234" t="s">
        <v>359</v>
      </c>
      <c r="J17" s="234" t="s">
        <v>360</v>
      </c>
      <c r="K17" s="234" t="s">
        <v>361</v>
      </c>
      <c r="L17" s="239" t="s">
        <v>362</v>
      </c>
    </row>
    <row r="18" spans="1:12" ht="13">
      <c r="A18" s="2">
        <f t="shared" si="0"/>
        <v>5</v>
      </c>
      <c r="B18" s="112"/>
      <c r="C18" s="112"/>
      <c r="D18" s="48"/>
      <c r="G18" s="4" t="s">
        <v>363</v>
      </c>
      <c r="I18" s="48"/>
      <c r="J18" s="2" t="s">
        <v>364</v>
      </c>
      <c r="K18" s="48"/>
      <c r="L18" s="48"/>
    </row>
    <row r="19" spans="1:12" ht="13">
      <c r="A19" s="2">
        <f t="shared" si="0"/>
        <v>6</v>
      </c>
      <c r="B19" s="112"/>
      <c r="C19" s="112"/>
      <c r="D19" s="48"/>
      <c r="G19" s="228" t="s">
        <v>365</v>
      </c>
      <c r="I19" s="112"/>
      <c r="J19" s="2" t="s">
        <v>366</v>
      </c>
      <c r="K19" s="112"/>
      <c r="L19" s="2" t="s">
        <v>364</v>
      </c>
    </row>
    <row r="20" spans="1:12" ht="13">
      <c r="A20" s="2">
        <f t="shared" si="0"/>
        <v>7</v>
      </c>
      <c r="B20" s="112"/>
      <c r="C20" s="112"/>
      <c r="D20" s="48"/>
      <c r="F20" s="2" t="s">
        <v>367</v>
      </c>
      <c r="G20" s="2" t="s">
        <v>368</v>
      </c>
      <c r="H20" s="2" t="s">
        <v>369</v>
      </c>
      <c r="I20" s="112"/>
      <c r="J20" s="2" t="s">
        <v>370</v>
      </c>
      <c r="K20" s="112"/>
      <c r="L20" s="2" t="s">
        <v>366</v>
      </c>
    </row>
    <row r="21" spans="1:12" ht="13">
      <c r="A21" s="2">
        <f t="shared" si="0"/>
        <v>8</v>
      </c>
      <c r="B21" s="112"/>
      <c r="C21" s="112"/>
      <c r="D21" s="2"/>
      <c r="E21" s="2" t="s">
        <v>369</v>
      </c>
      <c r="F21" s="2" t="s">
        <v>371</v>
      </c>
      <c r="G21" s="2" t="s">
        <v>372</v>
      </c>
      <c r="H21" s="2" t="s">
        <v>366</v>
      </c>
      <c r="I21" s="2" t="s">
        <v>369</v>
      </c>
      <c r="J21" s="2" t="s">
        <v>373</v>
      </c>
      <c r="K21" s="115" t="s">
        <v>374</v>
      </c>
      <c r="L21" s="2" t="s">
        <v>370</v>
      </c>
    </row>
    <row r="22" spans="1:12" ht="13">
      <c r="A22" s="2">
        <f t="shared" si="0"/>
        <v>9</v>
      </c>
      <c r="B22" s="112"/>
      <c r="C22" s="112"/>
      <c r="D22" s="2"/>
      <c r="E22" s="2" t="s">
        <v>375</v>
      </c>
      <c r="F22" s="2" t="s">
        <v>376</v>
      </c>
      <c r="G22" s="2" t="s">
        <v>377</v>
      </c>
      <c r="H22" s="2" t="s">
        <v>370</v>
      </c>
      <c r="I22" s="2" t="s">
        <v>374</v>
      </c>
      <c r="J22" s="2" t="s">
        <v>378</v>
      </c>
      <c r="K22" s="2" t="s">
        <v>379</v>
      </c>
      <c r="L22" s="2" t="s">
        <v>373</v>
      </c>
    </row>
    <row r="23" spans="1:12" ht="13">
      <c r="A23" s="2">
        <f t="shared" si="0"/>
        <v>10</v>
      </c>
      <c r="B23" s="112"/>
      <c r="C23" s="18" t="s">
        <v>380</v>
      </c>
      <c r="D23" s="18" t="s">
        <v>381</v>
      </c>
      <c r="E23" s="3" t="s">
        <v>382</v>
      </c>
      <c r="F23" s="3" t="s">
        <v>383</v>
      </c>
      <c r="G23" s="3" t="s">
        <v>384</v>
      </c>
      <c r="H23" s="3" t="s">
        <v>373</v>
      </c>
      <c r="I23" s="3" t="s">
        <v>385</v>
      </c>
      <c r="J23" s="3" t="s">
        <v>386</v>
      </c>
      <c r="K23" s="3" t="s">
        <v>380</v>
      </c>
      <c r="L23" s="3" t="s">
        <v>387</v>
      </c>
    </row>
    <row r="24" spans="1:12" ht="13">
      <c r="A24" s="2">
        <f>A23+1</f>
        <v>11</v>
      </c>
      <c r="B24" s="112"/>
      <c r="C24" s="252" t="s">
        <v>388</v>
      </c>
      <c r="D24" s="330">
        <v>2024</v>
      </c>
      <c r="E24" s="118" t="s">
        <v>389</v>
      </c>
      <c r="F24" s="118" t="s">
        <v>389</v>
      </c>
      <c r="G24" s="263">
        <v>70448685.662487924</v>
      </c>
      <c r="H24" s="114">
        <f>G24</f>
        <v>70448685.662487924</v>
      </c>
      <c r="I24" s="118" t="s">
        <v>389</v>
      </c>
      <c r="J24" s="117">
        <f>H24</f>
        <v>70448685.662487924</v>
      </c>
      <c r="K24" s="118" t="s">
        <v>389</v>
      </c>
      <c r="L24" s="235">
        <f>J24</f>
        <v>70448685.662487924</v>
      </c>
    </row>
    <row r="25" spans="1:12" ht="13">
      <c r="A25" s="2">
        <f t="shared" ref="A25:A36" si="1">A24+1</f>
        <v>12</v>
      </c>
      <c r="B25" s="112"/>
      <c r="C25" s="14" t="s">
        <v>390</v>
      </c>
      <c r="D25" s="330">
        <v>2025</v>
      </c>
      <c r="E25" s="114">
        <f>$E$14/12</f>
        <v>114271209.96445434</v>
      </c>
      <c r="F25" s="114">
        <f>C77</f>
        <v>102656170.45</v>
      </c>
      <c r="G25" s="991">
        <v>66868321.830592968</v>
      </c>
      <c r="H25" s="114">
        <f>E25-F25+G25</f>
        <v>78483361.345047295</v>
      </c>
      <c r="I25" s="761">
        <v>6.7000000000000002E-3</v>
      </c>
      <c r="J25" s="117">
        <f>L24+H25</f>
        <v>148932047.00753522</v>
      </c>
      <c r="K25" s="117">
        <f>((L24+J25)/2)*I25</f>
        <v>734925.45444457757</v>
      </c>
      <c r="L25" s="117">
        <f>J25+K25</f>
        <v>149666972.46197981</v>
      </c>
    </row>
    <row r="26" spans="1:12" ht="13">
      <c r="A26" s="2">
        <f t="shared" si="1"/>
        <v>13</v>
      </c>
      <c r="B26" s="112"/>
      <c r="C26" s="14" t="s">
        <v>391</v>
      </c>
      <c r="D26" s="330">
        <v>2025</v>
      </c>
      <c r="E26" s="114">
        <f>$E$14/12</f>
        <v>114271209.96445434</v>
      </c>
      <c r="F26" s="114">
        <f t="shared" ref="F26:F36" si="2">C78</f>
        <v>94580327.579999998</v>
      </c>
      <c r="G26" s="263"/>
      <c r="H26" s="114">
        <f t="shared" ref="H26:H35" si="3">E26-F26+G26</f>
        <v>19690882.38445434</v>
      </c>
      <c r="I26" s="761">
        <v>6.7000000000000002E-3</v>
      </c>
      <c r="J26" s="117">
        <f>L25+H26</f>
        <v>169357854.84643415</v>
      </c>
      <c r="K26" s="117">
        <f>((L25+J26)/2)*I26</f>
        <v>1068733.1714831868</v>
      </c>
      <c r="L26" s="117">
        <f t="shared" ref="L26:L35" si="4">J26+K26</f>
        <v>170426588.01791734</v>
      </c>
    </row>
    <row r="27" spans="1:12" ht="13">
      <c r="A27" s="2">
        <f t="shared" si="1"/>
        <v>14</v>
      </c>
      <c r="B27" s="112"/>
      <c r="C27" s="14" t="s">
        <v>392</v>
      </c>
      <c r="D27" s="330">
        <v>2025</v>
      </c>
      <c r="E27" s="114">
        <f t="shared" ref="E27:E36" si="5">$E$14/12</f>
        <v>114271209.96445434</v>
      </c>
      <c r="F27" s="114">
        <f t="shared" si="2"/>
        <v>96214143.290000007</v>
      </c>
      <c r="G27" s="263"/>
      <c r="H27" s="114">
        <f t="shared" si="3"/>
        <v>18057066.674454331</v>
      </c>
      <c r="I27" s="761">
        <v>6.7000000000000002E-3</v>
      </c>
      <c r="J27" s="117">
        <f t="shared" ref="J27:J35" si="6">L26+H27</f>
        <v>188483654.69237167</v>
      </c>
      <c r="K27" s="117">
        <f t="shared" ref="K27:K36" si="7">((L26+J27)/2)*I27</f>
        <v>1202349.3130794682</v>
      </c>
      <c r="L27" s="117">
        <f t="shared" si="4"/>
        <v>189686004.00545114</v>
      </c>
    </row>
    <row r="28" spans="1:12" ht="13">
      <c r="A28" s="2">
        <f t="shared" si="1"/>
        <v>15</v>
      </c>
      <c r="B28" s="112"/>
      <c r="C28" s="14" t="s">
        <v>393</v>
      </c>
      <c r="D28" s="330">
        <v>2025</v>
      </c>
      <c r="E28" s="114">
        <f t="shared" si="5"/>
        <v>114271209.96445434</v>
      </c>
      <c r="F28" s="114">
        <f t="shared" si="2"/>
        <v>92308913.469999999</v>
      </c>
      <c r="G28" s="263"/>
      <c r="H28" s="114">
        <f t="shared" si="3"/>
        <v>21962296.494454339</v>
      </c>
      <c r="I28" s="761">
        <v>6.3E-3</v>
      </c>
      <c r="J28" s="117">
        <f t="shared" si="6"/>
        <v>211648300.49990547</v>
      </c>
      <c r="K28" s="117">
        <f t="shared" si="7"/>
        <v>1264203.0591918733</v>
      </c>
      <c r="L28" s="117">
        <f t="shared" si="4"/>
        <v>212912503.55909735</v>
      </c>
    </row>
    <row r="29" spans="1:12" ht="13">
      <c r="A29" s="2">
        <f t="shared" si="1"/>
        <v>16</v>
      </c>
      <c r="B29" s="112"/>
      <c r="C29" s="14" t="s">
        <v>394</v>
      </c>
      <c r="D29" s="330">
        <v>2025</v>
      </c>
      <c r="E29" s="114">
        <f t="shared" si="5"/>
        <v>114271209.96445434</v>
      </c>
      <c r="F29" s="114">
        <f t="shared" si="2"/>
        <v>110214840.58</v>
      </c>
      <c r="G29" s="263"/>
      <c r="H29" s="114">
        <f t="shared" si="3"/>
        <v>4056369.3844543397</v>
      </c>
      <c r="I29" s="761">
        <v>6.3E-3</v>
      </c>
      <c r="J29" s="117">
        <f t="shared" si="6"/>
        <v>216968872.94355169</v>
      </c>
      <c r="K29" s="117">
        <f t="shared" si="7"/>
        <v>1354126.3359833446</v>
      </c>
      <c r="L29" s="117">
        <f t="shared" si="4"/>
        <v>218322999.27953503</v>
      </c>
    </row>
    <row r="30" spans="1:12" ht="13">
      <c r="A30" s="2">
        <f t="shared" si="1"/>
        <v>17</v>
      </c>
      <c r="B30" s="112"/>
      <c r="C30" s="14" t="s">
        <v>395</v>
      </c>
      <c r="D30" s="330">
        <v>2025</v>
      </c>
      <c r="E30" s="114">
        <f t="shared" si="5"/>
        <v>114271209.96445434</v>
      </c>
      <c r="F30" s="114">
        <f t="shared" si="2"/>
        <v>111127677.84</v>
      </c>
      <c r="G30" s="263"/>
      <c r="H30" s="114">
        <f t="shared" si="3"/>
        <v>3143532.1244543344</v>
      </c>
      <c r="I30" s="761">
        <v>6.3E-3</v>
      </c>
      <c r="J30" s="117">
        <f t="shared" si="6"/>
        <v>221466531.40398937</v>
      </c>
      <c r="K30" s="117">
        <f t="shared" si="7"/>
        <v>1385337.0216531018</v>
      </c>
      <c r="L30" s="117">
        <f t="shared" si="4"/>
        <v>222851868.42564249</v>
      </c>
    </row>
    <row r="31" spans="1:12" ht="13">
      <c r="A31" s="2">
        <f t="shared" si="1"/>
        <v>18</v>
      </c>
      <c r="B31" s="112"/>
      <c r="C31" s="14" t="s">
        <v>396</v>
      </c>
      <c r="D31" s="330">
        <v>2025</v>
      </c>
      <c r="E31" s="114">
        <f t="shared" si="5"/>
        <v>114271209.96445434</v>
      </c>
      <c r="F31" s="114">
        <f t="shared" si="2"/>
        <v>125201437.16</v>
      </c>
      <c r="G31" s="263"/>
      <c r="H31" s="114">
        <f t="shared" si="3"/>
        <v>-10930227.195545658</v>
      </c>
      <c r="I31" s="761">
        <v>6.3E-3</v>
      </c>
      <c r="J31" s="117">
        <f t="shared" si="6"/>
        <v>211921641.23009682</v>
      </c>
      <c r="K31" s="117">
        <f t="shared" si="7"/>
        <v>1369536.5554155789</v>
      </c>
      <c r="L31" s="117">
        <f t="shared" si="4"/>
        <v>213291177.78551239</v>
      </c>
    </row>
    <row r="32" spans="1:12" ht="13">
      <c r="A32" s="2">
        <f t="shared" si="1"/>
        <v>19</v>
      </c>
      <c r="B32" s="112"/>
      <c r="C32" s="14" t="s">
        <v>397</v>
      </c>
      <c r="D32" s="330">
        <v>2025</v>
      </c>
      <c r="E32" s="114">
        <f t="shared" si="5"/>
        <v>114271209.96445434</v>
      </c>
      <c r="F32" s="114">
        <f t="shared" si="2"/>
        <v>144879662.13</v>
      </c>
      <c r="G32" s="263"/>
      <c r="H32" s="114">
        <f t="shared" si="3"/>
        <v>-30608452.165545657</v>
      </c>
      <c r="I32" s="761">
        <v>6.3E-3</v>
      </c>
      <c r="J32" s="117">
        <f t="shared" si="6"/>
        <v>182682725.61996675</v>
      </c>
      <c r="K32" s="117">
        <f t="shared" si="7"/>
        <v>1247317.7957272592</v>
      </c>
      <c r="L32" s="117">
        <f t="shared" si="4"/>
        <v>183930043.415694</v>
      </c>
    </row>
    <row r="33" spans="1:12" ht="13">
      <c r="A33" s="2">
        <f t="shared" si="1"/>
        <v>20</v>
      </c>
      <c r="B33" s="112"/>
      <c r="C33" s="14" t="s">
        <v>398</v>
      </c>
      <c r="D33" s="330">
        <v>2025</v>
      </c>
      <c r="E33" s="114">
        <f t="shared" si="5"/>
        <v>114271209.96445434</v>
      </c>
      <c r="F33" s="114">
        <f t="shared" si="2"/>
        <v>118781093.84999999</v>
      </c>
      <c r="G33" s="263"/>
      <c r="H33" s="114">
        <f t="shared" si="3"/>
        <v>-4509883.8855456561</v>
      </c>
      <c r="I33" s="761">
        <v>6.3E-3</v>
      </c>
      <c r="J33" s="117">
        <f t="shared" si="6"/>
        <v>179420159.53014833</v>
      </c>
      <c r="K33" s="117">
        <f t="shared" si="7"/>
        <v>1144553.1392794033</v>
      </c>
      <c r="L33" s="117">
        <f t="shared" si="4"/>
        <v>180564712.66942772</v>
      </c>
    </row>
    <row r="34" spans="1:12" ht="13">
      <c r="A34" s="2">
        <f t="shared" si="1"/>
        <v>21</v>
      </c>
      <c r="B34" s="112"/>
      <c r="C34" s="14" t="s">
        <v>399</v>
      </c>
      <c r="D34" s="330">
        <v>2025</v>
      </c>
      <c r="E34" s="114">
        <f t="shared" si="5"/>
        <v>114271209.96445434</v>
      </c>
      <c r="F34" s="114">
        <f t="shared" si="2"/>
        <v>113602499.7</v>
      </c>
      <c r="G34" s="263"/>
      <c r="H34" s="114">
        <f t="shared" si="3"/>
        <v>668710.26445433497</v>
      </c>
      <c r="I34" s="761">
        <v>6.3E-3</v>
      </c>
      <c r="J34" s="117">
        <f t="shared" si="6"/>
        <v>181233422.93388206</v>
      </c>
      <c r="K34" s="117">
        <f t="shared" si="7"/>
        <v>1139664.1271504257</v>
      </c>
      <c r="L34" s="117">
        <f t="shared" si="4"/>
        <v>182373087.06103247</v>
      </c>
    </row>
    <row r="35" spans="1:12" ht="13">
      <c r="A35" s="2">
        <f t="shared" si="1"/>
        <v>22</v>
      </c>
      <c r="B35" s="112"/>
      <c r="C35" s="14" t="s">
        <v>400</v>
      </c>
      <c r="D35" s="330">
        <v>2025</v>
      </c>
      <c r="E35" s="114">
        <f t="shared" si="5"/>
        <v>114271209.96445434</v>
      </c>
      <c r="F35" s="114">
        <f t="shared" si="2"/>
        <v>98037438.090000004</v>
      </c>
      <c r="G35" s="263"/>
      <c r="H35" s="114">
        <f t="shared" si="3"/>
        <v>16233771.874454334</v>
      </c>
      <c r="I35" s="761">
        <v>6.3E-3</v>
      </c>
      <c r="J35" s="117">
        <f t="shared" si="6"/>
        <v>198606858.93548679</v>
      </c>
      <c r="K35" s="117">
        <f t="shared" si="7"/>
        <v>1200086.8298890358</v>
      </c>
      <c r="L35" s="117">
        <f t="shared" si="4"/>
        <v>199806945.76537582</v>
      </c>
    </row>
    <row r="36" spans="1:12" ht="13">
      <c r="A36" s="2">
        <f t="shared" si="1"/>
        <v>23</v>
      </c>
      <c r="B36" s="112"/>
      <c r="C36" s="14" t="s">
        <v>388</v>
      </c>
      <c r="D36" s="330">
        <v>2025</v>
      </c>
      <c r="E36" s="114">
        <f t="shared" si="5"/>
        <v>114271209.96445434</v>
      </c>
      <c r="F36" s="114">
        <f t="shared" si="2"/>
        <v>102743303.81999999</v>
      </c>
      <c r="G36" s="787"/>
      <c r="H36" s="114">
        <f>E36-F36+G36</f>
        <v>11527906.144454345</v>
      </c>
      <c r="I36" s="761">
        <v>6.3E-3</v>
      </c>
      <c r="J36" s="117">
        <f>L35+H36</f>
        <v>211334851.90983015</v>
      </c>
      <c r="K36" s="117">
        <f t="shared" si="7"/>
        <v>1295096.6626768988</v>
      </c>
      <c r="L36" s="117">
        <f>J36+K36</f>
        <v>212629948.57250705</v>
      </c>
    </row>
    <row r="37" spans="1:12" ht="13">
      <c r="A37" s="2"/>
      <c r="B37" s="112"/>
      <c r="C37" s="14"/>
      <c r="D37" s="17"/>
      <c r="E37" s="112"/>
      <c r="F37" s="122"/>
      <c r="G37" s="114"/>
      <c r="H37" s="189"/>
      <c r="I37" s="112"/>
      <c r="J37" s="112"/>
      <c r="K37" s="112"/>
      <c r="L37" s="112"/>
    </row>
    <row r="38" spans="1:12" ht="13">
      <c r="A38" s="2">
        <f>A36+1</f>
        <v>24</v>
      </c>
      <c r="B38" s="1" t="s">
        <v>401</v>
      </c>
      <c r="C38" s="14"/>
      <c r="D38" s="17"/>
      <c r="E38" s="112"/>
      <c r="F38" s="232"/>
      <c r="G38" s="114"/>
      <c r="H38" s="122"/>
      <c r="I38" s="112"/>
      <c r="J38" s="112"/>
      <c r="K38" s="112"/>
      <c r="L38" s="112"/>
    </row>
    <row r="39" spans="1:12" ht="13">
      <c r="A39" s="2">
        <f t="shared" si="0"/>
        <v>25</v>
      </c>
      <c r="B39" s="1"/>
      <c r="C39" s="14"/>
      <c r="D39" s="17"/>
      <c r="E39" s="112"/>
      <c r="F39" s="251" t="s">
        <v>233</v>
      </c>
      <c r="G39" s="114"/>
      <c r="H39" s="122"/>
      <c r="I39" s="112"/>
      <c r="J39" s="112"/>
      <c r="K39" s="112"/>
      <c r="L39" s="112"/>
    </row>
    <row r="40" spans="1:12" ht="13">
      <c r="A40" s="2">
        <f t="shared" si="0"/>
        <v>26</v>
      </c>
      <c r="B40" s="112"/>
      <c r="C40" s="14"/>
      <c r="D40" s="113" t="s">
        <v>402</v>
      </c>
      <c r="E40" s="114">
        <f>L36</f>
        <v>212629948.57250705</v>
      </c>
      <c r="F40" s="232" t="str">
        <f>"Line "&amp;A36&amp;", Column 9"</f>
        <v>Line 23, Column 9</v>
      </c>
      <c r="G40" s="119"/>
      <c r="H40" s="122"/>
      <c r="I40" s="112"/>
      <c r="J40" s="112"/>
      <c r="K40" s="112"/>
      <c r="L40" s="112"/>
    </row>
    <row r="41" spans="1:12" ht="13">
      <c r="A41" s="2">
        <f t="shared" si="0"/>
        <v>27</v>
      </c>
      <c r="B41" s="112"/>
      <c r="C41" s="14"/>
      <c r="D41" s="231" t="s">
        <v>403</v>
      </c>
      <c r="E41" s="529">
        <v>64511621.497400723</v>
      </c>
      <c r="F41" s="232" t="str">
        <f>"Previous Annual Update Schedule 3, Line "&amp;A44&amp;""</f>
        <v>Previous Annual Update Schedule 3, Line 30</v>
      </c>
      <c r="G41" s="119"/>
      <c r="H41" s="122"/>
      <c r="J41" s="113" t="s">
        <v>404</v>
      </c>
      <c r="K41" s="198" t="s">
        <v>3075</v>
      </c>
      <c r="L41" s="198" t="s">
        <v>3076</v>
      </c>
    </row>
    <row r="42" spans="1:12" ht="13">
      <c r="A42" s="2">
        <f t="shared" si="0"/>
        <v>28</v>
      </c>
      <c r="B42" s="112"/>
      <c r="C42" s="14"/>
      <c r="D42" s="231" t="s">
        <v>405</v>
      </c>
      <c r="E42" s="785">
        <f>E40-E41</f>
        <v>148118327.07510632</v>
      </c>
      <c r="F42" s="232" t="str">
        <f>"Line "&amp;A40&amp;" - Line "&amp;A41&amp;""</f>
        <v>Line 26 - Line 27</v>
      </c>
      <c r="G42" s="119"/>
      <c r="H42" s="122"/>
      <c r="J42" s="232"/>
      <c r="K42" s="198"/>
      <c r="L42" s="198"/>
    </row>
    <row r="43" spans="1:12" ht="14">
      <c r="A43" s="2">
        <f t="shared" si="0"/>
        <v>29</v>
      </c>
      <c r="B43" s="112"/>
      <c r="C43" s="14"/>
      <c r="D43" s="231" t="s">
        <v>406</v>
      </c>
      <c r="E43" s="992">
        <f>E42*I36*18</f>
        <v>16796618.290317059</v>
      </c>
      <c r="F43" s="232" t="str">
        <f>"Line "&amp;A42&amp;" * (Line "&amp;A36&amp;", Column 6) * 18 months"</f>
        <v>Line 28 * (Line 23, Column 6) * 18 months</v>
      </c>
      <c r="G43" s="119"/>
      <c r="H43" s="122"/>
      <c r="I43" s="232"/>
      <c r="J43" s="112"/>
      <c r="K43" s="112"/>
      <c r="L43" s="112"/>
    </row>
    <row r="44" spans="1:12" ht="13">
      <c r="A44" s="2">
        <f t="shared" si="0"/>
        <v>30</v>
      </c>
      <c r="B44" s="112"/>
      <c r="C44" s="14"/>
      <c r="D44" s="49" t="s">
        <v>407</v>
      </c>
      <c r="E44" s="114">
        <f>E42+E43</f>
        <v>164914945.36542338</v>
      </c>
      <c r="F44" s="250" t="str">
        <f>"Line "&amp;A42&amp;" + Line "&amp;A43&amp;".  Positive amount is to be collected by SCE (included in Base TRR as a positive amount)."</f>
        <v>Line 28 + Line 29.  Positive amount is to be collected by SCE (included in Base TRR as a positive amount).</v>
      </c>
      <c r="G44" s="119"/>
      <c r="H44" s="122"/>
      <c r="I44" s="112"/>
      <c r="J44" s="112"/>
      <c r="K44" s="112"/>
      <c r="L44" s="112"/>
    </row>
    <row r="45" spans="1:12" ht="13">
      <c r="A45" s="2">
        <f t="shared" si="0"/>
        <v>31</v>
      </c>
      <c r="B45" s="112"/>
      <c r="C45" s="112"/>
      <c r="D45" s="112"/>
      <c r="E45" s="112"/>
      <c r="F45" s="250" t="s">
        <v>408</v>
      </c>
      <c r="G45" s="112"/>
      <c r="H45" s="112"/>
      <c r="I45" s="112"/>
      <c r="J45" s="112"/>
      <c r="K45" s="112"/>
      <c r="L45" s="112"/>
    </row>
    <row r="46" spans="1:12" ht="13">
      <c r="A46" s="2">
        <f t="shared" si="0"/>
        <v>32</v>
      </c>
      <c r="B46" s="1" t="s">
        <v>409</v>
      </c>
      <c r="C46" s="112"/>
      <c r="D46" s="112"/>
      <c r="E46" s="112"/>
      <c r="F46" s="123"/>
      <c r="G46" s="112"/>
      <c r="H46" s="112"/>
      <c r="I46" s="112"/>
      <c r="J46" s="112"/>
      <c r="K46" s="112"/>
      <c r="L46" s="112"/>
    </row>
    <row r="47" spans="1:12" ht="13">
      <c r="A47" s="2">
        <f t="shared" si="0"/>
        <v>33</v>
      </c>
      <c r="B47" s="232" t="s">
        <v>410</v>
      </c>
      <c r="C47" s="112"/>
      <c r="D47" s="112"/>
      <c r="E47" s="112"/>
      <c r="F47" s="112"/>
      <c r="G47" s="112"/>
      <c r="H47" s="112"/>
      <c r="I47" s="112"/>
      <c r="J47" s="112"/>
      <c r="K47" s="112"/>
      <c r="L47" s="112"/>
    </row>
    <row r="48" spans="1:12" ht="13">
      <c r="A48" s="2">
        <f t="shared" si="0"/>
        <v>34</v>
      </c>
      <c r="B48" s="232" t="s">
        <v>411</v>
      </c>
      <c r="C48" s="112"/>
      <c r="D48" s="112"/>
      <c r="E48" s="112"/>
      <c r="F48" s="112"/>
      <c r="G48" s="112"/>
      <c r="H48" s="112"/>
      <c r="I48" s="112"/>
      <c r="J48" s="112"/>
      <c r="K48" s="112"/>
      <c r="L48" s="112"/>
    </row>
    <row r="49" spans="1:12" ht="13">
      <c r="A49" s="2">
        <f t="shared" si="0"/>
        <v>35</v>
      </c>
      <c r="B49" s="232" t="s">
        <v>412</v>
      </c>
      <c r="C49" s="112"/>
      <c r="D49" s="112"/>
      <c r="E49" s="112"/>
      <c r="F49" s="112"/>
      <c r="G49" s="112"/>
      <c r="H49" s="112"/>
      <c r="I49" s="112"/>
      <c r="J49" s="112"/>
      <c r="K49" s="112"/>
      <c r="L49" s="112"/>
    </row>
    <row r="50" spans="1:12" ht="13">
      <c r="A50" s="2">
        <f t="shared" si="0"/>
        <v>36</v>
      </c>
      <c r="B50" s="112"/>
      <c r="C50" s="112"/>
      <c r="D50" s="112"/>
      <c r="E50" s="112"/>
      <c r="F50" s="112"/>
      <c r="G50" s="112"/>
      <c r="H50" s="112"/>
      <c r="I50" s="112"/>
      <c r="J50" s="112"/>
      <c r="K50" s="112"/>
      <c r="L50" s="112"/>
    </row>
    <row r="51" spans="1:12" ht="13">
      <c r="A51" s="2">
        <f t="shared" ref="A51:A91" si="8">A50+1</f>
        <v>37</v>
      </c>
      <c r="B51" s="1" t="s">
        <v>413</v>
      </c>
      <c r="C51" s="112"/>
      <c r="D51" s="112"/>
      <c r="E51" s="112"/>
      <c r="F51" s="112"/>
      <c r="G51" s="112"/>
      <c r="H51" s="112"/>
      <c r="I51" s="112"/>
      <c r="J51" s="112"/>
      <c r="K51" s="112"/>
      <c r="L51" s="112"/>
    </row>
    <row r="52" spans="1:12" ht="13">
      <c r="A52" s="2">
        <f t="shared" si="8"/>
        <v>38</v>
      </c>
      <c r="B52" s="112"/>
      <c r="C52" s="112"/>
      <c r="D52" s="115" t="s">
        <v>414</v>
      </c>
      <c r="E52" s="112"/>
      <c r="G52" s="112"/>
      <c r="H52" s="112"/>
      <c r="I52" s="112"/>
      <c r="J52" s="112"/>
      <c r="K52" s="112"/>
      <c r="L52" s="112"/>
    </row>
    <row r="53" spans="1:12" ht="13">
      <c r="A53" s="2">
        <f t="shared" si="8"/>
        <v>39</v>
      </c>
      <c r="B53" s="112"/>
      <c r="C53" s="18" t="s">
        <v>380</v>
      </c>
      <c r="D53" s="3" t="s">
        <v>415</v>
      </c>
      <c r="E53" s="3" t="s">
        <v>416</v>
      </c>
      <c r="G53" s="112"/>
      <c r="H53" s="112"/>
      <c r="I53" s="112"/>
      <c r="J53" s="112"/>
      <c r="K53" s="112"/>
      <c r="L53" s="112"/>
    </row>
    <row r="54" spans="1:12" ht="13">
      <c r="A54" s="2">
        <f t="shared" si="8"/>
        <v>40</v>
      </c>
      <c r="B54" s="112"/>
      <c r="C54" s="14" t="s">
        <v>390</v>
      </c>
      <c r="D54" s="860">
        <v>6.3763211440757639E-2</v>
      </c>
      <c r="E54" s="232" t="s">
        <v>417</v>
      </c>
      <c r="G54" s="112"/>
      <c r="H54" s="112"/>
      <c r="I54" s="112"/>
      <c r="J54" s="112"/>
      <c r="K54" s="112"/>
      <c r="L54" s="112"/>
    </row>
    <row r="55" spans="1:12" ht="13">
      <c r="A55" s="2">
        <f t="shared" si="8"/>
        <v>41</v>
      </c>
      <c r="B55" s="112"/>
      <c r="C55" s="14" t="s">
        <v>391</v>
      </c>
      <c r="D55" s="860">
        <v>5.6553289888256801E-2</v>
      </c>
      <c r="G55" s="112"/>
      <c r="H55" s="112"/>
      <c r="I55" s="112"/>
      <c r="J55" s="112"/>
      <c r="K55" s="112"/>
      <c r="L55" s="112"/>
    </row>
    <row r="56" spans="1:12" ht="13">
      <c r="A56" s="2">
        <f t="shared" si="8"/>
        <v>42</v>
      </c>
      <c r="B56" s="112"/>
      <c r="C56" s="14" t="s">
        <v>392</v>
      </c>
      <c r="D56" s="860">
        <v>7.1828142218240867E-2</v>
      </c>
      <c r="E56" s="232"/>
      <c r="G56" s="112"/>
      <c r="H56" s="112"/>
      <c r="I56" s="112"/>
      <c r="J56" s="112"/>
      <c r="K56" s="112"/>
      <c r="L56" s="112"/>
    </row>
    <row r="57" spans="1:12" ht="13">
      <c r="A57" s="2">
        <f t="shared" si="8"/>
        <v>43</v>
      </c>
      <c r="B57" s="112"/>
      <c r="C57" s="14" t="s">
        <v>393</v>
      </c>
      <c r="D57" s="860">
        <v>8.2236801934806855E-2</v>
      </c>
      <c r="E57" s="861"/>
      <c r="G57" s="112"/>
      <c r="H57" s="112"/>
      <c r="I57" s="112"/>
      <c r="J57" s="112"/>
      <c r="K57" s="112"/>
      <c r="L57" s="112"/>
    </row>
    <row r="58" spans="1:12" ht="13">
      <c r="A58" s="2">
        <f t="shared" si="8"/>
        <v>44</v>
      </c>
      <c r="B58" s="112"/>
      <c r="C58" s="14" t="s">
        <v>394</v>
      </c>
      <c r="D58" s="860">
        <v>8.01837425905748E-2</v>
      </c>
      <c r="E58" s="124"/>
      <c r="G58" s="112"/>
      <c r="H58" s="112"/>
      <c r="I58" s="112"/>
      <c r="J58" s="112"/>
      <c r="K58" s="112"/>
      <c r="L58" s="112"/>
    </row>
    <row r="59" spans="1:12" ht="13">
      <c r="A59" s="2">
        <f t="shared" si="8"/>
        <v>45</v>
      </c>
      <c r="B59" s="112"/>
      <c r="C59" s="14" t="s">
        <v>395</v>
      </c>
      <c r="D59" s="860">
        <v>8.9450501877561497E-2</v>
      </c>
      <c r="E59" s="124"/>
      <c r="G59" s="112"/>
      <c r="H59" s="112"/>
      <c r="I59" s="112"/>
      <c r="J59" s="112"/>
      <c r="K59" s="112"/>
      <c r="L59" s="112"/>
    </row>
    <row r="60" spans="1:12" ht="13">
      <c r="A60" s="2">
        <f t="shared" si="8"/>
        <v>46</v>
      </c>
      <c r="B60" s="112"/>
      <c r="C60" s="14" t="s">
        <v>396</v>
      </c>
      <c r="D60" s="860">
        <v>9.8908415854749826E-2</v>
      </c>
      <c r="E60" s="124"/>
      <c r="G60" s="112"/>
      <c r="H60" s="112"/>
      <c r="I60" s="112"/>
      <c r="J60" s="112"/>
      <c r="K60" s="112"/>
      <c r="L60" s="112"/>
    </row>
    <row r="61" spans="1:12" ht="13">
      <c r="A61" s="2">
        <f t="shared" si="8"/>
        <v>47</v>
      </c>
      <c r="B61" s="112"/>
      <c r="C61" s="14" t="s">
        <v>397</v>
      </c>
      <c r="D61" s="860">
        <v>0.10141004323318151</v>
      </c>
      <c r="E61" s="124"/>
      <c r="G61" s="112"/>
      <c r="H61" s="112"/>
      <c r="I61" s="112"/>
      <c r="J61" s="112"/>
      <c r="K61" s="112"/>
      <c r="L61" s="112"/>
    </row>
    <row r="62" spans="1:12" ht="13">
      <c r="A62" s="2">
        <f t="shared" si="8"/>
        <v>48</v>
      </c>
      <c r="B62" s="112"/>
      <c r="C62" s="14" t="s">
        <v>398</v>
      </c>
      <c r="D62" s="860">
        <v>0.10217900008822713</v>
      </c>
      <c r="E62" s="124"/>
      <c r="G62" s="112"/>
      <c r="H62" s="112"/>
      <c r="I62" s="112"/>
      <c r="J62" s="112"/>
      <c r="K62" s="112"/>
      <c r="L62" s="112"/>
    </row>
    <row r="63" spans="1:12" ht="13">
      <c r="A63" s="2">
        <f t="shared" si="8"/>
        <v>49</v>
      </c>
      <c r="B63" s="112"/>
      <c r="C63" s="14" t="s">
        <v>399</v>
      </c>
      <c r="D63" s="860">
        <v>9.1787269171678454E-2</v>
      </c>
      <c r="E63" s="124"/>
      <c r="G63" s="112"/>
      <c r="H63" s="112"/>
      <c r="I63" s="112"/>
      <c r="J63" s="112"/>
      <c r="K63" s="112"/>
      <c r="L63" s="112"/>
    </row>
    <row r="64" spans="1:12" ht="13">
      <c r="A64" s="2">
        <f t="shared" si="8"/>
        <v>50</v>
      </c>
      <c r="B64" s="112"/>
      <c r="C64" s="14" t="s">
        <v>400</v>
      </c>
      <c r="D64" s="860">
        <v>7.5296938318149625E-2</v>
      </c>
      <c r="E64" s="124"/>
      <c r="G64" s="112"/>
      <c r="H64" s="112"/>
      <c r="I64" s="112"/>
      <c r="J64" s="112"/>
      <c r="K64" s="112"/>
      <c r="L64" s="112"/>
    </row>
    <row r="65" spans="1:16" ht="13">
      <c r="A65" s="2">
        <f t="shared" si="8"/>
        <v>51</v>
      </c>
      <c r="B65" s="112"/>
      <c r="C65" s="14" t="s">
        <v>388</v>
      </c>
      <c r="D65" s="190">
        <v>8.640264338381512E-2</v>
      </c>
      <c r="E65" s="29"/>
      <c r="G65" s="112"/>
      <c r="H65" s="112"/>
      <c r="I65" s="112"/>
      <c r="J65" s="112"/>
      <c r="K65" s="112"/>
      <c r="L65" s="112"/>
    </row>
    <row r="66" spans="1:16" ht="13">
      <c r="A66" s="2">
        <f t="shared" si="8"/>
        <v>52</v>
      </c>
      <c r="B66" s="112"/>
      <c r="C66" s="22" t="s">
        <v>418</v>
      </c>
      <c r="D66" s="195">
        <f>SUM(D54:D65)</f>
        <v>1.0000000000000002</v>
      </c>
      <c r="E66" s="112"/>
      <c r="G66" s="112"/>
      <c r="H66" s="112"/>
      <c r="I66" s="112"/>
      <c r="J66" s="112"/>
      <c r="K66" s="112"/>
      <c r="L66" s="112"/>
    </row>
    <row r="67" spans="1:16" ht="13">
      <c r="A67" s="2">
        <f t="shared" si="8"/>
        <v>53</v>
      </c>
      <c r="B67" s="112"/>
      <c r="C67" s="112"/>
      <c r="D67" s="112"/>
      <c r="E67" s="112"/>
      <c r="F67" s="2"/>
      <c r="G67" s="112"/>
      <c r="H67" s="112"/>
      <c r="I67" s="112"/>
      <c r="J67" s="112"/>
      <c r="K67" s="112"/>
      <c r="L67" s="112"/>
    </row>
    <row r="68" spans="1:16" ht="13">
      <c r="A68" s="2">
        <f t="shared" si="8"/>
        <v>54</v>
      </c>
      <c r="B68" s="1" t="s">
        <v>419</v>
      </c>
      <c r="C68" s="112"/>
      <c r="D68" s="112"/>
      <c r="E68" s="112"/>
      <c r="F68" s="2"/>
      <c r="G68" s="112"/>
      <c r="H68" s="112"/>
      <c r="I68" s="112"/>
      <c r="J68" s="112"/>
      <c r="K68" s="112"/>
      <c r="L68" s="112"/>
    </row>
    <row r="69" spans="1:16" ht="13">
      <c r="A69" s="2">
        <f t="shared" si="8"/>
        <v>55</v>
      </c>
      <c r="B69" s="112"/>
      <c r="C69" s="112"/>
      <c r="D69" s="112"/>
      <c r="E69" s="112"/>
      <c r="F69" s="2"/>
      <c r="G69" s="112"/>
      <c r="H69" s="112"/>
      <c r="I69" s="112"/>
      <c r="J69" s="112"/>
      <c r="K69" s="112"/>
      <c r="L69" s="112"/>
    </row>
    <row r="70" spans="1:16" ht="13">
      <c r="A70" s="2">
        <f t="shared" si="8"/>
        <v>56</v>
      </c>
      <c r="B70" s="112"/>
      <c r="C70" s="48" t="s">
        <v>345</v>
      </c>
      <c r="D70" s="48" t="s">
        <v>346</v>
      </c>
      <c r="E70" s="48" t="s">
        <v>347</v>
      </c>
      <c r="F70" s="48" t="s">
        <v>348</v>
      </c>
      <c r="G70" s="48" t="s">
        <v>349</v>
      </c>
      <c r="H70" s="48" t="s">
        <v>350</v>
      </c>
      <c r="I70" s="48" t="s">
        <v>351</v>
      </c>
      <c r="J70" s="112"/>
    </row>
    <row r="71" spans="1:16" ht="13">
      <c r="A71" s="2">
        <f t="shared" si="8"/>
        <v>57</v>
      </c>
      <c r="B71" s="112"/>
      <c r="C71" s="234" t="s">
        <v>420</v>
      </c>
      <c r="D71" s="234" t="s">
        <v>421</v>
      </c>
      <c r="E71" s="48"/>
      <c r="F71" s="48"/>
      <c r="G71" s="48"/>
      <c r="H71" s="48"/>
      <c r="I71" s="234" t="s">
        <v>422</v>
      </c>
      <c r="J71" s="112"/>
      <c r="K71" s="112"/>
      <c r="L71" s="112"/>
    </row>
    <row r="72" spans="1:16" ht="13">
      <c r="A72" s="2">
        <f t="shared" si="8"/>
        <v>58</v>
      </c>
      <c r="B72" s="112"/>
      <c r="C72" s="112"/>
      <c r="D72" s="112"/>
      <c r="E72" s="112"/>
      <c r="F72" s="2"/>
      <c r="G72" s="112"/>
      <c r="H72" s="112"/>
      <c r="I72" s="112"/>
      <c r="J72" s="112"/>
      <c r="K72" s="197"/>
      <c r="L72" s="112"/>
    </row>
    <row r="73" spans="1:16" ht="13">
      <c r="A73" s="2">
        <f t="shared" si="8"/>
        <v>59</v>
      </c>
      <c r="B73" s="112"/>
      <c r="C73" s="2" t="s">
        <v>367</v>
      </c>
      <c r="D73" s="112"/>
      <c r="E73" s="112"/>
      <c r="F73" s="2"/>
      <c r="G73" s="112"/>
      <c r="H73" s="112"/>
      <c r="I73" s="2" t="s">
        <v>369</v>
      </c>
      <c r="J73" s="112"/>
      <c r="K73" s="243"/>
      <c r="L73" s="112"/>
    </row>
    <row r="74" spans="1:16" ht="13">
      <c r="A74" s="2">
        <f t="shared" si="8"/>
        <v>60</v>
      </c>
      <c r="B74" s="115" t="s">
        <v>423</v>
      </c>
      <c r="C74" s="2" t="s">
        <v>371</v>
      </c>
      <c r="D74" s="112"/>
      <c r="E74" s="112"/>
      <c r="F74" s="48"/>
      <c r="G74" s="112"/>
      <c r="H74" s="112"/>
      <c r="I74" s="2" t="s">
        <v>252</v>
      </c>
      <c r="J74" s="112"/>
    </row>
    <row r="75" spans="1:16" ht="14.5">
      <c r="A75" s="2">
        <f t="shared" si="8"/>
        <v>61</v>
      </c>
      <c r="B75" s="115" t="s">
        <v>381</v>
      </c>
      <c r="C75" s="2" t="s">
        <v>376</v>
      </c>
      <c r="D75" s="2" t="s">
        <v>424</v>
      </c>
      <c r="E75" s="2"/>
      <c r="F75" s="2"/>
      <c r="G75" s="2" t="s">
        <v>425</v>
      </c>
      <c r="H75" s="2"/>
      <c r="I75" s="2" t="s">
        <v>426</v>
      </c>
      <c r="J75" s="112"/>
      <c r="P75" s="120"/>
    </row>
    <row r="76" spans="1:16" ht="14.5">
      <c r="A76" s="2">
        <f t="shared" si="8"/>
        <v>62</v>
      </c>
      <c r="B76" s="3" t="s">
        <v>380</v>
      </c>
      <c r="C76" s="3" t="s">
        <v>383</v>
      </c>
      <c r="D76" s="3" t="s">
        <v>376</v>
      </c>
      <c r="E76" s="3" t="s">
        <v>427</v>
      </c>
      <c r="F76" s="3" t="s">
        <v>428</v>
      </c>
      <c r="G76" s="3" t="s">
        <v>5</v>
      </c>
      <c r="H76" s="3" t="s">
        <v>424</v>
      </c>
      <c r="I76" s="3" t="s">
        <v>251</v>
      </c>
      <c r="J76" s="112"/>
      <c r="K76" s="121"/>
      <c r="L76" s="121"/>
      <c r="M76" s="121"/>
      <c r="N76" s="121"/>
      <c r="O76" s="121"/>
      <c r="P76" s="121"/>
    </row>
    <row r="77" spans="1:16" ht="13">
      <c r="A77" s="2">
        <f t="shared" si="8"/>
        <v>63</v>
      </c>
      <c r="B77" s="125" t="s">
        <v>429</v>
      </c>
      <c r="C77" s="529">
        <v>102656170.45</v>
      </c>
      <c r="D77" s="529">
        <v>3570025.9400000023</v>
      </c>
      <c r="E77" s="529">
        <v>752945983.19999993</v>
      </c>
      <c r="F77" s="529">
        <v>355721455.06999987</v>
      </c>
      <c r="G77" s="529">
        <v>78653686.770000011</v>
      </c>
      <c r="H77" s="253">
        <v>52110655.18</v>
      </c>
      <c r="I77" s="114">
        <v>1345657976.6099999</v>
      </c>
      <c r="J77" s="112"/>
      <c r="K77" s="31"/>
      <c r="M77" s="6"/>
      <c r="N77" s="6"/>
      <c r="O77" s="6"/>
      <c r="P77" s="6"/>
    </row>
    <row r="78" spans="1:16" ht="13">
      <c r="A78" s="2">
        <f t="shared" si="8"/>
        <v>64</v>
      </c>
      <c r="B78" s="125" t="s">
        <v>430</v>
      </c>
      <c r="C78" s="529">
        <v>94580327.579999998</v>
      </c>
      <c r="D78" s="529">
        <v>6535043.4199999999</v>
      </c>
      <c r="E78" s="529">
        <v>599807562.63</v>
      </c>
      <c r="F78" s="529">
        <v>249719042.25</v>
      </c>
      <c r="G78" s="529">
        <v>86013557.109999985</v>
      </c>
      <c r="H78" s="529">
        <v>37092843.32</v>
      </c>
      <c r="I78" s="114">
        <v>1073748376.3099999</v>
      </c>
      <c r="J78" s="112"/>
      <c r="K78" s="31"/>
      <c r="M78" s="6"/>
      <c r="N78" s="6"/>
      <c r="O78" s="6"/>
      <c r="P78" s="6"/>
    </row>
    <row r="79" spans="1:16" ht="13">
      <c r="A79" s="2">
        <f t="shared" si="8"/>
        <v>65</v>
      </c>
      <c r="B79" s="125" t="s">
        <v>431</v>
      </c>
      <c r="C79" s="529">
        <v>96214143.290000007</v>
      </c>
      <c r="D79" s="529">
        <v>5403348.9800000014</v>
      </c>
      <c r="E79" s="529">
        <v>609749016.29999995</v>
      </c>
      <c r="F79" s="529">
        <v>301670347.52999997</v>
      </c>
      <c r="G79" s="529">
        <v>89922670.270000011</v>
      </c>
      <c r="H79" s="529">
        <v>41848409.779999994</v>
      </c>
      <c r="I79" s="114">
        <v>1144807936.1499999</v>
      </c>
      <c r="J79" s="112"/>
      <c r="K79" s="31"/>
      <c r="M79" s="6"/>
      <c r="N79" s="6"/>
      <c r="O79" s="6"/>
      <c r="P79" s="6"/>
    </row>
    <row r="80" spans="1:16" ht="13">
      <c r="A80" s="2">
        <f t="shared" si="8"/>
        <v>66</v>
      </c>
      <c r="B80" s="125" t="s">
        <v>432</v>
      </c>
      <c r="C80" s="529">
        <v>92308913.469999999</v>
      </c>
      <c r="D80" s="529">
        <v>4540669.4900000021</v>
      </c>
      <c r="E80" s="529">
        <v>265544709.21000001</v>
      </c>
      <c r="F80" s="529">
        <v>266470299.93000001</v>
      </c>
      <c r="G80" s="529">
        <v>87681014.209999993</v>
      </c>
      <c r="H80" s="529">
        <v>40511219.210000001</v>
      </c>
      <c r="I80" s="114">
        <v>757056825.5200001</v>
      </c>
      <c r="J80" s="112"/>
      <c r="K80" s="31"/>
      <c r="M80" s="6"/>
      <c r="N80" s="6"/>
      <c r="O80" s="6"/>
      <c r="P80" s="6"/>
    </row>
    <row r="81" spans="1:16" ht="13">
      <c r="A81" s="2">
        <f t="shared" si="8"/>
        <v>67</v>
      </c>
      <c r="B81" s="234" t="s">
        <v>394</v>
      </c>
      <c r="C81" s="529">
        <v>110214840.58</v>
      </c>
      <c r="D81" s="529">
        <v>6052392.9299999988</v>
      </c>
      <c r="E81" s="529">
        <v>681643695.79999995</v>
      </c>
      <c r="F81" s="529">
        <v>338174446.43000007</v>
      </c>
      <c r="G81" s="529">
        <v>107207069.2</v>
      </c>
      <c r="H81" s="529">
        <v>48825990.030000001</v>
      </c>
      <c r="I81" s="114">
        <v>1292118434.97</v>
      </c>
      <c r="J81" s="112"/>
      <c r="K81" s="31"/>
      <c r="M81" s="6"/>
      <c r="N81" s="6"/>
      <c r="O81" s="6"/>
      <c r="P81" s="6"/>
    </row>
    <row r="82" spans="1:16" ht="13">
      <c r="A82" s="2">
        <f t="shared" si="8"/>
        <v>68</v>
      </c>
      <c r="B82" s="125" t="s">
        <v>433</v>
      </c>
      <c r="C82" s="529">
        <v>111127677.84</v>
      </c>
      <c r="D82" s="529">
        <v>2493221.819999997</v>
      </c>
      <c r="E82" s="529">
        <v>813220326.17999995</v>
      </c>
      <c r="F82" s="529">
        <v>420759104.0999999</v>
      </c>
      <c r="G82" s="529">
        <v>96522077.449999988</v>
      </c>
      <c r="H82" s="529">
        <v>50197056.840000011</v>
      </c>
      <c r="I82" s="114">
        <v>1494319464.2299998</v>
      </c>
      <c r="J82" s="112"/>
      <c r="K82" s="31"/>
      <c r="M82" s="6"/>
      <c r="N82" s="6"/>
      <c r="O82" s="6"/>
      <c r="P82" s="6"/>
    </row>
    <row r="83" spans="1:16" ht="13">
      <c r="A83" s="2">
        <f t="shared" si="8"/>
        <v>69</v>
      </c>
      <c r="B83" s="125" t="s">
        <v>434</v>
      </c>
      <c r="C83" s="529">
        <v>125201437.16</v>
      </c>
      <c r="D83" s="529">
        <v>-1307270.6800000013</v>
      </c>
      <c r="E83" s="529">
        <v>1003070810.8800001</v>
      </c>
      <c r="F83" s="529">
        <v>525818210.81999993</v>
      </c>
      <c r="G83" s="529">
        <v>93883792.75</v>
      </c>
      <c r="H83" s="529">
        <v>57121665.840000004</v>
      </c>
      <c r="I83" s="114">
        <v>1803788646.77</v>
      </c>
      <c r="J83" s="112"/>
      <c r="K83" s="31"/>
      <c r="M83" s="6"/>
      <c r="N83" s="6"/>
      <c r="O83" s="6"/>
      <c r="P83" s="6"/>
    </row>
    <row r="84" spans="1:16" ht="13">
      <c r="A84" s="2">
        <f t="shared" si="8"/>
        <v>70</v>
      </c>
      <c r="B84" s="125" t="s">
        <v>435</v>
      </c>
      <c r="C84" s="529">
        <v>144879662.13</v>
      </c>
      <c r="D84" s="529">
        <v>336178.46999999927</v>
      </c>
      <c r="E84" s="529">
        <v>1093993866.0799999</v>
      </c>
      <c r="F84" s="529">
        <v>623103028.96000016</v>
      </c>
      <c r="G84" s="529">
        <v>105189680.92</v>
      </c>
      <c r="H84" s="529">
        <v>64443045.020000003</v>
      </c>
      <c r="I84" s="114">
        <v>2031945461.5799999</v>
      </c>
      <c r="J84" s="112"/>
      <c r="K84" s="31"/>
      <c r="M84" s="6"/>
      <c r="N84" s="6"/>
      <c r="O84" s="6"/>
      <c r="P84" s="6"/>
    </row>
    <row r="85" spans="1:16" ht="13">
      <c r="A85" s="2">
        <f t="shared" si="8"/>
        <v>71</v>
      </c>
      <c r="B85" s="125" t="s">
        <v>436</v>
      </c>
      <c r="C85" s="529">
        <v>118781093.84999999</v>
      </c>
      <c r="D85" s="529">
        <v>529728.7900000026</v>
      </c>
      <c r="E85" s="529">
        <v>989625172.32999992</v>
      </c>
      <c r="F85" s="529">
        <v>517176057.94</v>
      </c>
      <c r="G85" s="529">
        <v>80371251.120000005</v>
      </c>
      <c r="H85" s="529">
        <v>54450735.689999998</v>
      </c>
      <c r="I85" s="114">
        <v>1760934039.7200003</v>
      </c>
      <c r="J85" s="112"/>
      <c r="K85" s="31"/>
      <c r="M85" s="6"/>
      <c r="N85" s="6"/>
      <c r="O85" s="6"/>
      <c r="P85" s="6"/>
    </row>
    <row r="86" spans="1:16" ht="13">
      <c r="A86" s="2">
        <f t="shared" si="8"/>
        <v>72</v>
      </c>
      <c r="B86" s="125" t="s">
        <v>437</v>
      </c>
      <c r="C86" s="529">
        <v>113602499.7</v>
      </c>
      <c r="D86" s="529">
        <v>293176.18000000319</v>
      </c>
      <c r="E86" s="529">
        <v>440011002.59000003</v>
      </c>
      <c r="F86" s="529">
        <v>362749232.13</v>
      </c>
      <c r="G86" s="529">
        <v>89248257.38000001</v>
      </c>
      <c r="H86" s="529">
        <v>45819340.169999994</v>
      </c>
      <c r="I86" s="114">
        <v>1051723508.15</v>
      </c>
      <c r="J86" s="112"/>
      <c r="K86" s="31"/>
      <c r="M86" s="6"/>
      <c r="N86" s="6"/>
      <c r="O86" s="6"/>
      <c r="P86" s="6"/>
    </row>
    <row r="87" spans="1:16" ht="13">
      <c r="A87" s="2">
        <f t="shared" si="8"/>
        <v>73</v>
      </c>
      <c r="B87" s="125" t="s">
        <v>438</v>
      </c>
      <c r="C87" s="529">
        <v>98037438.090000004</v>
      </c>
      <c r="D87" s="529">
        <v>410278.679999999</v>
      </c>
      <c r="E87" s="529">
        <v>685081103.64999998</v>
      </c>
      <c r="F87" s="529">
        <v>370591630.04000008</v>
      </c>
      <c r="G87" s="529">
        <v>90440524.000000015</v>
      </c>
      <c r="H87" s="529">
        <v>44559278.689999998</v>
      </c>
      <c r="I87" s="114">
        <v>1289120253.1500001</v>
      </c>
      <c r="J87" s="112"/>
      <c r="K87" s="31"/>
      <c r="M87" s="6"/>
      <c r="N87" s="6"/>
      <c r="O87" s="6"/>
      <c r="P87" s="6"/>
    </row>
    <row r="88" spans="1:16" ht="13">
      <c r="A88" s="2">
        <f t="shared" si="8"/>
        <v>74</v>
      </c>
      <c r="B88" s="125" t="s">
        <v>439</v>
      </c>
      <c r="C88" s="60">
        <v>102743303.81999999</v>
      </c>
      <c r="D88" s="60">
        <v>1316039.6600000001</v>
      </c>
      <c r="E88" s="60">
        <v>822101101.50999999</v>
      </c>
      <c r="F88" s="60">
        <v>311482500.78000009</v>
      </c>
      <c r="G88" s="60">
        <v>129542659.27999999</v>
      </c>
      <c r="H88" s="60">
        <v>48825648.970000006</v>
      </c>
      <c r="I88" s="53">
        <v>1416011254.02</v>
      </c>
      <c r="J88" s="112"/>
      <c r="K88" s="31"/>
      <c r="M88" s="6"/>
      <c r="N88" s="6"/>
      <c r="O88" s="6"/>
      <c r="P88" s="53"/>
    </row>
    <row r="89" spans="1:16" ht="13">
      <c r="A89" s="2">
        <f t="shared" si="8"/>
        <v>75</v>
      </c>
      <c r="B89" s="234" t="s">
        <v>440</v>
      </c>
      <c r="C89" s="114">
        <f t="shared" ref="C89:H89" si="9">SUM(C77:C88)</f>
        <v>1310347507.9599998</v>
      </c>
      <c r="D89" s="114">
        <f t="shared" si="9"/>
        <v>30172833.680000007</v>
      </c>
      <c r="E89" s="114">
        <f t="shared" si="9"/>
        <v>8756794350.3599987</v>
      </c>
      <c r="F89" s="114">
        <f t="shared" si="9"/>
        <v>4643435355.9800005</v>
      </c>
      <c r="G89" s="114">
        <f t="shared" si="9"/>
        <v>1134676240.46</v>
      </c>
      <c r="H89" s="114">
        <f t="shared" si="9"/>
        <v>585805888.74000001</v>
      </c>
      <c r="I89" s="114">
        <f>SUM(I77:I88)</f>
        <v>16461232177.18</v>
      </c>
      <c r="J89" s="112"/>
      <c r="P89" s="6"/>
    </row>
    <row r="90" spans="1:16" ht="13">
      <c r="A90" s="2">
        <f t="shared" si="8"/>
        <v>76</v>
      </c>
      <c r="B90" s="112"/>
      <c r="C90" s="112"/>
      <c r="D90" s="112"/>
      <c r="E90" s="112"/>
      <c r="F90" s="112"/>
      <c r="G90" s="112"/>
      <c r="H90" s="231"/>
      <c r="I90" s="112"/>
      <c r="J90" s="112"/>
      <c r="K90" s="112"/>
      <c r="L90" s="112"/>
    </row>
    <row r="91" spans="1:16" ht="13">
      <c r="A91" s="2">
        <f t="shared" si="8"/>
        <v>77</v>
      </c>
      <c r="B91" s="112"/>
      <c r="C91" s="112"/>
      <c r="D91" s="112"/>
      <c r="E91" s="112"/>
      <c r="F91" s="112"/>
      <c r="G91" s="112"/>
      <c r="H91" s="231" t="s">
        <v>441</v>
      </c>
      <c r="I91" s="116">
        <v>16461232177</v>
      </c>
      <c r="J91" s="112"/>
      <c r="K91" s="112"/>
      <c r="L91" s="112"/>
    </row>
    <row r="92" spans="1:16">
      <c r="A92" s="112"/>
      <c r="B92" s="112"/>
      <c r="C92" s="112"/>
      <c r="D92" s="112"/>
      <c r="E92" s="112"/>
      <c r="F92" s="112"/>
      <c r="G92" s="112"/>
      <c r="H92" s="112"/>
      <c r="I92" s="112"/>
      <c r="J92" s="112"/>
      <c r="K92" s="112"/>
      <c r="L92" s="112"/>
    </row>
    <row r="93" spans="1:16" ht="13">
      <c r="A93" s="2"/>
      <c r="B93" s="1" t="s">
        <v>442</v>
      </c>
      <c r="C93" s="112"/>
      <c r="D93" s="112"/>
      <c r="E93" s="112"/>
      <c r="F93" s="112"/>
      <c r="G93" s="112"/>
      <c r="H93" s="112"/>
      <c r="I93" s="114"/>
      <c r="J93" s="112"/>
      <c r="K93" s="112"/>
      <c r="L93" s="112"/>
    </row>
    <row r="94" spans="1:16" ht="13">
      <c r="A94" s="2"/>
      <c r="B94" s="232" t="str">
        <f>"1) Enter applicable years on Column 1, Lines "&amp;A24&amp;"-"&amp;A36&amp;" (Prior Year and December of the year previous to the Prior Year)."</f>
        <v>1) Enter applicable years on Column 1, Lines 11-23 (Prior Year and December of the year previous to the Prior Year).</v>
      </c>
      <c r="C94" s="112"/>
      <c r="D94" s="112"/>
      <c r="E94" s="112"/>
      <c r="F94" s="112"/>
      <c r="G94" s="112"/>
      <c r="H94" s="112"/>
      <c r="I94" s="112"/>
      <c r="J94" s="112"/>
      <c r="K94" s="112"/>
      <c r="L94" s="112"/>
    </row>
    <row r="95" spans="1:16" ht="13">
      <c r="A95" s="2"/>
      <c r="B95" s="232" t="str">
        <f>"2) Enter Previous Annual Update True Up Adjustment (if any) on Line "&amp;A41&amp;"."</f>
        <v>2) Enter Previous Annual Update True Up Adjustment (if any) on Line 27.</v>
      </c>
      <c r="C95" s="112"/>
      <c r="D95" s="112"/>
      <c r="E95" s="112"/>
      <c r="F95" s="112"/>
      <c r="G95" s="112"/>
      <c r="H95" s="112"/>
      <c r="I95" s="112"/>
      <c r="J95" s="112"/>
      <c r="K95" s="112"/>
      <c r="L95" s="112"/>
    </row>
    <row r="96" spans="1:16" ht="13">
      <c r="A96" s="2"/>
      <c r="B96" s="548" t="s">
        <v>443</v>
      </c>
      <c r="C96" s="112"/>
      <c r="D96" s="112"/>
      <c r="E96" s="112"/>
      <c r="F96" s="112"/>
      <c r="G96" s="112"/>
      <c r="H96" s="112"/>
      <c r="I96" s="112"/>
      <c r="J96" s="112"/>
      <c r="K96" s="112"/>
      <c r="L96" s="112"/>
    </row>
    <row r="97" spans="1:12" ht="13">
      <c r="A97" s="2"/>
      <c r="B97" s="232" t="s">
        <v>444</v>
      </c>
      <c r="C97" s="112"/>
      <c r="D97" s="112"/>
      <c r="E97" s="112"/>
      <c r="F97" s="112"/>
      <c r="G97" s="112"/>
      <c r="H97" s="112"/>
      <c r="I97" s="112"/>
      <c r="J97" s="112"/>
      <c r="K97" s="112"/>
      <c r="L97" s="112"/>
    </row>
    <row r="98" spans="1:12" ht="13">
      <c r="A98" s="2"/>
      <c r="B98" s="247" t="str">
        <f>"18 C.F.R. §35.19a on lines "&amp;A25&amp;" to "&amp;A36&amp;", Column 6."</f>
        <v>18 C.F.R. §35.19a on lines 12 to 23, Column 6.</v>
      </c>
      <c r="C98" s="112"/>
      <c r="D98" s="112"/>
      <c r="E98" s="112"/>
      <c r="F98" s="112"/>
      <c r="G98" s="112"/>
      <c r="H98" s="112"/>
      <c r="I98" s="112"/>
      <c r="J98" s="112"/>
      <c r="K98" s="112"/>
      <c r="L98" s="112"/>
    </row>
    <row r="99" spans="1:12" ht="13">
      <c r="A99" s="2"/>
      <c r="B99" s="232" t="s">
        <v>445</v>
      </c>
      <c r="C99" s="112"/>
      <c r="D99" s="112"/>
      <c r="E99" s="112"/>
      <c r="F99" s="112"/>
      <c r="G99" s="112"/>
      <c r="H99" s="112"/>
      <c r="I99" s="112"/>
      <c r="J99" s="112"/>
      <c r="K99" s="112"/>
      <c r="L99" s="112"/>
    </row>
    <row r="100" spans="1:12" ht="13">
      <c r="A100" s="2"/>
      <c r="B100" s="227" t="s">
        <v>446</v>
      </c>
      <c r="C100" s="112"/>
      <c r="D100" s="112"/>
      <c r="E100" s="112"/>
      <c r="F100" s="112"/>
      <c r="G100" s="112"/>
      <c r="H100" s="112"/>
      <c r="I100" s="112"/>
      <c r="J100" s="112"/>
      <c r="K100" s="112"/>
      <c r="L100" s="112"/>
    </row>
    <row r="101" spans="1:12" ht="13">
      <c r="A101" s="2"/>
      <c r="B101" s="481" t="s">
        <v>447</v>
      </c>
      <c r="C101" s="112"/>
      <c r="D101" s="112"/>
      <c r="E101" s="112"/>
      <c r="F101" s="112"/>
      <c r="G101" s="112"/>
      <c r="H101" s="112"/>
      <c r="I101" s="112"/>
      <c r="J101" s="112"/>
      <c r="K101" s="112"/>
    </row>
    <row r="102" spans="1:12" ht="13">
      <c r="A102" s="2"/>
      <c r="B102" s="549" t="s">
        <v>448</v>
      </c>
      <c r="C102" s="112"/>
      <c r="D102" s="112"/>
      <c r="E102" s="112"/>
      <c r="F102" s="112"/>
      <c r="G102" s="112"/>
      <c r="H102" s="112"/>
      <c r="I102" s="112"/>
      <c r="J102" s="112"/>
      <c r="K102" s="112"/>
      <c r="L102" s="112"/>
    </row>
    <row r="103" spans="1:12" ht="13">
      <c r="A103" s="2"/>
      <c r="B103" s="549" t="str">
        <f>"Entering on Line "&amp;A25&amp;" (or other appropriate) ensures these One Time Adjustments are recovered from or returned to customers."</f>
        <v>Entering on Line 12 (or other appropriate) ensures these One Time Adjustments are recovered from or returned to customers.</v>
      </c>
      <c r="D103" s="112"/>
      <c r="E103" s="112"/>
      <c r="F103" s="112"/>
      <c r="G103" s="112"/>
      <c r="H103" s="112"/>
      <c r="I103" s="112"/>
      <c r="J103" s="112"/>
      <c r="K103" s="112"/>
      <c r="L103" s="112"/>
    </row>
    <row r="104" spans="1:12" ht="13">
      <c r="A104" s="2"/>
      <c r="B104" s="481" t="s">
        <v>449</v>
      </c>
      <c r="C104" s="112"/>
      <c r="D104" s="112"/>
      <c r="E104" s="112"/>
      <c r="F104" s="112"/>
      <c r="G104" s="112"/>
      <c r="H104" s="112"/>
      <c r="I104" s="112"/>
      <c r="J104" s="112"/>
      <c r="K104" s="112"/>
      <c r="L104" s="112"/>
    </row>
    <row r="105" spans="1:12" ht="13">
      <c r="A105" s="2"/>
      <c r="B105" s="481" t="s">
        <v>450</v>
      </c>
      <c r="C105" s="112"/>
      <c r="D105" s="112"/>
      <c r="E105" s="112"/>
      <c r="F105" s="112"/>
      <c r="G105" s="112"/>
      <c r="H105" s="112"/>
      <c r="I105" s="112"/>
      <c r="J105" s="112"/>
      <c r="K105" s="112"/>
      <c r="L105" s="112"/>
    </row>
    <row r="106" spans="1:12" ht="13">
      <c r="A106" s="2"/>
      <c r="B106" s="481"/>
      <c r="C106" s="233" t="s">
        <v>451</v>
      </c>
      <c r="D106" s="610"/>
      <c r="E106" s="240" t="s">
        <v>3202</v>
      </c>
      <c r="F106" s="198"/>
      <c r="G106" s="198"/>
      <c r="H106" s="112"/>
      <c r="I106" s="112"/>
      <c r="J106" s="112"/>
      <c r="K106" s="112"/>
      <c r="L106" s="112"/>
    </row>
    <row r="107" spans="1:12" ht="13">
      <c r="A107" s="2"/>
      <c r="B107" s="481"/>
      <c r="C107" s="233" t="s">
        <v>452</v>
      </c>
      <c r="D107" s="610"/>
      <c r="E107" s="240" t="s">
        <v>453</v>
      </c>
      <c r="F107" s="198"/>
      <c r="G107" s="198"/>
      <c r="H107" s="112"/>
      <c r="I107" s="112"/>
      <c r="J107" s="112"/>
      <c r="K107" s="112"/>
      <c r="L107" s="112"/>
    </row>
    <row r="108" spans="1:12" ht="13">
      <c r="A108" s="2"/>
      <c r="B108" s="232" t="str">
        <f>"5) Fill in matrix of all retail revenues from Prior Year in table on lines "&amp;A77&amp;" to "&amp;A88&amp;"."</f>
        <v>5) Fill in matrix of all retail revenues from Prior Year in table on lines 63 to 74.</v>
      </c>
      <c r="C108" s="112"/>
      <c r="D108" s="112"/>
      <c r="E108" s="112"/>
      <c r="F108" s="112"/>
      <c r="G108" s="112"/>
      <c r="H108" s="112"/>
      <c r="I108" s="112"/>
      <c r="J108" s="112"/>
      <c r="K108" s="112"/>
      <c r="L108" s="112"/>
    </row>
    <row r="109" spans="1:12" ht="13">
      <c r="A109" s="2"/>
      <c r="B109" s="232" t="str">
        <f>"6) Enter Total Sales to Ultimate Consumers on line "&amp;A91&amp;" and verify that it equals the total on line "&amp;A89&amp;"."</f>
        <v>6) Enter Total Sales to Ultimate Consumers on line 77 and verify that it equals the total on line 75.</v>
      </c>
      <c r="C109" s="112"/>
      <c r="D109" s="112"/>
      <c r="E109" s="112"/>
      <c r="F109" s="112"/>
      <c r="G109" s="112"/>
      <c r="H109" s="112"/>
      <c r="I109" s="112"/>
      <c r="J109" s="112"/>
      <c r="K109" s="112"/>
      <c r="L109" s="112"/>
    </row>
    <row r="110" spans="1:12" ht="13">
      <c r="A110" s="2"/>
      <c r="B110" s="232" t="s">
        <v>454</v>
      </c>
      <c r="C110" s="112"/>
      <c r="D110" s="112"/>
      <c r="E110" s="112"/>
      <c r="F110" s="112"/>
      <c r="G110" s="112"/>
      <c r="H110" s="112"/>
      <c r="I110" s="112"/>
      <c r="J110" s="112"/>
      <c r="K110" s="112"/>
      <c r="L110" s="112"/>
    </row>
    <row r="111" spans="1:12" ht="13">
      <c r="A111" s="2"/>
      <c r="B111" s="247" t="s">
        <v>455</v>
      </c>
      <c r="C111" s="112"/>
      <c r="D111" s="112"/>
      <c r="E111" s="112"/>
      <c r="F111" s="112"/>
      <c r="G111" s="112"/>
      <c r="H111" s="112"/>
      <c r="I111" s="112"/>
      <c r="J111" s="112"/>
      <c r="K111" s="112"/>
      <c r="L111" s="112"/>
    </row>
    <row r="112" spans="1:12" ht="13">
      <c r="A112" s="2"/>
      <c r="B112" s="30" t="s">
        <v>233</v>
      </c>
      <c r="C112" s="112"/>
      <c r="D112" s="112"/>
      <c r="E112" s="112"/>
      <c r="F112" s="112"/>
      <c r="G112" s="112"/>
      <c r="H112" s="112"/>
      <c r="I112" s="112"/>
      <c r="J112" s="112"/>
      <c r="K112" s="112"/>
      <c r="L112" s="112"/>
    </row>
    <row r="113" spans="1:12" ht="13">
      <c r="A113" s="2"/>
      <c r="B113" s="232" t="s">
        <v>456</v>
      </c>
      <c r="C113" s="112"/>
      <c r="D113" s="112"/>
      <c r="E113" s="112"/>
      <c r="F113" s="112"/>
      <c r="G113" s="112"/>
      <c r="H113" s="112"/>
      <c r="I113" s="112"/>
      <c r="J113" s="112"/>
      <c r="K113" s="112"/>
      <c r="L113" s="112"/>
    </row>
    <row r="114" spans="1:12" ht="13">
      <c r="A114" s="2"/>
      <c r="B114" s="304" t="s">
        <v>457</v>
      </c>
      <c r="C114" s="112"/>
      <c r="D114" s="112"/>
      <c r="E114" s="112"/>
      <c r="F114" s="112"/>
      <c r="G114" s="112"/>
      <c r="H114" s="112"/>
      <c r="I114" s="112"/>
      <c r="J114" s="112"/>
      <c r="K114" s="112"/>
      <c r="L114" s="112"/>
    </row>
    <row r="115" spans="1:12" ht="13">
      <c r="A115" s="2"/>
      <c r="B115" s="548"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112"/>
      <c r="D115" s="112"/>
      <c r="E115" s="112"/>
      <c r="F115" s="112"/>
      <c r="G115" s="112"/>
      <c r="H115" s="112"/>
      <c r="I115" s="112"/>
      <c r="J115" s="112"/>
      <c r="K115" s="112"/>
      <c r="L115" s="112"/>
    </row>
    <row r="116" spans="1:12" ht="13">
      <c r="A116" s="2"/>
      <c r="B116" s="548" t="str">
        <f>"Only enter in the Prior Year, Lines "&amp;A25&amp;" to "&amp;A36&amp;", or portion of year formula was in effect in case of Partial Year True Up."</f>
        <v>Only enter in the Prior Year, Lines 12 to 23, or portion of year formula was in effect in case of Partial Year True Up.</v>
      </c>
      <c r="C116" s="112"/>
      <c r="D116" s="112"/>
      <c r="E116" s="112"/>
      <c r="F116" s="112"/>
      <c r="G116" s="112"/>
      <c r="H116" s="112"/>
      <c r="I116" s="112"/>
      <c r="J116" s="112"/>
      <c r="K116" s="112"/>
      <c r="L116" s="112"/>
    </row>
    <row r="117" spans="1:12" ht="13">
      <c r="A117" s="2"/>
      <c r="B117" s="548" t="s">
        <v>458</v>
      </c>
      <c r="C117" s="112"/>
      <c r="D117" s="112"/>
      <c r="E117" s="112"/>
      <c r="F117" s="112"/>
      <c r="G117" s="112"/>
      <c r="H117" s="112"/>
      <c r="I117" s="112"/>
      <c r="J117" s="112"/>
      <c r="K117" s="112"/>
      <c r="L117" s="112"/>
    </row>
    <row r="118" spans="1:12" ht="13">
      <c r="A118" s="2"/>
      <c r="B118" s="304" t="s">
        <v>459</v>
      </c>
      <c r="C118" s="112"/>
      <c r="D118" s="112"/>
      <c r="E118" s="112"/>
      <c r="F118" s="112"/>
      <c r="G118" s="112"/>
      <c r="H118" s="112"/>
      <c r="I118" s="112"/>
      <c r="J118" s="112"/>
      <c r="K118" s="112"/>
      <c r="L118" s="112"/>
    </row>
    <row r="119" spans="1:12" ht="13">
      <c r="A119" s="2"/>
      <c r="B119" s="548" t="str">
        <f>"as shown on Lines "&amp;A77&amp;" to "&amp;A88&amp;", Column 1."</f>
        <v>as shown on Lines 63 to 74, Column 1.</v>
      </c>
      <c r="C119" s="112"/>
      <c r="D119" s="112"/>
      <c r="E119" s="112"/>
      <c r="F119" s="112"/>
      <c r="G119" s="112"/>
      <c r="H119" s="112"/>
      <c r="I119" s="112"/>
      <c r="J119" s="112"/>
      <c r="K119" s="112"/>
      <c r="L119" s="112"/>
    </row>
    <row r="120" spans="1:12" ht="13">
      <c r="A120" s="2"/>
      <c r="B120" s="304" t="s">
        <v>460</v>
      </c>
      <c r="C120" s="112"/>
      <c r="D120" s="112"/>
      <c r="E120" s="112"/>
      <c r="F120" s="112"/>
      <c r="G120" s="112"/>
      <c r="H120" s="112"/>
      <c r="I120" s="112"/>
      <c r="J120" s="112"/>
      <c r="K120" s="112"/>
      <c r="L120" s="112"/>
    </row>
    <row r="121" spans="1:12" ht="13">
      <c r="A121" s="2"/>
      <c r="B121" s="304" t="s">
        <v>461</v>
      </c>
      <c r="C121" s="112"/>
      <c r="D121" s="112"/>
      <c r="E121" s="112"/>
      <c r="F121" s="112"/>
      <c r="G121" s="112"/>
      <c r="H121" s="112"/>
      <c r="I121" s="112"/>
      <c r="J121" s="112"/>
      <c r="K121" s="112"/>
      <c r="L121" s="112"/>
    </row>
    <row r="122" spans="1:12" ht="13">
      <c r="A122" s="2"/>
      <c r="B122" s="232" t="s">
        <v>462</v>
      </c>
      <c r="C122" s="112"/>
      <c r="D122" s="112"/>
      <c r="E122" s="112"/>
      <c r="F122" s="112"/>
      <c r="G122" s="112"/>
      <c r="H122" s="112"/>
      <c r="I122" s="112"/>
      <c r="J122" s="112"/>
      <c r="K122" s="112"/>
      <c r="L122" s="112"/>
    </row>
    <row r="123" spans="1:12" ht="13">
      <c r="A123" s="2"/>
      <c r="B123" s="247" t="s">
        <v>463</v>
      </c>
      <c r="C123" s="112"/>
      <c r="D123" s="112"/>
      <c r="E123" s="112"/>
      <c r="F123" s="112"/>
      <c r="G123" s="112"/>
      <c r="H123" s="112"/>
      <c r="I123" s="112"/>
      <c r="J123" s="112"/>
      <c r="K123" s="112"/>
      <c r="L123" s="112"/>
    </row>
    <row r="124" spans="1:12" ht="13">
      <c r="A124" s="2"/>
      <c r="B124" s="232" t="s">
        <v>464</v>
      </c>
      <c r="C124" s="112"/>
      <c r="D124" s="112"/>
      <c r="E124" s="112"/>
      <c r="F124" s="112"/>
      <c r="G124" s="112"/>
      <c r="H124" s="112"/>
      <c r="I124" s="112"/>
      <c r="J124" s="112"/>
      <c r="K124" s="112"/>
      <c r="L124" s="112"/>
    </row>
    <row r="125" spans="1:12" ht="13">
      <c r="A125" s="2"/>
      <c r="B125" s="480" t="s">
        <v>465</v>
      </c>
      <c r="C125" s="112"/>
      <c r="D125" s="112"/>
      <c r="E125" s="112"/>
      <c r="F125" s="112"/>
      <c r="G125" s="112"/>
      <c r="H125" s="112"/>
      <c r="I125" s="112"/>
      <c r="J125" s="112"/>
      <c r="K125" s="112"/>
      <c r="L125" s="112"/>
    </row>
    <row r="126" spans="1:12" ht="13">
      <c r="A126" s="2"/>
      <c r="B126" s="232" t="s">
        <v>466</v>
      </c>
      <c r="C126" s="112"/>
      <c r="D126" s="112"/>
      <c r="E126" s="112"/>
      <c r="F126" s="112"/>
      <c r="G126" s="112"/>
      <c r="H126" s="112"/>
      <c r="I126" s="112"/>
      <c r="J126" s="112"/>
      <c r="K126" s="112"/>
      <c r="L126" s="112"/>
    </row>
    <row r="127" spans="1:12" ht="13">
      <c r="A127" s="2"/>
      <c r="B127" s="232" t="s">
        <v>467</v>
      </c>
      <c r="C127" s="112"/>
      <c r="D127" s="112"/>
      <c r="E127" s="112"/>
      <c r="F127" s="112"/>
      <c r="G127" s="112"/>
      <c r="H127" s="112"/>
      <c r="I127" s="112"/>
      <c r="J127" s="112"/>
      <c r="K127" s="112"/>
      <c r="L127" s="112"/>
    </row>
    <row r="128" spans="1:12" ht="13">
      <c r="A128" s="2"/>
      <c r="B128" s="247" t="s">
        <v>468</v>
      </c>
      <c r="C128" s="112"/>
      <c r="D128" s="112"/>
      <c r="E128" s="112"/>
      <c r="F128" s="112"/>
      <c r="G128" s="112"/>
      <c r="H128" s="112"/>
      <c r="I128" s="112"/>
      <c r="J128" s="112"/>
      <c r="K128" s="112"/>
      <c r="L128" s="112"/>
    </row>
    <row r="129" spans="1:12" ht="13">
      <c r="A129" s="2"/>
      <c r="B129" s="247" t="s">
        <v>469</v>
      </c>
      <c r="C129" s="112"/>
      <c r="D129" s="112"/>
      <c r="E129" s="112"/>
      <c r="F129" s="112"/>
      <c r="G129" s="112"/>
      <c r="H129" s="112"/>
      <c r="I129" s="112"/>
      <c r="J129" s="112"/>
      <c r="K129" s="112"/>
      <c r="L129" s="112"/>
    </row>
    <row r="130" spans="1:12" ht="13">
      <c r="A130" s="2"/>
      <c r="B130" s="247" t="s">
        <v>470</v>
      </c>
      <c r="C130" s="112"/>
      <c r="D130" s="112"/>
      <c r="E130" s="112"/>
      <c r="F130" s="112"/>
      <c r="G130" s="112"/>
      <c r="H130" s="112"/>
      <c r="I130" s="112"/>
      <c r="J130" s="112"/>
      <c r="K130" s="112"/>
      <c r="L130" s="112"/>
    </row>
    <row r="131" spans="1:12" ht="13">
      <c r="A131" s="2"/>
      <c r="B131" s="232" t="s">
        <v>471</v>
      </c>
      <c r="C131" s="112"/>
      <c r="D131" s="112"/>
      <c r="E131" s="112"/>
      <c r="F131" s="112"/>
      <c r="G131" s="112"/>
      <c r="H131" s="112"/>
      <c r="I131" s="112"/>
      <c r="J131" s="112"/>
      <c r="K131" s="112"/>
      <c r="L131" s="112"/>
    </row>
    <row r="132" spans="1:12" ht="13">
      <c r="A132" s="2"/>
      <c r="B132" s="247" t="s">
        <v>472</v>
      </c>
      <c r="C132" s="112"/>
      <c r="D132" s="112"/>
      <c r="E132" s="112"/>
      <c r="F132" s="112"/>
      <c r="G132" s="112"/>
      <c r="H132" s="112"/>
      <c r="I132" s="112"/>
      <c r="J132" s="112"/>
      <c r="K132" s="112"/>
      <c r="L132" s="112"/>
    </row>
    <row r="133" spans="1:12" ht="13">
      <c r="A133" s="2"/>
      <c r="B133" s="247" t="s">
        <v>473</v>
      </c>
      <c r="C133" s="112"/>
      <c r="D133" s="112"/>
      <c r="E133" s="112"/>
      <c r="F133" s="112"/>
      <c r="G133" s="112"/>
      <c r="H133" s="112"/>
      <c r="I133" s="112"/>
      <c r="J133" s="112"/>
      <c r="K133" s="112"/>
      <c r="L133" s="112"/>
    </row>
    <row r="134" spans="1:12">
      <c r="A134" s="112"/>
      <c r="B134" s="247" t="s">
        <v>474</v>
      </c>
      <c r="C134" s="112"/>
      <c r="D134" s="112"/>
      <c r="E134" s="112"/>
      <c r="F134" s="112"/>
      <c r="G134" s="112"/>
      <c r="H134" s="112"/>
      <c r="I134" s="112"/>
      <c r="J134" s="112"/>
      <c r="K134" s="112"/>
      <c r="L134" s="112"/>
    </row>
    <row r="135" spans="1:12">
      <c r="A135" s="112"/>
      <c r="B135" s="247" t="s">
        <v>475</v>
      </c>
      <c r="C135" s="112"/>
      <c r="D135" s="112"/>
      <c r="E135" s="112"/>
      <c r="F135" s="112"/>
      <c r="G135" s="112"/>
      <c r="H135" s="112"/>
      <c r="I135" s="112"/>
      <c r="J135" s="112"/>
      <c r="K135" s="112"/>
      <c r="L135" s="112"/>
    </row>
    <row r="136" spans="1:12">
      <c r="A136" s="112"/>
      <c r="B136" s="232"/>
      <c r="C136" s="112"/>
      <c r="D136" s="112"/>
      <c r="E136" s="112"/>
      <c r="F136" s="112"/>
      <c r="G136" s="112"/>
      <c r="H136" s="112"/>
      <c r="I136" s="112"/>
      <c r="J136" s="112"/>
      <c r="K136" s="112"/>
      <c r="L136" s="112"/>
    </row>
    <row r="137" spans="1:12">
      <c r="A137" s="112"/>
      <c r="B137" s="247"/>
      <c r="C137" s="112"/>
      <c r="D137" s="112"/>
      <c r="E137" s="112"/>
      <c r="F137" s="112"/>
      <c r="G137" s="112"/>
      <c r="H137" s="112"/>
      <c r="I137" s="112"/>
      <c r="J137" s="112"/>
      <c r="K137" s="112"/>
      <c r="L137" s="112"/>
    </row>
    <row r="138" spans="1:12">
      <c r="A138" s="112"/>
      <c r="B138" s="247"/>
      <c r="C138" s="112"/>
      <c r="D138" s="112"/>
      <c r="E138" s="112"/>
      <c r="F138" s="112"/>
      <c r="G138" s="112"/>
      <c r="H138" s="112"/>
      <c r="I138" s="112"/>
      <c r="J138" s="112"/>
      <c r="K138" s="112"/>
      <c r="L138" s="112"/>
    </row>
    <row r="139" spans="1:12">
      <c r="A139" s="112"/>
      <c r="B139" s="247"/>
      <c r="C139" s="112"/>
      <c r="D139" s="112"/>
      <c r="E139" s="112"/>
      <c r="F139" s="112"/>
      <c r="G139" s="112"/>
      <c r="H139" s="112"/>
      <c r="I139" s="112"/>
      <c r="J139" s="112"/>
      <c r="K139" s="112"/>
      <c r="L139" s="112"/>
    </row>
    <row r="140" spans="1:12">
      <c r="A140" s="112"/>
      <c r="B140" s="232"/>
      <c r="C140" s="112"/>
      <c r="D140" s="112"/>
      <c r="E140" s="112"/>
      <c r="F140" s="112"/>
      <c r="G140" s="112"/>
      <c r="H140" s="112"/>
      <c r="I140" s="112"/>
      <c r="J140" s="112"/>
      <c r="K140" s="112"/>
      <c r="L140" s="112"/>
    </row>
    <row r="141" spans="1:12">
      <c r="A141" s="112"/>
      <c r="B141" s="247"/>
      <c r="C141" s="112"/>
      <c r="D141" s="112"/>
      <c r="E141" s="112"/>
      <c r="F141" s="112"/>
      <c r="G141" s="112"/>
      <c r="H141" s="112"/>
      <c r="I141" s="112"/>
      <c r="J141" s="112"/>
      <c r="K141" s="112"/>
      <c r="L141" s="112"/>
    </row>
    <row r="142" spans="1:12">
      <c r="A142" s="112"/>
      <c r="B142" s="247"/>
      <c r="C142" s="112"/>
      <c r="D142" s="112"/>
      <c r="E142" s="112"/>
      <c r="F142" s="112"/>
      <c r="G142" s="112"/>
      <c r="H142" s="112"/>
      <c r="I142" s="112"/>
      <c r="J142" s="112"/>
      <c r="K142" s="112"/>
      <c r="L142" s="112"/>
    </row>
    <row r="143" spans="1:12">
      <c r="A143" s="112"/>
      <c r="B143" s="247"/>
      <c r="C143" s="112"/>
      <c r="D143" s="112"/>
      <c r="E143" s="112"/>
      <c r="F143" s="112"/>
      <c r="G143" s="112"/>
      <c r="H143" s="112"/>
      <c r="I143" s="112"/>
      <c r="J143" s="112"/>
      <c r="K143" s="112"/>
      <c r="L143" s="112"/>
    </row>
    <row r="144" spans="1:12">
      <c r="A144" s="112"/>
      <c r="B144" s="247"/>
      <c r="C144" s="112"/>
      <c r="D144" s="112"/>
      <c r="E144" s="112"/>
      <c r="F144" s="112"/>
      <c r="G144" s="112"/>
      <c r="H144" s="112"/>
      <c r="I144" s="112"/>
      <c r="J144" s="112"/>
      <c r="K144" s="112"/>
      <c r="L144" s="112"/>
    </row>
    <row r="145" spans="1:12">
      <c r="A145" s="112"/>
      <c r="C145" s="112"/>
      <c r="D145" s="112"/>
      <c r="E145" s="112"/>
      <c r="F145" s="112"/>
      <c r="G145" s="112"/>
      <c r="H145" s="112"/>
      <c r="I145" s="112"/>
      <c r="J145" s="112"/>
      <c r="K145" s="112"/>
      <c r="L145" s="112"/>
    </row>
    <row r="146" spans="1:12">
      <c r="A146" s="112"/>
      <c r="B146" s="112"/>
      <c r="C146" s="112"/>
      <c r="D146" s="112"/>
      <c r="E146" s="112"/>
      <c r="F146" s="112"/>
      <c r="G146" s="112"/>
      <c r="H146" s="112"/>
      <c r="I146" s="112"/>
      <c r="J146" s="112"/>
      <c r="K146" s="112"/>
      <c r="L146" s="112"/>
    </row>
    <row r="147" spans="1:12">
      <c r="A147" s="112"/>
      <c r="B147" s="112"/>
      <c r="C147" s="112"/>
      <c r="D147" s="112"/>
      <c r="E147" s="112"/>
      <c r="F147" s="112"/>
      <c r="G147" s="112"/>
      <c r="H147" s="112"/>
      <c r="I147" s="112"/>
      <c r="J147" s="112"/>
      <c r="K147" s="112"/>
      <c r="L147" s="112"/>
    </row>
    <row r="148" spans="1:12">
      <c r="A148" s="112"/>
      <c r="B148" s="112"/>
      <c r="C148" s="112"/>
      <c r="D148" s="112"/>
      <c r="E148" s="112"/>
      <c r="F148" s="112"/>
      <c r="G148" s="112"/>
      <c r="H148" s="112"/>
      <c r="I148" s="112"/>
      <c r="J148" s="112"/>
      <c r="K148" s="112"/>
      <c r="L148" s="112"/>
    </row>
    <row r="149" spans="1:12">
      <c r="A149" s="112"/>
      <c r="B149" s="112"/>
      <c r="C149" s="112"/>
      <c r="D149" s="112"/>
      <c r="E149" s="112"/>
      <c r="F149" s="112"/>
      <c r="G149" s="112"/>
      <c r="H149" s="112"/>
      <c r="I149" s="112"/>
      <c r="J149" s="112"/>
      <c r="K149" s="112"/>
      <c r="L149" s="112"/>
    </row>
    <row r="150" spans="1:12">
      <c r="A150" s="112"/>
      <c r="B150" s="112"/>
      <c r="C150" s="112"/>
      <c r="D150" s="112"/>
      <c r="E150" s="112"/>
      <c r="F150" s="112"/>
      <c r="G150" s="112"/>
      <c r="H150" s="112"/>
      <c r="I150" s="112"/>
      <c r="J150" s="112"/>
      <c r="K150" s="112"/>
      <c r="L150" s="112"/>
    </row>
    <row r="151" spans="1:12">
      <c r="A151" s="112"/>
      <c r="B151" s="112"/>
      <c r="C151" s="112"/>
      <c r="D151" s="112"/>
      <c r="E151" s="112"/>
      <c r="F151" s="112"/>
      <c r="G151" s="112"/>
      <c r="H151" s="112"/>
      <c r="I151" s="112"/>
      <c r="J151" s="112"/>
      <c r="K151" s="112"/>
      <c r="L151" s="112"/>
    </row>
    <row r="152" spans="1:12">
      <c r="A152" s="112"/>
      <c r="B152" s="112"/>
      <c r="C152" s="112"/>
      <c r="D152" s="112"/>
      <c r="E152" s="112"/>
      <c r="F152" s="112"/>
      <c r="G152" s="112"/>
      <c r="H152" s="112"/>
      <c r="I152" s="112"/>
      <c r="J152" s="112"/>
      <c r="K152" s="112"/>
      <c r="L152" s="112"/>
    </row>
    <row r="153" spans="1:12">
      <c r="A153" s="112"/>
      <c r="B153" s="112"/>
      <c r="C153" s="112"/>
      <c r="D153" s="112"/>
      <c r="E153" s="112"/>
      <c r="F153" s="112"/>
      <c r="G153" s="112"/>
      <c r="H153" s="112"/>
      <c r="I153" s="112"/>
      <c r="J153" s="112"/>
      <c r="K153" s="112"/>
      <c r="L153" s="112"/>
    </row>
    <row r="154" spans="1:12">
      <c r="A154" s="112"/>
      <c r="B154" s="112"/>
      <c r="C154" s="112"/>
      <c r="D154" s="112"/>
      <c r="E154" s="112"/>
      <c r="F154" s="112"/>
      <c r="G154" s="112"/>
      <c r="H154" s="112"/>
      <c r="I154" s="112"/>
      <c r="J154" s="112"/>
      <c r="K154" s="112"/>
      <c r="L154" s="112"/>
    </row>
    <row r="155" spans="1:12">
      <c r="A155" s="112"/>
      <c r="B155" s="112"/>
      <c r="C155" s="112"/>
      <c r="D155" s="112"/>
      <c r="E155" s="112"/>
      <c r="F155" s="112"/>
      <c r="G155" s="112"/>
      <c r="H155" s="112"/>
      <c r="I155" s="112"/>
      <c r="J155" s="112"/>
      <c r="K155" s="112"/>
      <c r="L155" s="112"/>
    </row>
    <row r="156" spans="1:12">
      <c r="A156" s="112"/>
      <c r="B156" s="112"/>
      <c r="C156" s="112"/>
      <c r="D156" s="112"/>
      <c r="E156" s="112"/>
      <c r="F156" s="112"/>
      <c r="G156" s="112"/>
      <c r="H156" s="112"/>
      <c r="I156" s="112"/>
      <c r="J156" s="112"/>
      <c r="K156" s="112"/>
      <c r="L156" s="112"/>
    </row>
    <row r="157" spans="1:12">
      <c r="A157" s="112"/>
      <c r="B157" s="112"/>
      <c r="C157" s="112"/>
      <c r="D157" s="112"/>
      <c r="E157" s="112"/>
      <c r="F157" s="112"/>
      <c r="G157" s="112"/>
      <c r="H157" s="112"/>
      <c r="I157" s="112"/>
      <c r="J157" s="112"/>
      <c r="K157" s="112"/>
      <c r="L157" s="112"/>
    </row>
    <row r="158" spans="1:12">
      <c r="A158" s="112"/>
      <c r="B158" s="112"/>
      <c r="C158" s="112"/>
      <c r="D158" s="112"/>
      <c r="E158" s="112"/>
      <c r="F158" s="112"/>
      <c r="G158" s="112"/>
      <c r="H158" s="112"/>
      <c r="I158" s="112"/>
      <c r="J158" s="112"/>
      <c r="K158" s="112"/>
      <c r="L158" s="112"/>
    </row>
    <row r="159" spans="1:12">
      <c r="A159" s="112"/>
      <c r="B159" s="112"/>
      <c r="C159" s="112"/>
      <c r="D159" s="112"/>
      <c r="E159" s="112"/>
      <c r="F159" s="112"/>
      <c r="G159" s="112"/>
      <c r="H159" s="112"/>
      <c r="I159" s="112"/>
      <c r="J159" s="112"/>
      <c r="K159" s="112"/>
      <c r="L159" s="112"/>
    </row>
    <row r="160" spans="1:12">
      <c r="A160" s="112"/>
      <c r="B160" s="112"/>
      <c r="C160" s="112"/>
      <c r="D160" s="112"/>
      <c r="E160" s="112"/>
      <c r="F160" s="112"/>
      <c r="G160" s="112"/>
      <c r="H160" s="112"/>
      <c r="I160" s="112"/>
      <c r="J160" s="112"/>
      <c r="K160" s="112"/>
      <c r="L160" s="112"/>
    </row>
    <row r="161" spans="1:12">
      <c r="A161" s="112"/>
      <c r="B161" s="112"/>
      <c r="C161" s="112"/>
      <c r="D161" s="112"/>
      <c r="E161" s="112"/>
      <c r="F161" s="112"/>
      <c r="G161" s="112"/>
      <c r="H161" s="112"/>
      <c r="I161" s="112"/>
      <c r="J161" s="112"/>
      <c r="K161" s="112"/>
      <c r="L161" s="112"/>
    </row>
    <row r="162" spans="1:12">
      <c r="A162" s="112"/>
      <c r="B162" s="112"/>
      <c r="C162" s="112"/>
      <c r="D162" s="112"/>
      <c r="E162" s="112"/>
      <c r="F162" s="112"/>
      <c r="G162" s="112"/>
      <c r="H162" s="112"/>
      <c r="I162" s="112"/>
      <c r="J162" s="112"/>
      <c r="K162" s="112"/>
      <c r="L162" s="112"/>
    </row>
    <row r="163" spans="1:12">
      <c r="A163" s="112"/>
      <c r="B163" s="112"/>
      <c r="C163" s="112"/>
      <c r="D163" s="112"/>
      <c r="E163" s="112"/>
      <c r="F163" s="112"/>
      <c r="G163" s="112"/>
      <c r="H163" s="112"/>
      <c r="I163" s="112"/>
      <c r="J163" s="112"/>
      <c r="K163" s="112"/>
      <c r="L163" s="112"/>
    </row>
    <row r="164" spans="1:12">
      <c r="A164" s="112"/>
      <c r="B164" s="112"/>
      <c r="C164" s="112"/>
      <c r="D164" s="112"/>
      <c r="E164" s="112"/>
      <c r="F164" s="112"/>
      <c r="G164" s="112"/>
      <c r="H164" s="112"/>
      <c r="I164" s="112"/>
      <c r="J164" s="112"/>
      <c r="K164" s="112"/>
      <c r="L164" s="112"/>
    </row>
    <row r="165" spans="1:12">
      <c r="A165" s="112"/>
      <c r="B165" s="112"/>
      <c r="C165" s="112"/>
      <c r="D165" s="112"/>
      <c r="E165" s="112"/>
      <c r="F165" s="112"/>
      <c r="G165" s="112"/>
      <c r="H165" s="112"/>
      <c r="I165" s="112"/>
      <c r="J165" s="112"/>
      <c r="K165" s="112"/>
      <c r="L165" s="112"/>
    </row>
    <row r="166" spans="1:12">
      <c r="A166" s="112"/>
      <c r="B166" s="112"/>
      <c r="C166" s="112"/>
      <c r="D166" s="112"/>
      <c r="E166" s="112"/>
      <c r="F166" s="112"/>
      <c r="G166" s="112"/>
      <c r="H166" s="112"/>
      <c r="I166" s="112"/>
      <c r="J166" s="112"/>
      <c r="K166" s="112"/>
      <c r="L166" s="112"/>
    </row>
    <row r="167" spans="1:12">
      <c r="A167" s="112"/>
      <c r="B167" s="112"/>
      <c r="C167" s="112"/>
      <c r="D167" s="112"/>
      <c r="E167" s="112"/>
      <c r="F167" s="112"/>
      <c r="G167" s="112"/>
      <c r="H167" s="112"/>
      <c r="I167" s="112"/>
      <c r="J167" s="112"/>
      <c r="K167" s="112"/>
      <c r="L167" s="112"/>
    </row>
    <row r="168" spans="1:12">
      <c r="A168" s="112"/>
      <c r="B168" s="112"/>
      <c r="C168" s="112"/>
      <c r="D168" s="112"/>
      <c r="E168" s="112"/>
      <c r="F168" s="112"/>
      <c r="G168" s="112"/>
      <c r="H168" s="112"/>
      <c r="I168" s="112"/>
      <c r="J168" s="112"/>
      <c r="K168" s="112"/>
      <c r="L168" s="112"/>
    </row>
    <row r="169" spans="1:12">
      <c r="A169" s="112"/>
      <c r="B169" s="112"/>
      <c r="C169" s="112"/>
      <c r="D169" s="112"/>
      <c r="E169" s="112"/>
      <c r="F169" s="112"/>
      <c r="G169" s="112"/>
      <c r="H169" s="112"/>
      <c r="I169" s="112"/>
      <c r="J169" s="112"/>
      <c r="K169" s="112"/>
      <c r="L169" s="112"/>
    </row>
  </sheetData>
  <pageMargins left="0.7" right="0.7" top="0.75" bottom="0.75" header="0.3" footer="0.3"/>
  <pageSetup scale="72" orientation="landscape" cellComments="asDisplayed" r:id="rId1"/>
  <headerFooter>
    <oddHeader>&amp;CSchedule 3
True Up Adjustment
&amp;RTO2027 Draft Annual Update 
Attachment 1</oddHeader>
    <oddFooter>&amp;R&amp;A</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74"/>
  <sheetViews>
    <sheetView zoomScaleNormal="10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6.453125" customWidth="1"/>
    <col min="11" max="11" width="2.54296875" customWidth="1"/>
    <col min="12" max="12" width="5.453125" customWidth="1"/>
    <col min="13" max="13" width="18.1796875" customWidth="1"/>
    <col min="14" max="14" width="3.453125" customWidth="1"/>
    <col min="15" max="15" width="14.81640625" customWidth="1"/>
  </cols>
  <sheetData>
    <row r="1" spans="1:10" ht="13">
      <c r="A1" s="1" t="s">
        <v>476</v>
      </c>
    </row>
    <row r="3" spans="1:10" ht="13">
      <c r="B3" s="47" t="s">
        <v>477</v>
      </c>
    </row>
    <row r="4" spans="1:10" ht="13">
      <c r="B4" s="40"/>
      <c r="F4" s="2" t="s">
        <v>478</v>
      </c>
      <c r="G4" s="2"/>
      <c r="H4" s="2" t="s">
        <v>101</v>
      </c>
    </row>
    <row r="5" spans="1:10" ht="13">
      <c r="A5" s="32" t="s">
        <v>102</v>
      </c>
      <c r="B5" s="12"/>
      <c r="C5" s="30" t="s">
        <v>479</v>
      </c>
      <c r="F5" s="3" t="s">
        <v>480</v>
      </c>
      <c r="G5" s="3" t="s">
        <v>103</v>
      </c>
      <c r="H5" s="3" t="s">
        <v>104</v>
      </c>
      <c r="J5" s="3" t="s">
        <v>81</v>
      </c>
    </row>
    <row r="6" spans="1:10" ht="13">
      <c r="A6" s="2">
        <v>1</v>
      </c>
      <c r="C6" s="276" t="s">
        <v>107</v>
      </c>
      <c r="F6" t="s">
        <v>481</v>
      </c>
      <c r="H6" s="276" t="str">
        <f>"6-PlantInService, Line "&amp;'6-PlantInService'!A64&amp;""</f>
        <v>6-PlantInService, Line 18</v>
      </c>
      <c r="J6" s="6">
        <f>'6-PlantInService'!D64</f>
        <v>11716605367.086294</v>
      </c>
    </row>
    <row r="7" spans="1:10" ht="13">
      <c r="A7" s="2">
        <f>A6+1</f>
        <v>2</v>
      </c>
      <c r="C7" s="276" t="s">
        <v>482</v>
      </c>
      <c r="F7" t="s">
        <v>483</v>
      </c>
      <c r="H7" s="276" t="str">
        <f>"6-PlantInService, Line "&amp;'6-PlantInService'!A80&amp;""</f>
        <v>6-PlantInService, Line 24</v>
      </c>
      <c r="J7" s="6">
        <f>'6-PlantInService'!F80</f>
        <v>418564779.22615242</v>
      </c>
    </row>
    <row r="8" spans="1:10" ht="13">
      <c r="A8" s="2">
        <f>A7+1</f>
        <v>3</v>
      </c>
      <c r="C8" s="276" t="s">
        <v>109</v>
      </c>
      <c r="F8" t="s">
        <v>483</v>
      </c>
      <c r="H8" t="str">
        <f>"11-PHFU, Line "&amp;'11-PHFU'!A42&amp;""</f>
        <v>11-PHFU, Line 9</v>
      </c>
      <c r="J8" s="6">
        <f>'11-PHFU'!D42</f>
        <v>14769759.393964872</v>
      </c>
    </row>
    <row r="9" spans="1:10" ht="13">
      <c r="A9" s="2">
        <f>A8+1</f>
        <v>4</v>
      </c>
      <c r="C9" s="276" t="s">
        <v>110</v>
      </c>
      <c r="F9" t="s">
        <v>483</v>
      </c>
      <c r="H9" s="233" t="str">
        <f>"12-AbandonedPlant Line "&amp;'12-AbandonedPlant'!A21&amp;""</f>
        <v>12-AbandonedPlant Line 4</v>
      </c>
      <c r="J9" s="6">
        <f>'12-AbandonedPlant'!G21</f>
        <v>0</v>
      </c>
    </row>
    <row r="10" spans="1:10" ht="13">
      <c r="A10" s="2"/>
      <c r="C10" s="276"/>
      <c r="J10" s="6"/>
    </row>
    <row r="11" spans="1:10" ht="13">
      <c r="A11" s="2"/>
      <c r="C11" s="28" t="s">
        <v>484</v>
      </c>
      <c r="J11" s="6"/>
    </row>
    <row r="12" spans="1:10" ht="13">
      <c r="A12" s="2">
        <f>A9+1</f>
        <v>5</v>
      </c>
      <c r="C12" s="232" t="s">
        <v>112</v>
      </c>
      <c r="F12" t="s">
        <v>481</v>
      </c>
      <c r="H12" s="276" t="str">
        <f>"13-WorkCap, Line "&amp;'13-WorkCap'!A27&amp;""</f>
        <v>13-WorkCap, Line 17</v>
      </c>
      <c r="J12" s="6">
        <f>'13-WorkCap'!F27</f>
        <v>33962981.222935319</v>
      </c>
    </row>
    <row r="13" spans="1:10" ht="13">
      <c r="A13" s="2">
        <f>A12+1</f>
        <v>6</v>
      </c>
      <c r="C13" s="12" t="s">
        <v>113</v>
      </c>
      <c r="F13" t="s">
        <v>481</v>
      </c>
      <c r="H13" s="276" t="str">
        <f>"13-WorkCap, Line "&amp;'13-WorkCap'!A51&amp;""</f>
        <v>13-WorkCap, Line 33</v>
      </c>
      <c r="J13" s="6">
        <f>'13-WorkCap'!F51</f>
        <v>9696712.5221422538</v>
      </c>
    </row>
    <row r="14" spans="1:10" ht="13">
      <c r="A14" s="2">
        <f>A13+1</f>
        <v>7</v>
      </c>
      <c r="C14" s="232" t="s">
        <v>114</v>
      </c>
      <c r="F14" s="233" t="s">
        <v>485</v>
      </c>
      <c r="H14" t="str">
        <f>"1-Base TRR Line "&amp;'1-BaseTRR'!A17&amp;""</f>
        <v>1-Base TRR Line 7</v>
      </c>
      <c r="J14" s="53">
        <f>'1-BaseTRR'!K17</f>
        <v>28848185.239759132</v>
      </c>
    </row>
    <row r="15" spans="1:10" ht="13">
      <c r="A15" s="2">
        <f>A14+1</f>
        <v>8</v>
      </c>
      <c r="C15" s="232" t="s">
        <v>115</v>
      </c>
      <c r="H15" t="str">
        <f>"Line "&amp;A12&amp;" + Line "&amp;A13&amp;" + Line "&amp;A14&amp;""</f>
        <v>Line 5 + Line 6 + Line 7</v>
      </c>
      <c r="J15" s="6">
        <f>SUM(J12:J14)</f>
        <v>72507878.984836698</v>
      </c>
    </row>
    <row r="16" spans="1:10" ht="13">
      <c r="A16" s="2"/>
      <c r="C16" s="232"/>
      <c r="J16" s="6"/>
    </row>
    <row r="17" spans="1:10" ht="13">
      <c r="A17" s="2"/>
      <c r="C17" s="44" t="s">
        <v>486</v>
      </c>
      <c r="J17" s="6"/>
    </row>
    <row r="18" spans="1:10" ht="13">
      <c r="A18" s="2">
        <f>A15+1</f>
        <v>9</v>
      </c>
      <c r="C18" s="232" t="s">
        <v>487</v>
      </c>
      <c r="F18" t="s">
        <v>481</v>
      </c>
      <c r="G18" t="s">
        <v>118</v>
      </c>
      <c r="H18" s="276" t="s">
        <v>3013</v>
      </c>
      <c r="J18" s="6">
        <f>-'8-AccDep'!J47</f>
        <v>-3074618336.0383739</v>
      </c>
    </row>
    <row r="19" spans="1:10" ht="13">
      <c r="A19" s="2">
        <f>A18+1</f>
        <v>10</v>
      </c>
      <c r="C19" s="232" t="s">
        <v>488</v>
      </c>
      <c r="F19" t="s">
        <v>483</v>
      </c>
      <c r="G19" t="s">
        <v>118</v>
      </c>
      <c r="H19" s="276" t="str">
        <f>"8-AccDep, Line "&amp;'8-AccDep'!A75&amp;", Col. 5"</f>
        <v>8-AccDep, Line 17, Col. 5</v>
      </c>
      <c r="J19" s="6">
        <f>-'8-AccDep'!G75</f>
        <v>0</v>
      </c>
    </row>
    <row r="20" spans="1:10" ht="13">
      <c r="A20" s="2">
        <f>A19+1</f>
        <v>11</v>
      </c>
      <c r="C20" s="232" t="s">
        <v>489</v>
      </c>
      <c r="D20" s="15"/>
      <c r="F20" t="s">
        <v>483</v>
      </c>
      <c r="G20" t="s">
        <v>118</v>
      </c>
      <c r="H20" s="276" t="str">
        <f>"8-AccDep, Line "&amp;'8-AccDep'!A93&amp;""</f>
        <v>8-AccDep, Line 23</v>
      </c>
      <c r="J20" s="53">
        <f>-'8-AccDep'!F93</f>
        <v>-160215288.6698992</v>
      </c>
    </row>
    <row r="21" spans="1:10" ht="13">
      <c r="A21" s="2">
        <f>A20+1</f>
        <v>12</v>
      </c>
      <c r="C21" s="45" t="s">
        <v>121</v>
      </c>
      <c r="D21" s="15"/>
      <c r="H21" t="str">
        <f>"Line "&amp;A18&amp;" + Line "&amp;A19&amp;" + Line "&amp;A20&amp;""</f>
        <v>Line 9 + Line 10 + Line 11</v>
      </c>
      <c r="J21" s="6">
        <f>SUM(J18:J20)</f>
        <v>-3234833624.7082729</v>
      </c>
    </row>
    <row r="22" spans="1:10" ht="13">
      <c r="A22" s="2"/>
      <c r="C22" s="233"/>
      <c r="J22" s="6"/>
    </row>
    <row r="23" spans="1:10" ht="13">
      <c r="A23" s="2">
        <f>A21+1</f>
        <v>13</v>
      </c>
      <c r="C23" s="38" t="s">
        <v>490</v>
      </c>
      <c r="F23" s="276" t="s">
        <v>483</v>
      </c>
      <c r="H23" s="276" t="str">
        <f>"9-ADIT-1, Line "&amp;'9-ADIT-1'!A24&amp;""</f>
        <v>9-ADIT-1, Line 15</v>
      </c>
      <c r="J23" s="6">
        <f>'9-ADIT-1'!D24</f>
        <v>-1603600375.4337845</v>
      </c>
    </row>
    <row r="24" spans="1:10" ht="13">
      <c r="A24" s="2">
        <f>A23+1</f>
        <v>14</v>
      </c>
      <c r="C24" s="276" t="s">
        <v>123</v>
      </c>
      <c r="F24" t="s">
        <v>481</v>
      </c>
      <c r="H24" s="276" t="str">
        <f>"14-IncentivePlant, L "&amp;'14-IncentivePlant'!A40&amp;", C2"</f>
        <v>14-IncentivePlant, L 15, C2</v>
      </c>
      <c r="J24" s="6">
        <f>'14-IncentivePlant'!F40</f>
        <v>216092574.80923074</v>
      </c>
    </row>
    <row r="25" spans="1:10" ht="13">
      <c r="A25" s="2">
        <f>A24+1</f>
        <v>15</v>
      </c>
      <c r="C25" s="38" t="s">
        <v>125</v>
      </c>
      <c r="F25" t="s">
        <v>483</v>
      </c>
      <c r="G25" t="s">
        <v>118</v>
      </c>
      <c r="H25" s="276" t="str">
        <f>"22-NUCs, Line "&amp;'22-NUCs'!A15&amp;""</f>
        <v>22-NUCs, Line 7</v>
      </c>
      <c r="J25" s="6">
        <f>-'22-NUCs'!E15</f>
        <v>-66047470.820882402</v>
      </c>
    </row>
    <row r="26" spans="1:10" ht="13">
      <c r="A26" s="2">
        <f t="shared" ref="A26:A27" si="0">A25+1</f>
        <v>16</v>
      </c>
      <c r="C26" s="276" t="s">
        <v>74</v>
      </c>
      <c r="H26" s="233" t="str">
        <f>"34-UnfundedReserves, Line "&amp;'34-UnfundedReserves'!A10&amp;""</f>
        <v>34-UnfundedReserves, Line 7</v>
      </c>
      <c r="J26" s="6">
        <f>'34-UnfundedReserves'!K10</f>
        <v>-31100120.046017211</v>
      </c>
    </row>
    <row r="27" spans="1:10" ht="13">
      <c r="A27" s="2">
        <f t="shared" si="0"/>
        <v>17</v>
      </c>
      <c r="C27" s="38" t="s">
        <v>124</v>
      </c>
      <c r="F27" t="s">
        <v>483</v>
      </c>
      <c r="H27" s="276" t="str">
        <f>"23-RegAssets, Line "&amp;'23-RegAssets'!A18&amp;""</f>
        <v>23-RegAssets, Line 15</v>
      </c>
      <c r="J27" s="6">
        <f>'23-RegAssets'!E18</f>
        <v>0</v>
      </c>
    </row>
    <row r="28" spans="1:10" ht="13">
      <c r="A28" s="2"/>
      <c r="C28" s="38"/>
    </row>
    <row r="29" spans="1:10" ht="13">
      <c r="A29" s="2">
        <f>A27+1</f>
        <v>18</v>
      </c>
      <c r="C29" t="s">
        <v>126</v>
      </c>
      <c r="H29" t="str">
        <f>"L"&amp;A6&amp;"+L"&amp;A7&amp;"+L"&amp;A8&amp;"+L"&amp;A9&amp;"+L"&amp;A15&amp;"+L"&amp;A21&amp;"+"</f>
        <v>L1+L2+L3+L4+L8+L12+</v>
      </c>
      <c r="J29" s="6">
        <f>J6+ J7+J8+J9+J15+J21+J23+J24+J25+J26+J27</f>
        <v>7502958768.4915209</v>
      </c>
    </row>
    <row r="30" spans="1:10" ht="13">
      <c r="A30" s="2"/>
      <c r="H30" t="str">
        <f>"L"&amp;A23&amp;"+L"&amp;A24&amp;"+L"&amp;A25&amp;"+L"&amp;A26&amp;"+L"&amp;A27&amp;""</f>
        <v>L13+L14+L15+L16+L17</v>
      </c>
      <c r="J30" s="6"/>
    </row>
    <row r="31" spans="1:10" ht="13">
      <c r="A31" s="2"/>
      <c r="B31" s="1" t="s">
        <v>491</v>
      </c>
      <c r="J31" s="6"/>
    </row>
    <row r="32" spans="1:10" ht="13">
      <c r="A32" s="32" t="s">
        <v>102</v>
      </c>
      <c r="C32" s="1"/>
      <c r="J32" s="6"/>
    </row>
    <row r="33" spans="1:15" ht="13">
      <c r="A33" s="2">
        <f>A29+1</f>
        <v>19</v>
      </c>
      <c r="B33" s="233"/>
      <c r="C33" s="233" t="s">
        <v>174</v>
      </c>
      <c r="D33" s="233"/>
      <c r="E33" s="233"/>
      <c r="F33" s="233"/>
      <c r="G33" s="233" t="s">
        <v>492</v>
      </c>
      <c r="H33" s="233" t="str">
        <f>"Instruction 1, Line "&amp;B100&amp;""</f>
        <v>Instruction 1, Line j</v>
      </c>
      <c r="I33" s="233"/>
      <c r="J33" s="203">
        <f>E100</f>
        <v>7.4585819831451447E-2</v>
      </c>
      <c r="L33" s="366"/>
    </row>
    <row r="34" spans="1:15" ht="13">
      <c r="A34" s="2">
        <f>A33+1</f>
        <v>20</v>
      </c>
      <c r="C34" s="233" t="s">
        <v>177</v>
      </c>
      <c r="D34" s="233"/>
      <c r="E34" s="233"/>
      <c r="F34" s="233"/>
      <c r="G34" s="233"/>
      <c r="H34" t="str">
        <f>"Line "&amp;A29&amp;" * Line "&amp;A33&amp;""</f>
        <v>Line 18 * Line 19</v>
      </c>
      <c r="J34" s="235">
        <f>J29*J33</f>
        <v>559614330.90951741</v>
      </c>
    </row>
    <row r="35" spans="1:15" ht="13">
      <c r="A35" s="2"/>
      <c r="B35" s="12"/>
    </row>
    <row r="36" spans="1:15" ht="13">
      <c r="A36" s="2"/>
      <c r="B36" s="1" t="s">
        <v>493</v>
      </c>
    </row>
    <row r="37" spans="1:15" ht="13">
      <c r="A37" s="2"/>
      <c r="B37" s="12"/>
    </row>
    <row r="38" spans="1:15" ht="13">
      <c r="A38" s="2">
        <f>A34+1</f>
        <v>21</v>
      </c>
      <c r="C38" s="233" t="s">
        <v>193</v>
      </c>
      <c r="J38" s="6">
        <f>(((J29*J42)+J46)*(J43/(1-J43)))+J44/(1-J43)</f>
        <v>142190628.18728554</v>
      </c>
    </row>
    <row r="39" spans="1:15" ht="13">
      <c r="A39" s="2"/>
      <c r="J39" s="233"/>
    </row>
    <row r="40" spans="1:15" ht="13">
      <c r="A40" s="2"/>
      <c r="D40" t="s">
        <v>194</v>
      </c>
    </row>
    <row r="41" spans="1:15" ht="13">
      <c r="A41" s="2">
        <f>A38+1</f>
        <v>22</v>
      </c>
      <c r="D41" s="12" t="s">
        <v>195</v>
      </c>
      <c r="H41" t="str">
        <f>"Line "&amp;A29&amp;""</f>
        <v>Line 18</v>
      </c>
      <c r="J41" s="6">
        <f>J29</f>
        <v>7502958768.4915209</v>
      </c>
    </row>
    <row r="42" spans="1:15" ht="13">
      <c r="A42" s="2">
        <f>A41+1</f>
        <v>23</v>
      </c>
      <c r="D42" s="232" t="s">
        <v>494</v>
      </c>
      <c r="G42" s="233" t="s">
        <v>495</v>
      </c>
      <c r="H42" s="233" t="str">
        <f>"Instruction 1, Line "&amp;B105&amp;""</f>
        <v>Instruction 1, Line k</v>
      </c>
      <c r="J42" s="203">
        <f>E105</f>
        <v>5.1564815749195636E-2</v>
      </c>
      <c r="L42" s="366"/>
    </row>
    <row r="43" spans="1:15" ht="13">
      <c r="A43" s="2">
        <f>A42+1</f>
        <v>24</v>
      </c>
      <c r="D43" s="12" t="s">
        <v>197</v>
      </c>
      <c r="H43" t="str">
        <f>"1-Base TRR L "&amp;'1-BaseTRR'!A104&amp;""</f>
        <v>1-Base TRR L 59</v>
      </c>
      <c r="J43" s="7">
        <f>'1-BaseTRR'!K104</f>
        <v>0.27983599999999997</v>
      </c>
      <c r="L43" s="366"/>
    </row>
    <row r="44" spans="1:15" ht="13">
      <c r="A44" s="2">
        <f>A43+1</f>
        <v>25</v>
      </c>
      <c r="D44" s="12" t="s">
        <v>198</v>
      </c>
      <c r="H44" s="233" t="s">
        <v>496</v>
      </c>
      <c r="J44" s="6">
        <f>'1-BaseTRR'!K110 +J45</f>
        <v>-6318605</v>
      </c>
    </row>
    <row r="45" spans="1:15" ht="13">
      <c r="A45" s="2" t="s">
        <v>497</v>
      </c>
      <c r="B45" s="610"/>
      <c r="C45" s="610"/>
      <c r="D45" s="232" t="s">
        <v>498</v>
      </c>
      <c r="E45" s="233"/>
      <c r="F45" s="233"/>
      <c r="G45" s="233" t="s">
        <v>499</v>
      </c>
      <c r="H45" s="240" t="s">
        <v>453</v>
      </c>
      <c r="I45" s="610"/>
      <c r="J45" s="116"/>
    </row>
    <row r="46" spans="1:15" ht="13">
      <c r="A46" s="2">
        <f>A44+1</f>
        <v>26</v>
      </c>
      <c r="D46" s="12" t="s">
        <v>199</v>
      </c>
      <c r="H46" t="str">
        <f>"1-Base TRR L "&amp;'1-BaseTRR'!A114&amp;""</f>
        <v>1-Base TRR L 65</v>
      </c>
      <c r="J46" s="235">
        <f>'1-BaseTRR'!K121</f>
        <v>1621643</v>
      </c>
    </row>
    <row r="47" spans="1:15" ht="13">
      <c r="A47" s="2"/>
      <c r="B47" s="12"/>
      <c r="M47" s="2"/>
    </row>
    <row r="48" spans="1:15" ht="13">
      <c r="A48" s="2"/>
      <c r="B48" s="1" t="s">
        <v>500</v>
      </c>
      <c r="M48" s="48"/>
      <c r="O48" s="30"/>
    </row>
    <row r="49" spans="1:15" ht="13">
      <c r="A49" s="2">
        <f>A46+1</f>
        <v>27</v>
      </c>
      <c r="B49" s="12"/>
      <c r="C49" t="s">
        <v>203</v>
      </c>
      <c r="H49" t="str">
        <f>"1-Base TRR L "&amp;'1-BaseTRR'!A126&amp;""</f>
        <v>1-Base TRR L 66</v>
      </c>
      <c r="J49" s="6">
        <f>'1-BaseTRR'!K126</f>
        <v>147734144.12607563</v>
      </c>
      <c r="M49" s="6"/>
      <c r="O49" s="233"/>
    </row>
    <row r="50" spans="1:15" ht="13">
      <c r="A50" s="2">
        <f t="shared" ref="A50:A60" si="1">A49+1</f>
        <v>28</v>
      </c>
      <c r="B50" s="12"/>
      <c r="C50" s="233" t="s">
        <v>204</v>
      </c>
      <c r="H50" t="str">
        <f>"1-Base TRR L "&amp;'1-BaseTRR'!A127&amp;""</f>
        <v>1-Base TRR L 67</v>
      </c>
      <c r="J50" s="6">
        <f>'1-BaseTRR'!K127</f>
        <v>83051337.791997433</v>
      </c>
      <c r="M50" s="6"/>
      <c r="O50" s="233"/>
    </row>
    <row r="51" spans="1:15" ht="13">
      <c r="A51" s="2">
        <f>A50+1</f>
        <v>29</v>
      </c>
      <c r="B51" s="12"/>
      <c r="C51" t="s">
        <v>205</v>
      </c>
      <c r="H51" t="str">
        <f>"1-Base TRR L "&amp;'1-BaseTRR'!A128&amp;""</f>
        <v>1-Base TRR L 68</v>
      </c>
      <c r="J51" s="6">
        <f>'1-BaseTRR'!K128</f>
        <v>8487510.6330953706</v>
      </c>
      <c r="M51" s="6"/>
    </row>
    <row r="52" spans="1:15" ht="13">
      <c r="A52" s="2">
        <f t="shared" si="1"/>
        <v>30</v>
      </c>
      <c r="B52" s="12"/>
      <c r="C52" s="233" t="s">
        <v>206</v>
      </c>
      <c r="H52" t="str">
        <f>"1-Base TRR L "&amp;'1-BaseTRR'!A129&amp;""</f>
        <v>1-Base TRR L 69</v>
      </c>
      <c r="J52" s="6">
        <f>'1-BaseTRR'!K129</f>
        <v>358133993.86154509</v>
      </c>
      <c r="M52" s="6"/>
    </row>
    <row r="53" spans="1:15" ht="13">
      <c r="A53" s="2">
        <f t="shared" si="1"/>
        <v>31</v>
      </c>
      <c r="B53" s="12"/>
      <c r="C53" s="233" t="s">
        <v>207</v>
      </c>
      <c r="H53" t="str">
        <f>"1-Base TRR L "&amp;'1-BaseTRR'!A130&amp;""</f>
        <v>1-Base TRR L 70</v>
      </c>
      <c r="J53" s="6">
        <f>'1-BaseTRR'!K130</f>
        <v>0</v>
      </c>
      <c r="M53" s="6"/>
    </row>
    <row r="54" spans="1:15" ht="13">
      <c r="A54" s="2">
        <f t="shared" si="1"/>
        <v>32</v>
      </c>
      <c r="B54" s="12"/>
      <c r="C54" s="233" t="s">
        <v>146</v>
      </c>
      <c r="H54" t="str">
        <f>"1-Base TRR L "&amp;'1-BaseTRR'!A131&amp;""</f>
        <v>1-Base TRR L 71</v>
      </c>
      <c r="J54" s="6">
        <f>'1-BaseTRR'!K131</f>
        <v>101157459.60224564</v>
      </c>
      <c r="M54" s="6"/>
    </row>
    <row r="55" spans="1:15" ht="13">
      <c r="A55" s="2">
        <f t="shared" si="1"/>
        <v>33</v>
      </c>
      <c r="B55" s="12"/>
      <c r="C55" t="s">
        <v>208</v>
      </c>
      <c r="G55" s="233"/>
      <c r="H55" t="str">
        <f>"1-Base TRR L "&amp;'1-BaseTRR'!A132&amp;""</f>
        <v>1-Base TRR L 72</v>
      </c>
      <c r="J55" s="6">
        <f>'1-BaseTRR'!K132</f>
        <v>-59222843.150054194</v>
      </c>
      <c r="M55" s="6"/>
    </row>
    <row r="56" spans="1:15" ht="13">
      <c r="A56" s="2">
        <f t="shared" si="1"/>
        <v>34</v>
      </c>
      <c r="B56" s="12"/>
      <c r="C56" t="s">
        <v>209</v>
      </c>
      <c r="H56" t="str">
        <f>"Line "&amp;A34&amp;""</f>
        <v>Line 20</v>
      </c>
      <c r="J56" s="6">
        <f>J34</f>
        <v>559614330.90951741</v>
      </c>
      <c r="M56" s="6"/>
    </row>
    <row r="57" spans="1:15" ht="13">
      <c r="A57" s="2">
        <f t="shared" si="1"/>
        <v>35</v>
      </c>
      <c r="B57" s="12"/>
      <c r="C57" t="s">
        <v>210</v>
      </c>
      <c r="H57" t="str">
        <f>"Line "&amp;A38&amp;""</f>
        <v>Line 21</v>
      </c>
      <c r="J57" s="235">
        <f>J38</f>
        <v>142190628.18728554</v>
      </c>
      <c r="M57" s="6"/>
    </row>
    <row r="58" spans="1:15" ht="13">
      <c r="A58" s="2">
        <f t="shared" si="1"/>
        <v>36</v>
      </c>
      <c r="B58" s="12"/>
      <c r="C58" s="233" t="s">
        <v>501</v>
      </c>
      <c r="H58" t="str">
        <f>"1-Base TRR L "&amp;'1-BaseTRR'!A135&amp;""</f>
        <v>1-Base TRR L 75</v>
      </c>
      <c r="J58" s="235">
        <f>'1-BaseTRR'!K135</f>
        <v>0</v>
      </c>
      <c r="M58" s="6"/>
    </row>
    <row r="59" spans="1:15" ht="13">
      <c r="A59" s="2">
        <f t="shared" si="1"/>
        <v>37</v>
      </c>
      <c r="B59" s="12"/>
      <c r="C59" s="289" t="s">
        <v>213</v>
      </c>
      <c r="D59" s="289"/>
      <c r="H59" t="str">
        <f>"1-Base TRR L "&amp;'1-BaseTRR'!A136&amp;""</f>
        <v>1-Base TRR L 76</v>
      </c>
      <c r="J59" s="53">
        <f>'1-BaseTRR'!K136</f>
        <v>0</v>
      </c>
      <c r="M59" s="6"/>
    </row>
    <row r="60" spans="1:15" ht="13">
      <c r="A60" s="2">
        <f t="shared" si="1"/>
        <v>38</v>
      </c>
      <c r="B60" s="12"/>
      <c r="C60" s="233" t="s">
        <v>502</v>
      </c>
      <c r="H60" t="str">
        <f>"Sum Line "&amp;A49&amp;" to Line "&amp;A59&amp;""</f>
        <v>Sum Line 27 to Line 37</v>
      </c>
      <c r="J60" s="6">
        <f>SUM(J49:J59)</f>
        <v>1341146561.9617081</v>
      </c>
      <c r="M60" s="6"/>
    </row>
    <row r="61" spans="1:15" ht="13">
      <c r="A61" s="2"/>
      <c r="B61" s="12"/>
      <c r="J61" s="6"/>
      <c r="M61" s="6"/>
    </row>
    <row r="62" spans="1:15" ht="12.75" customHeight="1">
      <c r="A62" s="2">
        <f>A60+1</f>
        <v>39</v>
      </c>
      <c r="B62" s="12"/>
      <c r="C62" s="233" t="s">
        <v>503</v>
      </c>
      <c r="H62" t="str">
        <f>"15-IncentiveAdder L "&amp;'15-IncentiveAdder'!A59&amp;""</f>
        <v>15-IncentiveAdder L 20</v>
      </c>
      <c r="J62" s="6">
        <f>'15-IncentiveAdder'!G59</f>
        <v>22064350.72885973</v>
      </c>
      <c r="M62" s="6"/>
    </row>
    <row r="63" spans="1:15" ht="12.75" customHeight="1">
      <c r="A63" s="2" t="s">
        <v>504</v>
      </c>
      <c r="B63" s="12"/>
      <c r="C63" s="233" t="s">
        <v>505</v>
      </c>
      <c r="H63" s="233" t="s">
        <v>506</v>
      </c>
      <c r="J63" s="6">
        <f>-J62</f>
        <v>-22064350.72885973</v>
      </c>
      <c r="M63" s="6"/>
    </row>
    <row r="64" spans="1:15" ht="13">
      <c r="A64" s="2"/>
      <c r="B64" s="12"/>
      <c r="C64" s="233"/>
      <c r="J64" s="6"/>
      <c r="M64" s="6"/>
    </row>
    <row r="65" spans="1:17" ht="13">
      <c r="A65" s="2">
        <f>A62+1</f>
        <v>40</v>
      </c>
      <c r="B65" s="12"/>
      <c r="C65" s="233" t="s">
        <v>507</v>
      </c>
      <c r="H65" t="str">
        <f>"Sum of Lines "&amp;A60&amp;" to "&amp;A63&amp;""</f>
        <v>Sum of Lines 38 to 39a</v>
      </c>
      <c r="J65" s="6">
        <f>J60+J62+J63</f>
        <v>1341146561.9617081</v>
      </c>
      <c r="M65" s="6"/>
    </row>
    <row r="66" spans="1:17" ht="13">
      <c r="A66" s="2"/>
      <c r="B66" s="12"/>
      <c r="C66" s="233"/>
      <c r="J66" s="6"/>
      <c r="L66" s="6"/>
    </row>
    <row r="67" spans="1:17" ht="13">
      <c r="A67" s="2"/>
      <c r="B67" s="47" t="s">
        <v>508</v>
      </c>
      <c r="C67" s="233"/>
      <c r="J67" s="6"/>
      <c r="M67" s="2"/>
    </row>
    <row r="68" spans="1:17" ht="13">
      <c r="A68" s="32" t="s">
        <v>102</v>
      </c>
      <c r="B68" s="38"/>
      <c r="G68" s="30" t="s">
        <v>509</v>
      </c>
      <c r="J68" s="1066"/>
      <c r="M68" s="48"/>
      <c r="O68" s="30"/>
    </row>
    <row r="69" spans="1:17" ht="13">
      <c r="A69" s="2">
        <f>A65+1</f>
        <v>41</v>
      </c>
      <c r="B69" s="38"/>
      <c r="D69" s="231" t="s">
        <v>510</v>
      </c>
      <c r="E69" s="6">
        <f>J65</f>
        <v>1341146561.9617081</v>
      </c>
      <c r="G69" t="str">
        <f>"Line "&amp;A65&amp;""</f>
        <v>Line 40</v>
      </c>
      <c r="J69" s="1066"/>
      <c r="M69" s="6"/>
      <c r="O69" s="233"/>
    </row>
    <row r="70" spans="1:17" ht="13">
      <c r="A70" s="2">
        <f>A69+1</f>
        <v>42</v>
      </c>
      <c r="B70" s="38"/>
      <c r="D70" s="231" t="s">
        <v>511</v>
      </c>
      <c r="E70" s="990">
        <f>'28-FFU'!D22</f>
        <v>9.4093968428810952E-3</v>
      </c>
      <c r="G70" t="str">
        <f>"28-FFU, L "&amp;'28-FFU'!A22&amp;""</f>
        <v>28-FFU, L 5</v>
      </c>
      <c r="J70" s="1067"/>
      <c r="L70" s="366"/>
      <c r="M70" s="7"/>
      <c r="O70" s="233"/>
    </row>
    <row r="71" spans="1:17" ht="13">
      <c r="A71" s="2">
        <f>A70+1</f>
        <v>43</v>
      </c>
      <c r="B71" s="38"/>
      <c r="D71" s="25" t="s">
        <v>512</v>
      </c>
      <c r="E71" s="6">
        <f>E69*E70</f>
        <v>12619380.225963332</v>
      </c>
      <c r="G71" t="str">
        <f>"Line "&amp;A69&amp;" * Line "&amp;A70&amp;""</f>
        <v>Line 41 * Line 42</v>
      </c>
      <c r="J71" s="1068"/>
      <c r="M71" s="6"/>
      <c r="O71" s="233"/>
    </row>
    <row r="72" spans="1:17" ht="13">
      <c r="A72" s="2">
        <f>A71+1</f>
        <v>44</v>
      </c>
      <c r="B72" s="38"/>
      <c r="D72" s="231" t="s">
        <v>513</v>
      </c>
      <c r="E72" s="990">
        <f>'28-FFU'!E22</f>
        <v>2.1827632542004208E-2</v>
      </c>
      <c r="G72" t="str">
        <f>"28-FFU, L "&amp;'28-FFU'!A22&amp;""</f>
        <v>28-FFU, L 5</v>
      </c>
      <c r="J72" s="988"/>
      <c r="L72" s="366"/>
      <c r="M72" s="7"/>
      <c r="O72" s="233"/>
    </row>
    <row r="73" spans="1:17" ht="13">
      <c r="A73" s="2">
        <f>A72+1</f>
        <v>45</v>
      </c>
      <c r="B73" s="38"/>
      <c r="D73" s="231" t="s">
        <v>334</v>
      </c>
      <c r="E73" s="6">
        <f>E69*E72</f>
        <v>29274054.339472443</v>
      </c>
      <c r="G73" t="str">
        <f>"Line "&amp;A69&amp;" * Line "&amp;A72&amp;""</f>
        <v>Line 41 * Line 44</v>
      </c>
      <c r="J73" s="988"/>
      <c r="M73" s="1113"/>
      <c r="O73" s="233"/>
    </row>
    <row r="74" spans="1:17" ht="13">
      <c r="A74" s="2" t="s">
        <v>514</v>
      </c>
      <c r="B74" s="276"/>
      <c r="C74" s="233"/>
      <c r="D74" s="231" t="s">
        <v>515</v>
      </c>
      <c r="E74" s="53">
        <f>-'35-Other Formula Revenue'!D116</f>
        <v>-11785476.953691881</v>
      </c>
      <c r="F74" s="233"/>
      <c r="G74" s="233" t="str">
        <f>"Negative of 35-Other Formula Revenue, L "&amp;'35-Other Formula Revenue'!A116&amp;""</f>
        <v>Negative of 35-Other Formula Revenue, L 80</v>
      </c>
      <c r="H74" s="233"/>
      <c r="I74" s="586"/>
      <c r="J74" s="813"/>
      <c r="M74" s="6"/>
      <c r="N74" s="586"/>
      <c r="O74" s="233"/>
    </row>
    <row r="75" spans="1:17" ht="13">
      <c r="A75" s="2">
        <f>A73+1</f>
        <v>46</v>
      </c>
      <c r="B75" s="38"/>
      <c r="D75" s="231" t="s">
        <v>343</v>
      </c>
      <c r="E75" s="235">
        <f>E69+E71+E73+E74</f>
        <v>1371254519.573452</v>
      </c>
      <c r="F75" s="233"/>
      <c r="G75" s="233" t="str">
        <f>"L "&amp;A69&amp;" + L "&amp;A71&amp;" + L "&amp;A73&amp;"+ L "&amp;A74&amp;""</f>
        <v>L 41 + L 43 + L 45+ L 45a</v>
      </c>
      <c r="H75" s="233"/>
      <c r="L75" s="988"/>
      <c r="M75" s="6"/>
      <c r="N75" s="586"/>
      <c r="O75" s="233"/>
    </row>
    <row r="76" spans="1:17" ht="13">
      <c r="B76" s="47" t="s">
        <v>442</v>
      </c>
      <c r="D76" s="25"/>
      <c r="E76" s="6"/>
      <c r="H76" s="303"/>
      <c r="L76" s="988"/>
      <c r="N76" s="586"/>
    </row>
    <row r="77" spans="1:17" ht="13">
      <c r="A77" s="2"/>
      <c r="B77" s="233" t="s">
        <v>516</v>
      </c>
      <c r="C77" s="47"/>
      <c r="D77" s="25"/>
      <c r="E77" s="6"/>
      <c r="L77" s="235"/>
    </row>
    <row r="78" spans="1:17" ht="13">
      <c r="A78" s="2"/>
      <c r="B78" s="233" t="s">
        <v>517</v>
      </c>
      <c r="C78" s="47"/>
      <c r="D78" s="25"/>
      <c r="E78" s="6"/>
      <c r="L78" s="235"/>
      <c r="M78" s="30"/>
      <c r="N78" s="30"/>
      <c r="O78" s="30"/>
    </row>
    <row r="79" spans="1:17" ht="13">
      <c r="A79" s="2"/>
      <c r="B79" s="276" t="s">
        <v>518</v>
      </c>
      <c r="C79" s="233"/>
      <c r="D79" s="25"/>
      <c r="E79" s="6"/>
      <c r="L79" s="28"/>
      <c r="M79" s="28"/>
    </row>
    <row r="80" spans="1:17" ht="13">
      <c r="A80" s="2"/>
      <c r="B80" s="276" t="s">
        <v>519</v>
      </c>
      <c r="D80" s="25"/>
      <c r="E80" s="6"/>
      <c r="L80" s="233"/>
      <c r="M80" s="30"/>
      <c r="O80" s="30"/>
      <c r="Q80" s="30"/>
    </row>
    <row r="81" spans="1:17" ht="13">
      <c r="A81" s="2"/>
      <c r="L81" s="233"/>
      <c r="M81" s="231"/>
      <c r="O81" s="235"/>
    </row>
    <row r="82" spans="1:17" ht="13">
      <c r="A82" s="2"/>
      <c r="B82" s="233" t="s">
        <v>520</v>
      </c>
      <c r="M82" s="231"/>
      <c r="O82" s="6"/>
      <c r="Q82" s="233"/>
    </row>
    <row r="83" spans="1:17" ht="13">
      <c r="A83" s="2"/>
      <c r="B83" s="233"/>
      <c r="C83" s="233" t="s">
        <v>521</v>
      </c>
      <c r="M83" s="231"/>
      <c r="O83" s="6"/>
      <c r="Q83" s="233"/>
    </row>
    <row r="84" spans="1:17" ht="13">
      <c r="A84" s="2"/>
      <c r="B84" s="233"/>
      <c r="J84" s="2" t="s">
        <v>522</v>
      </c>
      <c r="M84" s="231"/>
      <c r="O84" s="6"/>
      <c r="Q84" s="233"/>
    </row>
    <row r="85" spans="1:17" ht="13">
      <c r="A85" s="2"/>
      <c r="E85" s="3" t="s">
        <v>523</v>
      </c>
      <c r="F85" s="30" t="s">
        <v>509</v>
      </c>
      <c r="G85" s="3" t="s">
        <v>524</v>
      </c>
      <c r="H85" s="3" t="s">
        <v>525</v>
      </c>
      <c r="J85" s="3" t="s">
        <v>526</v>
      </c>
      <c r="M85" s="231"/>
      <c r="O85" s="6"/>
      <c r="Q85" s="233"/>
    </row>
    <row r="86" spans="1:17" ht="13">
      <c r="B86" s="4" t="s">
        <v>527</v>
      </c>
      <c r="C86" s="233" t="s">
        <v>528</v>
      </c>
      <c r="E86" s="781">
        <v>0.10299999999999999</v>
      </c>
      <c r="F86" s="233" t="s">
        <v>529</v>
      </c>
      <c r="G86" s="607">
        <v>45658</v>
      </c>
      <c r="H86" s="607">
        <v>46022</v>
      </c>
      <c r="I86" s="233"/>
      <c r="J86" s="367">
        <v>365</v>
      </c>
      <c r="K86" s="233"/>
      <c r="M86" s="231"/>
      <c r="O86" s="6"/>
      <c r="Q86" s="233"/>
    </row>
    <row r="87" spans="1:17" ht="13">
      <c r="B87" s="4" t="s">
        <v>530</v>
      </c>
      <c r="C87" s="233" t="s">
        <v>531</v>
      </c>
      <c r="E87" s="781"/>
      <c r="F87" s="233" t="s">
        <v>532</v>
      </c>
      <c r="G87" s="607"/>
      <c r="H87" s="607"/>
      <c r="I87" s="233"/>
      <c r="J87" s="367"/>
      <c r="K87" s="233"/>
      <c r="M87" s="231"/>
      <c r="O87" s="53"/>
      <c r="Q87" s="233"/>
    </row>
    <row r="88" spans="1:17" ht="13">
      <c r="B88" s="4" t="s">
        <v>533</v>
      </c>
      <c r="C88" s="233"/>
      <c r="E88" s="483"/>
      <c r="F88" s="233"/>
      <c r="G88" s="239"/>
      <c r="H88" s="239"/>
      <c r="I88" s="231" t="s">
        <v>534</v>
      </c>
      <c r="J88" s="234">
        <f>SUM(J86:J87)</f>
        <v>365</v>
      </c>
      <c r="K88" s="233"/>
      <c r="M88" s="231"/>
      <c r="O88" s="6"/>
      <c r="Q88" s="243"/>
    </row>
    <row r="89" spans="1:17" ht="13">
      <c r="B89" s="4" t="s">
        <v>535</v>
      </c>
      <c r="C89" s="233" t="s">
        <v>536</v>
      </c>
      <c r="E89" s="26">
        <f>((E86*J86) + (E87* J87)) / J88</f>
        <v>0.10299999999999999</v>
      </c>
      <c r="F89" s="233" t="s">
        <v>537</v>
      </c>
      <c r="H89" s="233"/>
      <c r="I89" s="233"/>
      <c r="J89" s="233"/>
      <c r="K89" s="233"/>
    </row>
    <row r="90" spans="1:17" ht="13">
      <c r="A90" s="2"/>
      <c r="B90" s="233"/>
      <c r="H90" s="233"/>
      <c r="I90" s="233"/>
      <c r="J90" s="233"/>
      <c r="K90" s="233"/>
    </row>
    <row r="91" spans="1:17" ht="13">
      <c r="A91" s="2"/>
      <c r="B91" s="233" t="s">
        <v>538</v>
      </c>
      <c r="H91" s="233"/>
      <c r="I91" s="233"/>
      <c r="J91" s="233"/>
      <c r="K91" s="233"/>
    </row>
    <row r="92" spans="1:17" ht="13">
      <c r="A92" s="2"/>
      <c r="B92" s="233"/>
      <c r="E92" s="30" t="s">
        <v>509</v>
      </c>
      <c r="H92" s="233"/>
      <c r="I92" s="233"/>
      <c r="J92" s="233"/>
      <c r="K92" s="233"/>
    </row>
    <row r="93" spans="1:17" ht="13">
      <c r="B93" s="4" t="s">
        <v>539</v>
      </c>
      <c r="C93" s="233" t="s">
        <v>540</v>
      </c>
      <c r="E93" s="198" t="s">
        <v>3114</v>
      </c>
      <c r="F93" s="54"/>
      <c r="G93" s="54"/>
      <c r="H93" s="240"/>
      <c r="I93" s="240"/>
      <c r="J93" s="240"/>
      <c r="K93" s="233"/>
    </row>
    <row r="94" spans="1:17" ht="13">
      <c r="B94" s="4" t="s">
        <v>541</v>
      </c>
      <c r="C94" s="233" t="s">
        <v>542</v>
      </c>
      <c r="E94" s="198" t="s">
        <v>3115</v>
      </c>
      <c r="F94" s="54"/>
      <c r="G94" s="54"/>
      <c r="H94" s="240"/>
      <c r="I94" s="240"/>
      <c r="J94" s="240"/>
      <c r="K94" s="233"/>
    </row>
    <row r="95" spans="1:17">
      <c r="C95" s="233"/>
      <c r="E95" s="239"/>
      <c r="I95" s="233"/>
      <c r="J95" s="233"/>
      <c r="K95" s="233"/>
    </row>
    <row r="96" spans="1:17" ht="13">
      <c r="E96" s="3" t="s">
        <v>523</v>
      </c>
      <c r="F96" s="30" t="s">
        <v>509</v>
      </c>
      <c r="H96" s="233"/>
      <c r="I96" s="233"/>
    </row>
    <row r="97" spans="1:11" ht="13">
      <c r="B97" s="4" t="s">
        <v>543</v>
      </c>
      <c r="C97" s="233" t="s">
        <v>544</v>
      </c>
      <c r="D97" s="233"/>
      <c r="E97" s="782">
        <f>'1-BaseTRR'!K90</f>
        <v>2.3021004082255818E-2</v>
      </c>
      <c r="F97" t="str">
        <f>"1-Base TRR L "&amp;'1-BaseTRR'!A90&amp;""</f>
        <v>1-Base TRR L 51</v>
      </c>
      <c r="H97" s="233"/>
      <c r="I97" s="233"/>
    </row>
    <row r="98" spans="1:11" ht="13">
      <c r="B98" s="4" t="s">
        <v>545</v>
      </c>
      <c r="C98" s="233" t="s">
        <v>546</v>
      </c>
      <c r="E98" s="782">
        <f>'1-BaseTRR'!K91</f>
        <v>2.6398157491956376E-3</v>
      </c>
      <c r="F98" t="str">
        <f>"1-Base TRR L "&amp;'1-BaseTRR'!A91&amp;""</f>
        <v>1-Base TRR L 52</v>
      </c>
      <c r="H98" s="233"/>
      <c r="I98" s="233"/>
    </row>
    <row r="99" spans="1:11" ht="13">
      <c r="B99" s="4" t="s">
        <v>547</v>
      </c>
      <c r="C99" s="233" t="s">
        <v>548</v>
      </c>
      <c r="E99" s="783">
        <f>('1-BaseTRR'!K82) * E89</f>
        <v>4.8924999999999996E-2</v>
      </c>
      <c r="F99" t="str">
        <f>"1-Base TRR L "&amp;'1-BaseTRR'!A82&amp;" * Line d"</f>
        <v>1-Base TRR L 47 * Line d</v>
      </c>
      <c r="G99" s="233"/>
      <c r="H99" s="233"/>
    </row>
    <row r="100" spans="1:11" ht="13">
      <c r="B100" s="2" t="s">
        <v>549</v>
      </c>
      <c r="C100" s="232" t="s">
        <v>174</v>
      </c>
      <c r="E100" s="993">
        <f>SUM(E97:E99)</f>
        <v>7.4585819831451447E-2</v>
      </c>
      <c r="F100" s="6" t="str">
        <f>"Sum of Lines "&amp;B97&amp;" to "&amp;B99&amp;""</f>
        <v>Sum of Lines g to i</v>
      </c>
      <c r="G100" s="234"/>
      <c r="J100" s="46"/>
    </row>
    <row r="101" spans="1:11" ht="13">
      <c r="A101" s="2"/>
      <c r="C101" s="14"/>
      <c r="D101" s="17"/>
      <c r="E101" s="6"/>
      <c r="F101" s="6"/>
      <c r="G101" s="234"/>
      <c r="H101" s="6"/>
      <c r="J101" s="46"/>
    </row>
    <row r="102" spans="1:11" ht="13">
      <c r="A102" s="2"/>
      <c r="B102" s="233" t="s">
        <v>550</v>
      </c>
    </row>
    <row r="103" spans="1:11" ht="13">
      <c r="A103" s="2"/>
    </row>
    <row r="104" spans="1:11" ht="13">
      <c r="A104" s="2"/>
      <c r="E104" s="3" t="s">
        <v>523</v>
      </c>
      <c r="F104" s="30" t="s">
        <v>509</v>
      </c>
    </row>
    <row r="105" spans="1:11" ht="13">
      <c r="B105" s="4" t="s">
        <v>551</v>
      </c>
      <c r="E105" s="782">
        <f>E98+E99</f>
        <v>5.1564815749195636E-2</v>
      </c>
      <c r="F105" s="6" t="str">
        <f>"Sum of Lines "&amp;B98&amp;" to "&amp;B99&amp;""</f>
        <v>Sum of Lines h to i</v>
      </c>
    </row>
    <row r="106" spans="1:11" ht="13">
      <c r="A106" s="2"/>
      <c r="E106" s="7"/>
      <c r="F106" s="6"/>
    </row>
    <row r="107" spans="1:11" ht="13">
      <c r="A107" s="2"/>
      <c r="B107" s="32" t="s">
        <v>233</v>
      </c>
      <c r="E107" s="234"/>
      <c r="F107" s="234"/>
      <c r="G107" s="234"/>
      <c r="H107" s="6"/>
    </row>
    <row r="108" spans="1:11" ht="13">
      <c r="A108" s="2"/>
      <c r="B108" s="233" t="s">
        <v>552</v>
      </c>
    </row>
    <row r="109" spans="1:11" ht="13">
      <c r="A109" s="2"/>
      <c r="B109" s="232" t="s">
        <v>553</v>
      </c>
      <c r="D109" s="2"/>
      <c r="E109" s="2"/>
      <c r="F109" s="2"/>
      <c r="G109" s="2"/>
      <c r="H109" s="2"/>
    </row>
    <row r="110" spans="1:11" ht="13">
      <c r="A110" s="2"/>
      <c r="B110" s="235" t="s">
        <v>554</v>
      </c>
      <c r="C110" s="233"/>
      <c r="D110" s="2"/>
      <c r="E110" s="2"/>
      <c r="F110" s="2"/>
      <c r="G110" s="2"/>
      <c r="H110" s="2"/>
      <c r="I110" s="233"/>
      <c r="J110" s="233"/>
      <c r="K110" s="233"/>
    </row>
    <row r="111" spans="1:11" ht="13">
      <c r="A111" s="2"/>
      <c r="B111" s="232" t="s">
        <v>555</v>
      </c>
      <c r="C111" s="19"/>
      <c r="D111" s="19"/>
      <c r="E111" s="2"/>
      <c r="F111" s="2"/>
      <c r="G111" s="2"/>
      <c r="H111" s="2"/>
      <c r="I111" s="233"/>
      <c r="J111" s="233"/>
      <c r="K111" s="233"/>
    </row>
    <row r="112" spans="1:11" ht="13">
      <c r="A112" s="2"/>
      <c r="B112" s="232" t="s">
        <v>556</v>
      </c>
      <c r="C112" s="233"/>
      <c r="D112" s="233"/>
      <c r="E112" s="233"/>
      <c r="F112" s="233"/>
      <c r="G112" s="233"/>
      <c r="H112" s="233"/>
      <c r="I112" s="233"/>
      <c r="J112" s="233"/>
      <c r="K112" s="233"/>
    </row>
    <row r="113" spans="1:11" ht="13">
      <c r="A113" s="2"/>
      <c r="B113" s="279" t="s">
        <v>557</v>
      </c>
      <c r="C113" s="233"/>
      <c r="D113" s="233"/>
      <c r="E113" s="233"/>
      <c r="F113" s="233"/>
      <c r="G113" s="233"/>
      <c r="H113" s="233"/>
      <c r="I113" s="233"/>
      <c r="J113" s="233"/>
      <c r="K113" s="233"/>
    </row>
    <row r="114" spans="1:11" ht="13">
      <c r="A114" s="2"/>
    </row>
    <row r="115" spans="1:11" ht="13">
      <c r="A115" s="2"/>
      <c r="C115" s="14"/>
      <c r="E115" s="6"/>
      <c r="F115" s="6"/>
      <c r="H115" s="6"/>
      <c r="J115" s="46"/>
    </row>
    <row r="116" spans="1:11" ht="13">
      <c r="A116" s="2"/>
      <c r="C116" s="14"/>
      <c r="E116" s="6"/>
      <c r="F116" s="6"/>
      <c r="H116" s="6"/>
      <c r="J116" s="46"/>
    </row>
    <row r="117" spans="1:11" ht="13">
      <c r="A117" s="32"/>
      <c r="C117" s="14"/>
      <c r="E117" s="6"/>
      <c r="F117" s="6"/>
      <c r="H117" s="6"/>
      <c r="J117" s="46"/>
    </row>
    <row r="118" spans="1:11" ht="13">
      <c r="A118" s="2"/>
      <c r="D118" s="22"/>
      <c r="E118" s="6"/>
      <c r="F118" s="6"/>
      <c r="G118" s="233"/>
      <c r="H118" s="6"/>
      <c r="J118" s="46"/>
    </row>
    <row r="119" spans="1:11" ht="13">
      <c r="A119" s="2"/>
      <c r="C119" s="14"/>
      <c r="D119" s="231"/>
      <c r="E119" s="53"/>
      <c r="F119" s="6"/>
      <c r="G119" s="233"/>
      <c r="H119" s="6"/>
      <c r="J119" s="46"/>
    </row>
    <row r="120" spans="1:11" ht="13">
      <c r="A120" s="2"/>
      <c r="C120" s="14"/>
      <c r="D120" s="231"/>
      <c r="E120" s="6"/>
      <c r="F120" s="6"/>
      <c r="G120" s="233"/>
      <c r="H120" s="6"/>
      <c r="J120" s="46"/>
    </row>
    <row r="121" spans="1:11" ht="13">
      <c r="A121" s="2"/>
    </row>
    <row r="122" spans="1:11" ht="13">
      <c r="A122" s="2"/>
      <c r="B122" s="1"/>
    </row>
    <row r="123" spans="1:11" ht="13">
      <c r="A123" s="2"/>
    </row>
    <row r="124" spans="1:11" ht="13">
      <c r="A124" s="2"/>
    </row>
    <row r="125" spans="1:11" ht="13">
      <c r="A125" s="2"/>
      <c r="F125" s="2"/>
    </row>
    <row r="126" spans="1:11" ht="13">
      <c r="A126" s="2"/>
      <c r="F126" s="2"/>
    </row>
    <row r="127" spans="1:11" ht="13">
      <c r="A127" s="2"/>
      <c r="D127" s="2"/>
      <c r="E127" s="2"/>
      <c r="F127" s="2"/>
      <c r="H127" s="2"/>
    </row>
    <row r="128" spans="1:11" ht="13">
      <c r="A128" s="2"/>
      <c r="D128" s="2"/>
      <c r="E128" s="2"/>
      <c r="F128" s="2"/>
      <c r="G128" s="2"/>
      <c r="H128" s="4"/>
    </row>
    <row r="129" spans="1:8" ht="13">
      <c r="A129" s="32"/>
      <c r="C129" s="18"/>
      <c r="D129" s="18"/>
      <c r="E129" s="3"/>
      <c r="F129" s="48"/>
      <c r="G129" s="3"/>
      <c r="H129" s="4"/>
    </row>
    <row r="130" spans="1:8" ht="13">
      <c r="A130" s="2"/>
      <c r="C130" s="14"/>
      <c r="D130" s="17"/>
      <c r="E130" s="6"/>
      <c r="F130" s="6"/>
      <c r="G130" s="26"/>
      <c r="H130" s="6"/>
    </row>
    <row r="131" spans="1:8" ht="13">
      <c r="A131" s="2"/>
      <c r="C131" s="14"/>
      <c r="D131" s="17"/>
      <c r="E131" s="6"/>
      <c r="F131" s="6"/>
      <c r="G131" s="26"/>
      <c r="H131" s="6"/>
    </row>
    <row r="132" spans="1:8" ht="13">
      <c r="A132" s="2"/>
      <c r="C132" s="14"/>
      <c r="D132" s="17"/>
      <c r="E132" s="6"/>
      <c r="F132" s="6"/>
      <c r="G132" s="26"/>
      <c r="H132" s="6"/>
    </row>
    <row r="133" spans="1:8" ht="13">
      <c r="A133" s="2"/>
      <c r="C133" s="14"/>
      <c r="D133" s="17"/>
      <c r="E133" s="6"/>
      <c r="F133" s="6"/>
      <c r="G133" s="26"/>
      <c r="H133" s="6"/>
    </row>
    <row r="134" spans="1:8" ht="13">
      <c r="A134" s="2"/>
      <c r="C134" s="14"/>
      <c r="D134" s="17"/>
      <c r="E134" s="6"/>
      <c r="F134" s="6"/>
      <c r="G134" s="26"/>
      <c r="H134" s="6"/>
    </row>
    <row r="135" spans="1:8" ht="13">
      <c r="A135" s="2"/>
      <c r="C135" s="14"/>
      <c r="D135" s="17"/>
      <c r="E135" s="6"/>
      <c r="F135" s="6"/>
      <c r="G135" s="26"/>
      <c r="H135" s="6"/>
    </row>
    <row r="136" spans="1:8" ht="13">
      <c r="A136" s="2"/>
      <c r="C136" s="14"/>
      <c r="D136" s="17"/>
      <c r="E136" s="6"/>
      <c r="F136" s="6"/>
      <c r="G136" s="26"/>
      <c r="H136" s="6"/>
    </row>
    <row r="137" spans="1:8" ht="13">
      <c r="A137" s="2"/>
      <c r="C137" s="14"/>
      <c r="D137" s="17"/>
      <c r="E137" s="6"/>
      <c r="F137" s="6"/>
      <c r="G137" s="26"/>
      <c r="H137" s="6"/>
    </row>
    <row r="138" spans="1:8" ht="13">
      <c r="A138" s="2"/>
      <c r="C138" s="14"/>
      <c r="D138" s="17"/>
      <c r="E138" s="6"/>
      <c r="F138" s="6"/>
      <c r="G138" s="26"/>
      <c r="H138" s="6"/>
    </row>
    <row r="139" spans="1:8" ht="13">
      <c r="A139" s="2"/>
      <c r="C139" s="14"/>
      <c r="D139" s="17"/>
      <c r="E139" s="6"/>
      <c r="F139" s="6"/>
      <c r="G139" s="26"/>
      <c r="H139" s="6"/>
    </row>
    <row r="140" spans="1:8" ht="13">
      <c r="A140" s="2"/>
      <c r="C140" s="14"/>
      <c r="D140" s="17"/>
      <c r="E140" s="6"/>
      <c r="F140" s="6"/>
      <c r="G140" s="26"/>
      <c r="H140" s="6"/>
    </row>
    <row r="141" spans="1:8" ht="13">
      <c r="A141" s="2"/>
      <c r="C141" s="14"/>
      <c r="D141" s="17"/>
      <c r="E141" s="6"/>
      <c r="F141" s="6"/>
      <c r="G141" s="26"/>
      <c r="H141" s="53"/>
    </row>
    <row r="142" spans="1:8" ht="13">
      <c r="A142" s="2"/>
      <c r="H142" s="6"/>
    </row>
    <row r="143" spans="1:8" ht="13">
      <c r="A143" s="2"/>
      <c r="C143" s="14"/>
      <c r="D143" s="17"/>
      <c r="F143" s="41"/>
      <c r="G143" s="26"/>
      <c r="H143" s="41"/>
    </row>
    <row r="144" spans="1:8" ht="13">
      <c r="A144" s="2"/>
      <c r="B144" s="1"/>
      <c r="C144" s="14"/>
      <c r="D144" s="17"/>
      <c r="F144" s="41"/>
      <c r="G144" s="26"/>
      <c r="H144" s="41"/>
    </row>
    <row r="145" spans="1:8" ht="13">
      <c r="A145" s="32"/>
      <c r="B145" s="1"/>
      <c r="C145" s="14"/>
      <c r="D145" s="17"/>
      <c r="F145" s="41"/>
      <c r="G145" s="26"/>
      <c r="H145" s="41"/>
    </row>
    <row r="146" spans="1:8" ht="13">
      <c r="A146" s="2"/>
      <c r="C146" s="14"/>
      <c r="D146" s="49"/>
      <c r="E146" s="6"/>
      <c r="F146" s="250"/>
      <c r="G146" s="26"/>
      <c r="H146" s="41"/>
    </row>
    <row r="147" spans="1:8" ht="13">
      <c r="A147" s="2"/>
      <c r="C147" s="14"/>
      <c r="D147" s="25"/>
      <c r="E147" s="6"/>
      <c r="F147" s="250"/>
      <c r="G147" s="26"/>
      <c r="H147" s="41"/>
    </row>
    <row r="148" spans="1:8" ht="13">
      <c r="A148" s="2"/>
      <c r="C148" s="14"/>
      <c r="D148" s="25"/>
      <c r="E148" s="53"/>
      <c r="F148" s="250"/>
      <c r="G148" s="26"/>
      <c r="H148" s="41"/>
    </row>
    <row r="149" spans="1:8" ht="13">
      <c r="A149" s="2"/>
      <c r="C149" s="14"/>
      <c r="D149" s="49"/>
      <c r="E149" s="6"/>
      <c r="F149" s="41"/>
      <c r="G149" s="26"/>
      <c r="H149" s="41"/>
    </row>
    <row r="150" spans="1:8" ht="13">
      <c r="A150" s="2"/>
      <c r="C150" s="14"/>
      <c r="D150" s="17"/>
      <c r="F150" s="41"/>
      <c r="G150" s="26"/>
      <c r="H150" s="41"/>
    </row>
    <row r="151" spans="1:8" ht="13">
      <c r="A151" s="2"/>
    </row>
    <row r="152" spans="1:8" ht="13">
      <c r="A152" s="2"/>
    </row>
    <row r="153" spans="1:8" ht="13">
      <c r="A153" s="2"/>
    </row>
    <row r="154" spans="1:8" ht="13">
      <c r="A154" s="2"/>
      <c r="B154" s="1"/>
    </row>
    <row r="155" spans="1:8" ht="13">
      <c r="A155" s="2"/>
      <c r="B155" s="233"/>
    </row>
    <row r="156" spans="1:8" ht="13">
      <c r="A156" s="2"/>
      <c r="B156" s="233"/>
    </row>
    <row r="157" spans="1:8" ht="13">
      <c r="A157" s="2"/>
      <c r="B157" s="233"/>
    </row>
    <row r="158" spans="1:8" ht="13">
      <c r="A158" s="2"/>
    </row>
    <row r="159" spans="1:8" ht="13">
      <c r="A159" s="2"/>
      <c r="B159" s="1"/>
    </row>
    <row r="160" spans="1:8" ht="13">
      <c r="A160" s="2"/>
    </row>
    <row r="161" spans="1:6" ht="13">
      <c r="A161" s="32"/>
      <c r="C161" s="18"/>
      <c r="D161" s="3"/>
    </row>
    <row r="162" spans="1:6" ht="13">
      <c r="A162" s="2"/>
      <c r="C162" s="14"/>
      <c r="D162" s="80"/>
      <c r="F162" s="7"/>
    </row>
    <row r="163" spans="1:6" ht="13">
      <c r="A163" s="2"/>
      <c r="C163" s="14"/>
      <c r="D163" s="80"/>
      <c r="F163" s="7"/>
    </row>
    <row r="164" spans="1:6" ht="13">
      <c r="A164" s="2"/>
      <c r="C164" s="14"/>
      <c r="D164" s="80"/>
      <c r="F164" s="7"/>
    </row>
    <row r="165" spans="1:6" ht="13">
      <c r="A165" s="2"/>
      <c r="C165" s="14"/>
      <c r="D165" s="80"/>
      <c r="F165" s="7"/>
    </row>
    <row r="166" spans="1:6" ht="13">
      <c r="A166" s="2"/>
      <c r="C166" s="14"/>
      <c r="D166" s="80"/>
      <c r="F166" s="7"/>
    </row>
    <row r="167" spans="1:6" ht="13">
      <c r="A167" s="2"/>
      <c r="C167" s="14"/>
      <c r="D167" s="80"/>
      <c r="F167" s="7"/>
    </row>
    <row r="168" spans="1:6" ht="13">
      <c r="A168" s="2"/>
      <c r="C168" s="14"/>
      <c r="D168" s="80"/>
      <c r="F168" s="7"/>
    </row>
    <row r="169" spans="1:6" ht="13">
      <c r="A169" s="2"/>
      <c r="C169" s="14"/>
      <c r="D169" s="80"/>
      <c r="F169" s="7"/>
    </row>
    <row r="170" spans="1:6" ht="13">
      <c r="A170" s="2"/>
      <c r="C170" s="14"/>
      <c r="D170" s="80"/>
      <c r="F170" s="7"/>
    </row>
    <row r="171" spans="1:6" ht="13">
      <c r="A171" s="2"/>
      <c r="C171" s="14"/>
      <c r="D171" s="80"/>
      <c r="F171" s="7"/>
    </row>
    <row r="172" spans="1:6" ht="13">
      <c r="A172" s="2"/>
      <c r="C172" s="14"/>
      <c r="D172" s="80"/>
      <c r="F172" s="7"/>
    </row>
    <row r="173" spans="1:6" ht="13">
      <c r="A173" s="2"/>
      <c r="C173" s="14"/>
      <c r="D173" s="81"/>
      <c r="F173" s="29"/>
    </row>
    <row r="174" spans="1:6" ht="13">
      <c r="A174" s="2"/>
      <c r="C174" s="22"/>
      <c r="D174" s="80"/>
    </row>
  </sheetData>
  <phoneticPr fontId="26" type="noConversion"/>
  <pageMargins left="0.75" right="0.75" top="1" bottom="1" header="0.5" footer="0.5"/>
  <pageSetup scale="74" orientation="landscape" cellComments="asDisplayed" r:id="rId1"/>
  <headerFooter alignWithMargins="0">
    <oddHeader>&amp;CSchedule 4
True Up TRR
&amp;RTO2027 Draft Annual Update 
Attachment 1</oddHeader>
    <oddFooter>&amp;R&amp;A</oddFooter>
  </headerFooter>
  <rowBreaks count="4" manualBreakCount="4">
    <brk id="47" max="9" man="1"/>
    <brk id="75" max="16383" man="1"/>
    <brk id="121" max="9" man="1"/>
    <brk id="1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workbookViewId="0"/>
  </sheetViews>
  <sheetFormatPr defaultColWidth="8.54296875" defaultRowHeight="12.5"/>
  <cols>
    <col min="1" max="1" width="4.54296875" customWidth="1"/>
    <col min="2" max="2" width="3.54296875" customWidth="1"/>
    <col min="4" max="4" width="13.54296875" customWidth="1"/>
    <col min="6" max="7" width="10.54296875" customWidth="1"/>
    <col min="9" max="9" width="27.54296875" customWidth="1"/>
    <col min="10" max="10" width="30.54296875" customWidth="1"/>
    <col min="11" max="11" width="2.54296875" customWidth="1"/>
    <col min="12" max="12" width="16.54296875" customWidth="1"/>
    <col min="13" max="13" width="1.54296875" customWidth="1"/>
    <col min="14" max="14" width="4.54296875" customWidth="1"/>
    <col min="15" max="28" width="14.54296875" customWidth="1"/>
  </cols>
  <sheetData>
    <row r="1" spans="1:28" ht="13">
      <c r="A1" s="1" t="s">
        <v>558</v>
      </c>
      <c r="J1" s="54" t="s">
        <v>99</v>
      </c>
    </row>
    <row r="2" spans="1:28" ht="13">
      <c r="B2" s="1"/>
      <c r="I2" s="2"/>
      <c r="J2" s="2" t="s">
        <v>101</v>
      </c>
      <c r="L2" s="126">
        <v>2025</v>
      </c>
    </row>
    <row r="3" spans="1:28" ht="13">
      <c r="I3" s="3" t="s">
        <v>103</v>
      </c>
      <c r="J3" s="3" t="s">
        <v>104</v>
      </c>
      <c r="L3" s="3" t="s">
        <v>105</v>
      </c>
    </row>
    <row r="5" spans="1:28" ht="13">
      <c r="A5" s="9" t="s">
        <v>148</v>
      </c>
      <c r="B5" s="63"/>
      <c r="C5" s="10"/>
      <c r="D5" s="10"/>
      <c r="E5" s="10"/>
      <c r="F5" s="10"/>
      <c r="G5" s="10"/>
      <c r="H5" s="10"/>
      <c r="I5" s="8"/>
      <c r="J5" s="8"/>
      <c r="K5" s="8"/>
      <c r="L5" s="8"/>
      <c r="N5" s="64"/>
      <c r="O5" s="65"/>
      <c r="P5" s="65"/>
      <c r="Q5" s="65"/>
      <c r="R5" s="65"/>
      <c r="S5" s="65"/>
      <c r="T5" s="65"/>
    </row>
    <row r="6" spans="1:28" ht="13">
      <c r="B6" s="1"/>
      <c r="C6" s="233"/>
      <c r="D6" s="233"/>
      <c r="E6" s="233"/>
      <c r="F6" s="233"/>
      <c r="G6" s="233"/>
      <c r="H6" s="233"/>
      <c r="I6" s="233"/>
      <c r="J6" s="233"/>
      <c r="K6" s="233"/>
      <c r="L6" s="233"/>
      <c r="O6" s="48"/>
      <c r="P6" s="48"/>
      <c r="Q6" s="48"/>
      <c r="R6" s="48"/>
      <c r="S6" s="48"/>
      <c r="T6" s="48"/>
      <c r="U6" s="48"/>
      <c r="V6" s="48"/>
      <c r="W6" s="48"/>
      <c r="X6" s="48"/>
      <c r="Y6" s="48"/>
      <c r="Z6" s="48"/>
      <c r="AA6" s="48"/>
      <c r="AB6" s="48"/>
    </row>
    <row r="7" spans="1:28" ht="13">
      <c r="A7" s="32" t="s">
        <v>102</v>
      </c>
      <c r="B7" s="1"/>
      <c r="C7" s="28" t="s">
        <v>559</v>
      </c>
      <c r="D7" s="233"/>
      <c r="E7" s="233"/>
      <c r="F7" s="233"/>
      <c r="G7" s="233"/>
      <c r="H7" s="233"/>
      <c r="I7" s="233"/>
      <c r="J7" s="233"/>
      <c r="K7" s="233"/>
      <c r="L7" s="233"/>
      <c r="N7" s="32"/>
      <c r="O7" s="25"/>
      <c r="P7" s="244"/>
      <c r="Q7" s="239"/>
      <c r="R7" s="239"/>
      <c r="S7" s="239"/>
      <c r="T7" s="239"/>
      <c r="U7" s="239"/>
      <c r="V7" s="239"/>
      <c r="W7" s="239"/>
      <c r="X7" s="239"/>
      <c r="Y7" s="239"/>
      <c r="Z7" s="239"/>
      <c r="AA7" s="239"/>
      <c r="AB7" s="239"/>
    </row>
    <row r="8" spans="1:28" ht="13">
      <c r="A8" s="2">
        <v>1</v>
      </c>
      <c r="B8" s="1"/>
      <c r="C8" s="233" t="s">
        <v>560</v>
      </c>
      <c r="D8" s="233"/>
      <c r="E8" s="233"/>
      <c r="F8" s="233"/>
      <c r="G8" s="233"/>
      <c r="H8" s="233"/>
      <c r="I8" s="233" t="s">
        <v>561</v>
      </c>
      <c r="J8" s="232" t="str">
        <f>"5-ROR-2, Line "&amp;'5-ROR-2'!A8&amp;""</f>
        <v>5-ROR-2, Line 1</v>
      </c>
      <c r="K8" s="233"/>
      <c r="L8" s="235">
        <f>'5-ROR-2'!C8</f>
        <v>30182669230.718464</v>
      </c>
      <c r="N8" s="2"/>
      <c r="O8" s="235"/>
      <c r="P8" s="235"/>
      <c r="Q8" s="235"/>
      <c r="R8" s="235"/>
      <c r="S8" s="235"/>
      <c r="T8" s="235"/>
      <c r="U8" s="235"/>
      <c r="V8" s="235"/>
      <c r="W8" s="235"/>
      <c r="X8" s="235"/>
      <c r="Y8" s="235"/>
      <c r="Z8" s="235"/>
      <c r="AA8" s="235"/>
      <c r="AB8" s="235"/>
    </row>
    <row r="9" spans="1:28" ht="13">
      <c r="A9" s="2">
        <f>A8+1</f>
        <v>2</v>
      </c>
      <c r="B9" s="1"/>
      <c r="C9" s="233" t="s">
        <v>562</v>
      </c>
      <c r="D9" s="233"/>
      <c r="E9" s="233"/>
      <c r="F9" s="233"/>
      <c r="G9" s="233"/>
      <c r="H9" s="233"/>
      <c r="I9" s="233" t="s">
        <v>561</v>
      </c>
      <c r="J9" s="232" t="str">
        <f>"5-ROR-2, Line "&amp;'5-ROR-2'!A10&amp;""</f>
        <v>5-ROR-2, Line 2</v>
      </c>
      <c r="K9" s="233"/>
      <c r="L9" s="235">
        <f>'5-ROR-2'!C10</f>
        <v>0</v>
      </c>
      <c r="N9" s="2"/>
      <c r="O9" s="235"/>
      <c r="P9" s="235"/>
      <c r="Q9" s="235"/>
      <c r="R9" s="235"/>
      <c r="S9" s="235"/>
      <c r="T9" s="235"/>
      <c r="U9" s="235"/>
      <c r="V9" s="235"/>
      <c r="W9" s="235"/>
      <c r="X9" s="235"/>
      <c r="Y9" s="235"/>
      <c r="Z9" s="235"/>
      <c r="AA9" s="235"/>
      <c r="AB9" s="235"/>
    </row>
    <row r="10" spans="1:28" ht="13">
      <c r="A10" s="2" t="s">
        <v>563</v>
      </c>
      <c r="B10" s="1"/>
      <c r="C10" s="233" t="s">
        <v>564</v>
      </c>
      <c r="D10" s="586"/>
      <c r="E10" s="586"/>
      <c r="F10" s="586"/>
      <c r="G10" s="586"/>
      <c r="H10" s="586"/>
      <c r="I10" s="233" t="s">
        <v>561</v>
      </c>
      <c r="J10" s="232" t="str">
        <f>"5-ROR-2, Line "&amp;'5-ROR-2'!A12&amp;""</f>
        <v>5-ROR-2, Line 2a</v>
      </c>
      <c r="K10" s="233"/>
      <c r="L10" s="235">
        <f>'5-ROR-2'!C12</f>
        <v>0</v>
      </c>
      <c r="N10" s="2"/>
      <c r="O10" s="235"/>
      <c r="P10" s="235"/>
      <c r="Q10" s="235"/>
      <c r="R10" s="235"/>
      <c r="S10" s="235"/>
      <c r="T10" s="235"/>
      <c r="U10" s="235"/>
      <c r="V10" s="235"/>
      <c r="W10" s="235"/>
      <c r="X10" s="235"/>
      <c r="Y10" s="235"/>
      <c r="Z10" s="235"/>
      <c r="AA10" s="235"/>
      <c r="AB10" s="235"/>
    </row>
    <row r="11" spans="1:28" ht="13">
      <c r="A11" s="2">
        <f>A9+1</f>
        <v>3</v>
      </c>
      <c r="B11" s="1"/>
      <c r="C11" s="233" t="s">
        <v>565</v>
      </c>
      <c r="D11" s="233"/>
      <c r="E11" s="233"/>
      <c r="F11" s="233"/>
      <c r="G11" s="233"/>
      <c r="H11" s="233"/>
      <c r="I11" s="233" t="s">
        <v>561</v>
      </c>
      <c r="J11" s="232" t="str">
        <f>"5-ROR-2, Line "&amp;'5-ROR-2'!A14&amp;""</f>
        <v>5-ROR-2, Line 3</v>
      </c>
      <c r="K11" s="233"/>
      <c r="L11" s="235">
        <f>'5-ROR-2'!C14</f>
        <v>305960246.52615386</v>
      </c>
      <c r="N11" s="2"/>
      <c r="O11" s="235"/>
      <c r="P11" s="235"/>
      <c r="Q11" s="235"/>
      <c r="R11" s="235"/>
      <c r="S11" s="235"/>
      <c r="T11" s="235"/>
      <c r="U11" s="235"/>
      <c r="V11" s="235"/>
      <c r="W11" s="235"/>
      <c r="X11" s="235"/>
      <c r="Y11" s="235"/>
      <c r="Z11" s="235"/>
      <c r="AA11" s="235"/>
      <c r="AB11" s="235"/>
    </row>
    <row r="12" spans="1:28" ht="13">
      <c r="A12" s="2">
        <v>4</v>
      </c>
      <c r="B12" s="1"/>
      <c r="C12" s="232" t="s">
        <v>150</v>
      </c>
      <c r="D12" s="233"/>
      <c r="E12" s="233"/>
      <c r="F12" s="233"/>
      <c r="G12" s="233"/>
      <c r="H12" s="233"/>
      <c r="J12" s="232" t="str">
        <f>"L"&amp;A8&amp;" + L"&amp;A9&amp;" + L"&amp;A10&amp;" + L"&amp;A11&amp;""</f>
        <v>L1 + L2 + L2a + L3</v>
      </c>
      <c r="K12" s="233"/>
      <c r="L12" s="862">
        <f>SUM(L8:L11)</f>
        <v>30488629477.244617</v>
      </c>
    </row>
    <row r="13" spans="1:28" ht="13">
      <c r="B13" s="1"/>
      <c r="C13" s="233"/>
      <c r="D13" s="233"/>
      <c r="E13" s="233"/>
      <c r="F13" s="233"/>
      <c r="G13" s="233" t="s">
        <v>132</v>
      </c>
      <c r="H13" s="233"/>
      <c r="I13" s="233"/>
      <c r="J13" s="232"/>
      <c r="K13" s="233"/>
      <c r="L13" s="233"/>
    </row>
    <row r="14" spans="1:28" ht="13">
      <c r="A14" s="2"/>
      <c r="B14" s="1"/>
      <c r="C14" s="28" t="s">
        <v>566</v>
      </c>
      <c r="D14" s="233"/>
      <c r="E14" s="233"/>
      <c r="F14" s="233"/>
      <c r="G14" s="233"/>
      <c r="H14" s="233"/>
      <c r="I14" s="233"/>
      <c r="J14" s="232"/>
      <c r="K14" s="233"/>
      <c r="L14" s="233"/>
    </row>
    <row r="15" spans="1:28" ht="13">
      <c r="A15" s="2">
        <f>A12+1</f>
        <v>5</v>
      </c>
      <c r="B15" s="1"/>
      <c r="C15" s="233" t="s">
        <v>567</v>
      </c>
      <c r="D15" s="233"/>
      <c r="E15" s="233"/>
      <c r="F15" s="233"/>
      <c r="G15" s="233"/>
      <c r="H15" s="233"/>
      <c r="I15" s="233"/>
      <c r="J15" s="232" t="s">
        <v>568</v>
      </c>
      <c r="K15" s="233"/>
      <c r="L15" s="529">
        <v>1411372448</v>
      </c>
    </row>
    <row r="16" spans="1:28" ht="13">
      <c r="A16" s="2">
        <f>A15+1</f>
        <v>6</v>
      </c>
      <c r="B16" s="1"/>
      <c r="C16" s="233" t="s">
        <v>569</v>
      </c>
      <c r="D16" s="233"/>
      <c r="E16" s="233"/>
      <c r="F16" s="233"/>
      <c r="G16" s="233"/>
      <c r="H16" s="233"/>
      <c r="I16" s="233"/>
      <c r="J16" s="232" t="s">
        <v>570</v>
      </c>
      <c r="K16" s="233"/>
      <c r="L16" s="529">
        <v>31025549</v>
      </c>
    </row>
    <row r="17" spans="1:28" ht="13">
      <c r="A17" s="2">
        <f t="shared" ref="A17:A19" si="0">A16+1</f>
        <v>7</v>
      </c>
      <c r="B17" s="1"/>
      <c r="C17" s="233" t="s">
        <v>571</v>
      </c>
      <c r="D17" s="233"/>
      <c r="E17" s="233"/>
      <c r="F17" s="233"/>
      <c r="G17" s="233"/>
      <c r="H17" s="233"/>
      <c r="I17" s="233"/>
      <c r="J17" s="232" t="s">
        <v>572</v>
      </c>
      <c r="K17" s="233"/>
      <c r="L17" s="529">
        <v>9338785</v>
      </c>
    </row>
    <row r="18" spans="1:28" ht="13">
      <c r="A18" s="2">
        <f t="shared" si="0"/>
        <v>8</v>
      </c>
      <c r="B18" s="1"/>
      <c r="C18" s="233" t="s">
        <v>573</v>
      </c>
      <c r="D18" s="233"/>
      <c r="E18" s="233"/>
      <c r="F18" s="233"/>
      <c r="G18" s="233"/>
      <c r="H18" s="233"/>
      <c r="I18" s="233" t="s">
        <v>574</v>
      </c>
      <c r="J18" s="232" t="s">
        <v>575</v>
      </c>
      <c r="K18" s="233"/>
      <c r="L18" s="529">
        <v>-5627973</v>
      </c>
    </row>
    <row r="19" spans="1:28" ht="13">
      <c r="A19" s="2">
        <f t="shared" si="0"/>
        <v>9</v>
      </c>
      <c r="B19" s="1"/>
      <c r="C19" s="233" t="s">
        <v>576</v>
      </c>
      <c r="D19" s="233"/>
      <c r="E19" s="233"/>
      <c r="F19" s="233"/>
      <c r="G19" s="233"/>
      <c r="H19" s="233"/>
      <c r="I19" s="233" t="s">
        <v>574</v>
      </c>
      <c r="J19" s="232" t="s">
        <v>577</v>
      </c>
      <c r="K19" s="233"/>
      <c r="L19" s="529">
        <v>0</v>
      </c>
    </row>
    <row r="20" spans="1:28" ht="13">
      <c r="A20" s="2">
        <v>10</v>
      </c>
      <c r="B20" s="1"/>
      <c r="C20" s="233" t="s">
        <v>578</v>
      </c>
      <c r="D20" s="233"/>
      <c r="E20" s="233"/>
      <c r="F20" s="233"/>
      <c r="G20" s="233"/>
      <c r="H20" s="233"/>
      <c r="I20" s="233"/>
      <c r="J20" s="232" t="s">
        <v>579</v>
      </c>
      <c r="K20" s="233"/>
      <c r="L20" s="529">
        <v>0</v>
      </c>
    </row>
    <row r="21" spans="1:28" ht="13">
      <c r="A21" s="2">
        <v>11</v>
      </c>
      <c r="B21" s="1"/>
      <c r="C21" s="232" t="s">
        <v>151</v>
      </c>
      <c r="D21" s="233"/>
      <c r="E21" s="233"/>
      <c r="F21" s="233"/>
      <c r="G21" s="233"/>
      <c r="H21" s="233"/>
      <c r="J21" s="232" t="str">
        <f>"Sum of Lines "&amp;A15&amp;" to "&amp;A20&amp;""</f>
        <v>Sum of Lines 5 to 10</v>
      </c>
      <c r="K21" s="233"/>
      <c r="L21" s="862">
        <f>SUM(L15:L20)</f>
        <v>1446108809</v>
      </c>
    </row>
    <row r="22" spans="1:28" ht="13">
      <c r="B22" s="1"/>
      <c r="C22" s="233"/>
      <c r="D22" s="233"/>
      <c r="E22" s="233"/>
      <c r="F22" s="233"/>
      <c r="G22" s="233"/>
      <c r="H22" s="233"/>
      <c r="I22" s="233"/>
      <c r="J22" s="232"/>
      <c r="K22" s="233"/>
      <c r="L22" s="233"/>
    </row>
    <row r="23" spans="1:28" ht="13">
      <c r="A23" s="2">
        <f>A21+1</f>
        <v>12</v>
      </c>
      <c r="B23" s="1"/>
      <c r="C23" s="233" t="s">
        <v>580</v>
      </c>
      <c r="D23" s="233"/>
      <c r="E23" s="233"/>
      <c r="F23" s="233"/>
      <c r="G23" s="233"/>
      <c r="H23" s="233"/>
      <c r="J23" s="232" t="str">
        <f>"Line "&amp;A21&amp;" / Line "&amp;A12&amp;""</f>
        <v>Line 11 / Line 4</v>
      </c>
      <c r="K23" s="233"/>
      <c r="L23" s="203">
        <f>L21/L12</f>
        <v>4.7431086073557768E-2</v>
      </c>
    </row>
    <row r="24" spans="1:28" ht="13">
      <c r="A24" s="2"/>
      <c r="B24" s="1"/>
      <c r="C24" s="233"/>
      <c r="D24" s="233"/>
      <c r="E24" s="233"/>
      <c r="F24" s="233"/>
      <c r="G24" s="233"/>
      <c r="H24" s="233"/>
      <c r="J24" s="232"/>
      <c r="K24" s="233"/>
      <c r="L24" s="203"/>
    </row>
    <row r="25" spans="1:28" ht="13">
      <c r="B25" s="1"/>
      <c r="C25" s="28" t="s">
        <v>581</v>
      </c>
      <c r="D25" s="233"/>
      <c r="E25" s="233"/>
      <c r="F25" s="233"/>
      <c r="G25" s="233"/>
      <c r="H25" s="233"/>
      <c r="I25" s="233"/>
      <c r="J25" s="232"/>
      <c r="K25" s="233"/>
      <c r="L25" s="233"/>
    </row>
    <row r="26" spans="1:28" ht="13">
      <c r="A26" s="2">
        <f>A23+1</f>
        <v>13</v>
      </c>
      <c r="B26" s="1"/>
      <c r="C26" s="233" t="s">
        <v>582</v>
      </c>
      <c r="D26" s="233"/>
      <c r="E26" s="233"/>
      <c r="F26" s="233"/>
      <c r="G26" s="233"/>
      <c r="H26" s="233"/>
      <c r="I26" s="233" t="s">
        <v>561</v>
      </c>
      <c r="J26" s="232" t="str">
        <f>"5-ROR-2, Line "&amp;'5-ROR-2'!A16&amp;""</f>
        <v>5-ROR-2, Line 4</v>
      </c>
      <c r="K26" s="233"/>
      <c r="L26" s="235">
        <f>'5-ROR-2'!C16</f>
        <v>2156115063.4615383</v>
      </c>
      <c r="N26" s="2"/>
      <c r="O26" s="235"/>
      <c r="P26" s="235"/>
      <c r="Q26" s="235"/>
      <c r="R26" s="235"/>
      <c r="S26" s="235"/>
      <c r="T26" s="235"/>
      <c r="U26" s="235"/>
      <c r="V26" s="235"/>
      <c r="W26" s="235"/>
      <c r="X26" s="235"/>
      <c r="Y26" s="235"/>
      <c r="Z26" s="235"/>
      <c r="AA26" s="235"/>
      <c r="AB26" s="235"/>
    </row>
    <row r="27" spans="1:28" ht="13">
      <c r="A27" s="2">
        <f t="shared" ref="A27:A28" si="1">A26+1</f>
        <v>14</v>
      </c>
      <c r="B27" s="1"/>
      <c r="C27" s="233" t="s">
        <v>583</v>
      </c>
      <c r="D27" s="233"/>
      <c r="E27" s="233"/>
      <c r="F27" s="233"/>
      <c r="G27" s="233"/>
      <c r="H27" s="233"/>
      <c r="I27" s="233" t="s">
        <v>561</v>
      </c>
      <c r="J27" s="232" t="str">
        <f>"5-ROR-2, Line "&amp;'5-ROR-2'!A18&amp;""</f>
        <v>5-ROR-2, Line 5</v>
      </c>
      <c r="K27" s="233"/>
      <c r="L27" s="235">
        <f>'5-ROR-2'!C18</f>
        <v>-25075772.616475608</v>
      </c>
      <c r="N27" s="2"/>
      <c r="O27" s="235"/>
      <c r="P27" s="235"/>
      <c r="Q27" s="235"/>
      <c r="R27" s="235"/>
      <c r="S27" s="235"/>
      <c r="T27" s="235"/>
      <c r="U27" s="235"/>
      <c r="V27" s="235"/>
      <c r="W27" s="235"/>
      <c r="X27" s="235"/>
      <c r="Y27" s="235"/>
      <c r="Z27" s="235"/>
      <c r="AA27" s="235"/>
      <c r="AB27" s="235"/>
    </row>
    <row r="28" spans="1:28" ht="13">
      <c r="A28" s="2">
        <f t="shared" si="1"/>
        <v>15</v>
      </c>
      <c r="B28" s="1"/>
      <c r="C28" s="233" t="s">
        <v>584</v>
      </c>
      <c r="D28" s="233"/>
      <c r="E28" s="233"/>
      <c r="F28" s="233"/>
      <c r="G28" s="233"/>
      <c r="H28" s="233"/>
      <c r="I28" s="233" t="s">
        <v>561</v>
      </c>
      <c r="J28" s="232" t="str">
        <f>"5-ROR-2, Line "&amp;'5-ROR-2'!A20&amp;""</f>
        <v>5-ROR-2, Line 6</v>
      </c>
      <c r="K28" s="233"/>
      <c r="L28" s="653">
        <f>'5-ROR-2'!C20</f>
        <v>-20830629.161009151</v>
      </c>
      <c r="N28" s="2"/>
      <c r="O28" s="235"/>
      <c r="P28" s="235"/>
      <c r="Q28" s="235"/>
      <c r="R28" s="235"/>
      <c r="S28" s="235"/>
      <c r="T28" s="235"/>
      <c r="U28" s="235"/>
      <c r="V28" s="235"/>
      <c r="W28" s="235"/>
      <c r="X28" s="235"/>
      <c r="Y28" s="235"/>
      <c r="Z28" s="235"/>
      <c r="AA28" s="235"/>
      <c r="AB28" s="235"/>
    </row>
    <row r="29" spans="1:28" ht="13">
      <c r="A29" s="2">
        <f>A28+1</f>
        <v>16</v>
      </c>
      <c r="B29" s="1"/>
      <c r="C29" s="232" t="s">
        <v>154</v>
      </c>
      <c r="D29" s="233"/>
      <c r="E29" s="233"/>
      <c r="F29" s="233"/>
      <c r="G29" s="233"/>
      <c r="H29" s="233"/>
      <c r="I29" s="233"/>
      <c r="J29" s="232" t="str">
        <f>"Sum of Lines "&amp;A26&amp;" to "&amp;A28&amp;""</f>
        <v>Sum of Lines 13 to 15</v>
      </c>
      <c r="K29" s="233"/>
      <c r="L29" s="235">
        <f>SUM(L26:L28)</f>
        <v>2110208661.6840537</v>
      </c>
    </row>
    <row r="30" spans="1:28" ht="13">
      <c r="A30" s="2"/>
      <c r="B30" s="1"/>
      <c r="C30" s="233"/>
      <c r="D30" s="233"/>
      <c r="E30" s="233"/>
      <c r="F30" s="233"/>
      <c r="G30" s="233"/>
      <c r="H30" s="233"/>
      <c r="I30" s="233"/>
      <c r="J30" s="232"/>
      <c r="K30" s="233"/>
      <c r="L30" s="235"/>
    </row>
    <row r="31" spans="1:28" ht="13">
      <c r="A31" s="2"/>
      <c r="B31" s="1"/>
      <c r="C31" s="28" t="s">
        <v>585</v>
      </c>
      <c r="D31" s="233"/>
      <c r="E31" s="233"/>
      <c r="F31" s="233"/>
      <c r="G31" s="233"/>
      <c r="H31" s="233"/>
      <c r="I31" s="233"/>
      <c r="J31" s="232"/>
      <c r="K31" s="233"/>
      <c r="L31" s="235"/>
    </row>
    <row r="32" spans="1:28" ht="13">
      <c r="A32" s="2">
        <f>A29+1</f>
        <v>17</v>
      </c>
      <c r="B32" s="1"/>
      <c r="C32" s="233" t="s">
        <v>586</v>
      </c>
      <c r="D32" s="233"/>
      <c r="E32" s="233"/>
      <c r="F32" s="233"/>
      <c r="G32" s="233"/>
      <c r="H32" s="233"/>
      <c r="I32" s="233" t="s">
        <v>587</v>
      </c>
      <c r="J32" s="232" t="s">
        <v>588</v>
      </c>
      <c r="K32" s="233"/>
      <c r="L32" s="529">
        <v>136513966</v>
      </c>
    </row>
    <row r="33" spans="1:28" ht="13">
      <c r="A33" s="2">
        <f>A32+1</f>
        <v>18</v>
      </c>
      <c r="B33" s="1"/>
      <c r="C33" s="233" t="s">
        <v>589</v>
      </c>
      <c r="D33" s="233"/>
      <c r="E33" s="233"/>
      <c r="F33" s="233"/>
      <c r="G33" s="233"/>
      <c r="H33" s="233"/>
      <c r="I33" s="233"/>
      <c r="J33" s="232" t="s">
        <v>590</v>
      </c>
      <c r="K33" s="233"/>
      <c r="L33" s="235">
        <f>'5-ROR-2'!H67</f>
        <v>1820137.8717344897</v>
      </c>
    </row>
    <row r="34" spans="1:28" ht="13">
      <c r="A34" s="2">
        <f>A33+1</f>
        <v>19</v>
      </c>
      <c r="B34" s="1"/>
      <c r="C34" s="233" t="s">
        <v>591</v>
      </c>
      <c r="D34" s="233"/>
      <c r="E34" s="233"/>
      <c r="F34" s="233"/>
      <c r="G34" s="233"/>
      <c r="H34" s="233"/>
      <c r="I34" s="233"/>
      <c r="J34" s="232" t="s">
        <v>355</v>
      </c>
      <c r="K34" s="233"/>
      <c r="L34" s="235">
        <f>'5-ROR-2'!I52</f>
        <v>2183656.7399833333</v>
      </c>
    </row>
    <row r="35" spans="1:28" ht="13">
      <c r="A35" s="2">
        <f t="shared" ref="A35" si="2">A34+1</f>
        <v>20</v>
      </c>
      <c r="B35" s="1"/>
      <c r="C35" s="232" t="s">
        <v>586</v>
      </c>
      <c r="D35" s="233"/>
      <c r="E35" s="233"/>
      <c r="F35" s="233"/>
      <c r="G35" s="233"/>
      <c r="H35" s="233"/>
      <c r="J35" s="232" t="str">
        <f>"Sum of Lines "&amp;A32&amp;" to "&amp;A34&amp;""</f>
        <v>Sum of Lines 17 to 19</v>
      </c>
      <c r="K35" s="233"/>
      <c r="L35" s="862">
        <f>SUM(L32:L34)</f>
        <v>140517760.61171782</v>
      </c>
    </row>
    <row r="36" spans="1:28" ht="13">
      <c r="B36" s="1"/>
      <c r="C36" s="233"/>
      <c r="D36" s="233"/>
      <c r="E36" s="233"/>
      <c r="F36" s="233"/>
      <c r="G36" s="233"/>
      <c r="H36" s="233"/>
      <c r="I36" s="233"/>
      <c r="J36" s="232"/>
      <c r="K36" s="233"/>
      <c r="L36" s="235"/>
    </row>
    <row r="37" spans="1:28" ht="13">
      <c r="A37" s="2">
        <f>A35+1</f>
        <v>21</v>
      </c>
      <c r="B37" s="1"/>
      <c r="C37" s="233" t="s">
        <v>156</v>
      </c>
      <c r="D37" s="233"/>
      <c r="E37" s="233"/>
      <c r="F37" s="233"/>
      <c r="G37" s="233"/>
      <c r="H37" s="233"/>
      <c r="J37" s="232" t="str">
        <f>"Line "&amp;A35&amp;" / Line "&amp;A29&amp;""</f>
        <v>Line 20 / Line 16</v>
      </c>
      <c r="K37" s="233"/>
      <c r="L37" s="203">
        <f>L35/L29</f>
        <v>6.6589509920586487E-2</v>
      </c>
    </row>
    <row r="38" spans="1:28" ht="13">
      <c r="B38" s="1"/>
      <c r="C38" s="233"/>
      <c r="D38" s="233"/>
      <c r="E38" s="233"/>
      <c r="F38" s="233"/>
      <c r="G38" s="233"/>
      <c r="H38" s="233"/>
      <c r="I38" s="233"/>
      <c r="J38" s="232"/>
      <c r="K38" s="233"/>
      <c r="L38" s="233"/>
    </row>
    <row r="39" spans="1:28" ht="13">
      <c r="B39" s="1"/>
      <c r="C39" s="28" t="s">
        <v>592</v>
      </c>
      <c r="D39" s="233"/>
      <c r="E39" s="233"/>
      <c r="F39" s="233"/>
      <c r="G39" s="233"/>
      <c r="H39" s="233"/>
      <c r="I39" s="599"/>
      <c r="J39" s="232"/>
      <c r="K39" s="233"/>
      <c r="L39" s="233"/>
    </row>
    <row r="40" spans="1:28" ht="13">
      <c r="A40" s="2">
        <f>A37+1</f>
        <v>22</v>
      </c>
      <c r="B40" s="1"/>
      <c r="C40" s="233" t="s">
        <v>593</v>
      </c>
      <c r="D40" s="233"/>
      <c r="E40" s="233"/>
      <c r="F40" s="233"/>
      <c r="G40" s="233"/>
      <c r="H40" s="233"/>
      <c r="I40" s="233" t="s">
        <v>561</v>
      </c>
      <c r="J40" s="232" t="str">
        <f>"5-ROR-2, Line "&amp;'5-ROR-2'!A22&amp;""</f>
        <v>5-ROR-2, Line 7</v>
      </c>
      <c r="K40" s="233"/>
      <c r="L40" s="235">
        <f>'5-ROR-2'!C22</f>
        <v>22755288972.582115</v>
      </c>
      <c r="N40" s="2"/>
      <c r="O40" s="235"/>
      <c r="P40" s="235"/>
      <c r="Q40" s="235"/>
      <c r="R40" s="235"/>
      <c r="S40" s="235"/>
      <c r="T40" s="235"/>
      <c r="U40" s="235"/>
      <c r="V40" s="235"/>
      <c r="W40" s="235"/>
      <c r="X40" s="235"/>
      <c r="Y40" s="235"/>
      <c r="Z40" s="235"/>
      <c r="AA40" s="235"/>
      <c r="AB40" s="235"/>
    </row>
    <row r="41" spans="1:28" ht="13">
      <c r="A41" s="2">
        <f>A40+1</f>
        <v>23</v>
      </c>
      <c r="B41" s="1"/>
      <c r="C41" s="233" t="s">
        <v>594</v>
      </c>
      <c r="D41" s="233"/>
      <c r="E41" s="233"/>
      <c r="F41" s="233"/>
      <c r="G41" s="233"/>
      <c r="H41" s="233"/>
      <c r="I41" s="233" t="str">
        <f>"Same as L "&amp;A26&amp;", but negative"</f>
        <v>Same as L 13, but negative</v>
      </c>
      <c r="J41" s="232" t="str">
        <f>"5-ROR-2, Line "&amp;'5-ROR-2'!A16&amp;""</f>
        <v>5-ROR-2, Line 4</v>
      </c>
      <c r="K41" s="233"/>
      <c r="L41" s="235">
        <f>-'5-ROR-2'!C16</f>
        <v>-2156115063.4615383</v>
      </c>
      <c r="N41" s="2"/>
      <c r="O41" s="235"/>
      <c r="P41" s="235"/>
      <c r="Q41" s="235"/>
      <c r="R41" s="235"/>
      <c r="S41" s="235"/>
      <c r="T41" s="235"/>
      <c r="U41" s="235"/>
      <c r="V41" s="235"/>
      <c r="W41" s="235"/>
      <c r="X41" s="235"/>
      <c r="Y41" s="235"/>
      <c r="Z41" s="235"/>
      <c r="AA41" s="235"/>
      <c r="AB41" s="235"/>
    </row>
    <row r="42" spans="1:28" ht="13">
      <c r="A42" s="2">
        <f t="shared" ref="A42:A44" si="3">A41+1</f>
        <v>24</v>
      </c>
      <c r="B42" s="1"/>
      <c r="C42" s="233" t="s">
        <v>595</v>
      </c>
      <c r="D42" s="233"/>
      <c r="E42" s="233"/>
      <c r="F42" s="233"/>
      <c r="G42" s="233"/>
      <c r="H42" s="233"/>
      <c r="I42" s="233" t="str">
        <f>"Same as L "&amp;A28&amp;", but reverse sign"</f>
        <v>Same as L 15, but reverse sign</v>
      </c>
      <c r="J42" s="232" t="s">
        <v>356</v>
      </c>
      <c r="K42" s="233"/>
      <c r="L42" s="235">
        <f>-L28</f>
        <v>20830629.161009151</v>
      </c>
      <c r="N42" s="2"/>
      <c r="O42" s="235"/>
      <c r="P42" s="235"/>
      <c r="Q42" s="235"/>
      <c r="R42" s="235"/>
      <c r="S42" s="235"/>
      <c r="T42" s="235"/>
      <c r="U42" s="235"/>
      <c r="V42" s="235"/>
      <c r="W42" s="235"/>
      <c r="X42" s="235"/>
      <c r="Y42" s="235"/>
      <c r="Z42" s="235"/>
      <c r="AA42" s="235"/>
      <c r="AB42" s="235"/>
    </row>
    <row r="43" spans="1:28" ht="13">
      <c r="A43" s="2">
        <f t="shared" si="3"/>
        <v>25</v>
      </c>
      <c r="B43" s="1"/>
      <c r="C43" s="233" t="s">
        <v>596</v>
      </c>
      <c r="D43" s="233"/>
      <c r="E43" s="233"/>
      <c r="F43" s="233"/>
      <c r="G43" s="233"/>
      <c r="H43" s="233"/>
      <c r="I43" s="233" t="s">
        <v>561</v>
      </c>
      <c r="J43" s="232" t="str">
        <f>"5-ROR-2, Line "&amp;'5-ROR-2'!A24&amp;""</f>
        <v>5-ROR-2, Line 8</v>
      </c>
      <c r="K43" s="233"/>
      <c r="L43" s="235">
        <f>'5-ROR-2'!C24</f>
        <v>2632892.0261538466</v>
      </c>
      <c r="N43" s="2"/>
      <c r="O43" s="235"/>
      <c r="P43" s="235"/>
      <c r="Q43" s="235"/>
      <c r="R43" s="235"/>
      <c r="S43" s="235"/>
      <c r="T43" s="235"/>
      <c r="U43" s="235"/>
      <c r="V43" s="235"/>
      <c r="W43" s="235"/>
      <c r="X43" s="235"/>
      <c r="Y43" s="235"/>
      <c r="Z43" s="235"/>
      <c r="AA43" s="235"/>
      <c r="AB43" s="235"/>
    </row>
    <row r="44" spans="1:28" ht="13">
      <c r="A44" s="2">
        <f t="shared" si="3"/>
        <v>26</v>
      </c>
      <c r="B44" s="1"/>
      <c r="C44" s="233" t="s">
        <v>597</v>
      </c>
      <c r="D44" s="233"/>
      <c r="E44" s="233"/>
      <c r="F44" s="233"/>
      <c r="G44" s="233"/>
      <c r="H44" s="233"/>
      <c r="I44" s="233" t="s">
        <v>561</v>
      </c>
      <c r="J44" s="232" t="str">
        <f>"5-ROR-2, Line "&amp;'5-ROR-2'!A26&amp;""</f>
        <v>5-ROR-2, Line 9</v>
      </c>
      <c r="K44" s="233"/>
      <c r="L44" s="235">
        <f>'5-ROR-2'!C26</f>
        <v>8663941.270769231</v>
      </c>
      <c r="N44" s="2"/>
      <c r="O44" s="235"/>
      <c r="P44" s="235"/>
      <c r="Q44" s="235"/>
      <c r="R44" s="235"/>
      <c r="S44" s="235"/>
      <c r="T44" s="235"/>
      <c r="U44" s="235"/>
      <c r="V44" s="235"/>
      <c r="W44" s="235"/>
      <c r="X44" s="235"/>
      <c r="Y44" s="235"/>
      <c r="Z44" s="235"/>
      <c r="AA44" s="235"/>
      <c r="AB44" s="235"/>
    </row>
    <row r="45" spans="1:28" ht="13">
      <c r="A45" s="2">
        <f>A44+1</f>
        <v>27</v>
      </c>
      <c r="B45" s="1"/>
      <c r="C45" s="233" t="s">
        <v>158</v>
      </c>
      <c r="D45" s="233"/>
      <c r="E45" s="233"/>
      <c r="F45" s="233"/>
      <c r="G45" s="233"/>
      <c r="H45" s="233"/>
      <c r="I45" s="233"/>
      <c r="J45" s="232" t="str">
        <f>"Sum of Lines "&amp;A40&amp;" to "&amp;A44&amp;""</f>
        <v>Sum of Lines 22 to 26</v>
      </c>
      <c r="K45" s="233"/>
      <c r="L45" s="862">
        <f>SUM(L40:L44)</f>
        <v>20631301371.57851</v>
      </c>
    </row>
    <row r="46" spans="1:28" ht="13">
      <c r="A46" s="2"/>
      <c r="B46" s="1"/>
      <c r="C46" s="233"/>
      <c r="D46" s="233"/>
      <c r="E46" s="233"/>
      <c r="F46" s="233"/>
      <c r="G46" s="233"/>
      <c r="H46" s="233"/>
      <c r="I46" s="233"/>
      <c r="J46" s="232"/>
      <c r="K46" s="233"/>
      <c r="L46" s="235"/>
    </row>
    <row r="47" spans="1:28" ht="13">
      <c r="B47" s="30" t="s">
        <v>233</v>
      </c>
      <c r="C47" s="233"/>
      <c r="D47" s="233"/>
      <c r="E47" s="233"/>
      <c r="F47" s="233"/>
      <c r="G47" s="233"/>
      <c r="H47" s="233"/>
      <c r="I47" s="233"/>
      <c r="J47" s="233"/>
      <c r="K47" s="233"/>
      <c r="L47" s="233"/>
    </row>
    <row r="48" spans="1:28">
      <c r="B48" s="233" t="s">
        <v>598</v>
      </c>
      <c r="J48" s="233"/>
    </row>
    <row r="49" spans="2:2">
      <c r="B49" s="233" t="s">
        <v>599</v>
      </c>
    </row>
    <row r="50" spans="2:2">
      <c r="B50" s="243" t="str">
        <f>"3) Negative of Line "&amp;A28&amp;""&amp;", charge to common equity reversed for ratemaking."</f>
        <v>3) Negative of Line 15, charge to common equity reversed for ratemaking.</v>
      </c>
    </row>
    <row r="51" spans="2:2">
      <c r="B51" s="233"/>
    </row>
    <row r="52" spans="2:2">
      <c r="B52" s="232"/>
    </row>
    <row r="53" spans="2:2">
      <c r="B53" s="233"/>
    </row>
    <row r="54" spans="2:2">
      <c r="B54" s="232"/>
    </row>
  </sheetData>
  <pageMargins left="0.7" right="0.7" top="0.75" bottom="0.75" header="0.3" footer="0.3"/>
  <pageSetup scale="55" orientation="landscape" r:id="rId1"/>
  <headerFooter>
    <oddHeader>&amp;CSchedule 5 ROR-1
Return and Capitalization&amp;RTO2027 Draft Annual Update 
Attachment 1</oddHead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81"/>
  <sheetViews>
    <sheetView zoomScaleNormal="100" workbookViewId="0"/>
  </sheetViews>
  <sheetFormatPr defaultColWidth="8.54296875" defaultRowHeight="12.5"/>
  <cols>
    <col min="1" max="1" width="4.54296875" customWidth="1"/>
    <col min="2" max="2" width="6.453125" customWidth="1"/>
    <col min="3" max="3" width="15.54296875" customWidth="1"/>
    <col min="4" max="4" width="17.08984375" customWidth="1"/>
    <col min="5" max="5" width="14.54296875" customWidth="1"/>
    <col min="6" max="6" width="16.36328125" customWidth="1"/>
    <col min="7" max="15" width="14.54296875" customWidth="1"/>
    <col min="16" max="16" width="15.453125" bestFit="1" customWidth="1"/>
  </cols>
  <sheetData>
    <row r="1" spans="1:17" ht="13">
      <c r="A1" s="1" t="s">
        <v>600</v>
      </c>
      <c r="B1" s="1"/>
    </row>
    <row r="2" spans="1:17" ht="13">
      <c r="A2" s="2" t="s">
        <v>601</v>
      </c>
      <c r="B2" s="530">
        <v>2025</v>
      </c>
      <c r="D2" s="39" t="s">
        <v>200</v>
      </c>
      <c r="E2" s="240" t="s">
        <v>602</v>
      </c>
      <c r="F2" s="193"/>
    </row>
    <row r="3" spans="1:17" ht="13">
      <c r="C3" s="48" t="s">
        <v>345</v>
      </c>
      <c r="D3" s="48" t="s">
        <v>346</v>
      </c>
      <c r="E3" s="48" t="s">
        <v>347</v>
      </c>
      <c r="F3" s="48" t="s">
        <v>348</v>
      </c>
      <c r="G3" s="48" t="s">
        <v>349</v>
      </c>
      <c r="H3" s="48" t="s">
        <v>350</v>
      </c>
      <c r="I3" s="48" t="s">
        <v>351</v>
      </c>
      <c r="J3" s="48" t="s">
        <v>352</v>
      </c>
      <c r="K3" s="48" t="s">
        <v>353</v>
      </c>
      <c r="L3" s="48" t="s">
        <v>603</v>
      </c>
      <c r="M3" s="48" t="s">
        <v>604</v>
      </c>
      <c r="N3" s="48" t="s">
        <v>605</v>
      </c>
      <c r="O3" s="48" t="s">
        <v>606</v>
      </c>
      <c r="P3" s="48" t="s">
        <v>607</v>
      </c>
    </row>
    <row r="4" spans="1:17" ht="13">
      <c r="A4" s="3" t="s">
        <v>102</v>
      </c>
      <c r="B4" s="3" t="s">
        <v>253</v>
      </c>
      <c r="C4" s="25" t="s">
        <v>481</v>
      </c>
      <c r="D4" s="244" t="s">
        <v>388</v>
      </c>
      <c r="E4" s="239" t="s">
        <v>390</v>
      </c>
      <c r="F4" s="239" t="s">
        <v>391</v>
      </c>
      <c r="G4" s="239" t="s">
        <v>392</v>
      </c>
      <c r="H4" s="239" t="s">
        <v>393</v>
      </c>
      <c r="I4" s="239" t="s">
        <v>394</v>
      </c>
      <c r="J4" s="239" t="s">
        <v>608</v>
      </c>
      <c r="K4" s="239" t="s">
        <v>396</v>
      </c>
      <c r="L4" s="239" t="s">
        <v>397</v>
      </c>
      <c r="M4" s="239" t="s">
        <v>398</v>
      </c>
      <c r="N4" s="239" t="s">
        <v>399</v>
      </c>
      <c r="O4" s="239" t="s">
        <v>400</v>
      </c>
      <c r="P4" s="239" t="s">
        <v>388</v>
      </c>
    </row>
    <row r="5" spans="1:17" ht="13">
      <c r="A5" s="3"/>
      <c r="B5" s="3"/>
      <c r="C5" s="239" t="s">
        <v>609</v>
      </c>
      <c r="D5" s="244"/>
      <c r="E5" s="239"/>
      <c r="F5" s="239"/>
      <c r="G5" s="239"/>
      <c r="H5" s="239"/>
      <c r="I5" s="239"/>
      <c r="J5" s="239"/>
      <c r="K5" s="239"/>
      <c r="L5" s="239"/>
      <c r="M5" s="239"/>
      <c r="N5" s="239"/>
      <c r="O5" s="239"/>
      <c r="P5" s="239"/>
    </row>
    <row r="6" spans="1:17" ht="13">
      <c r="A6" s="32"/>
      <c r="B6" s="32"/>
      <c r="C6" s="25"/>
      <c r="D6" s="244"/>
      <c r="E6" s="239"/>
      <c r="F6" s="239"/>
      <c r="G6" s="239"/>
      <c r="H6" s="239"/>
      <c r="I6" s="239"/>
      <c r="J6" s="239"/>
      <c r="K6" s="239"/>
      <c r="L6" s="239"/>
      <c r="M6" s="239"/>
      <c r="N6" s="239"/>
      <c r="O6" s="239"/>
      <c r="P6" s="239"/>
    </row>
    <row r="7" spans="1:17" ht="13">
      <c r="B7" s="1" t="s">
        <v>610</v>
      </c>
      <c r="D7" s="1170"/>
      <c r="E7" s="239"/>
      <c r="F7" s="239"/>
      <c r="G7" s="239"/>
      <c r="H7" s="239"/>
      <c r="I7" s="239"/>
      <c r="J7" s="239"/>
      <c r="K7" s="239"/>
      <c r="L7" s="239"/>
      <c r="M7" s="239"/>
      <c r="N7" s="239"/>
      <c r="O7" s="239"/>
      <c r="P7" s="239"/>
    </row>
    <row r="8" spans="1:17" ht="13">
      <c r="A8" s="2">
        <v>1</v>
      </c>
      <c r="B8" s="2"/>
      <c r="C8" s="235">
        <f>SUM(D8:P8)/13</f>
        <v>30182669230.718464</v>
      </c>
      <c r="D8" s="529">
        <v>28151900000</v>
      </c>
      <c r="E8" s="529">
        <v>29651899999.939999</v>
      </c>
      <c r="F8" s="529">
        <v>29651899999.939999</v>
      </c>
      <c r="G8" s="529">
        <v>31151899999.939999</v>
      </c>
      <c r="H8" s="529">
        <v>31151899999.939999</v>
      </c>
      <c r="I8" s="529">
        <v>31151899999.939999</v>
      </c>
      <c r="J8" s="529">
        <v>30851899999.939999</v>
      </c>
      <c r="K8" s="529">
        <v>30851899999.939999</v>
      </c>
      <c r="L8" s="529">
        <v>29951899999.939999</v>
      </c>
      <c r="M8" s="529">
        <v>29951899999.939999</v>
      </c>
      <c r="N8" s="529">
        <v>29951899999.939999</v>
      </c>
      <c r="O8" s="529">
        <v>29951899999.939999</v>
      </c>
      <c r="P8" s="529">
        <v>29951900000</v>
      </c>
      <c r="Q8" s="233"/>
    </row>
    <row r="9" spans="1:17" ht="13">
      <c r="A9" s="2"/>
      <c r="B9" s="1" t="s">
        <v>611</v>
      </c>
      <c r="C9" s="6"/>
      <c r="D9" s="235"/>
      <c r="E9" s="235"/>
      <c r="F9" s="235"/>
      <c r="G9" s="235"/>
      <c r="H9" s="235"/>
      <c r="I9" s="235"/>
      <c r="J9" s="235"/>
      <c r="K9" s="235"/>
      <c r="L9" s="235"/>
      <c r="M9" s="235"/>
      <c r="N9" s="235"/>
      <c r="O9" s="235"/>
      <c r="P9" s="235"/>
    </row>
    <row r="10" spans="1:17" ht="13">
      <c r="A10" s="2">
        <f>A8+1</f>
        <v>2</v>
      </c>
      <c r="B10" s="2"/>
      <c r="C10" s="235">
        <f t="shared" ref="C10:C14" si="0">SUM(D10:P10)/13</f>
        <v>0</v>
      </c>
      <c r="D10" s="529">
        <v>0</v>
      </c>
      <c r="E10" s="529">
        <v>0</v>
      </c>
      <c r="F10" s="529">
        <v>0</v>
      </c>
      <c r="G10" s="529">
        <v>0</v>
      </c>
      <c r="H10" s="529">
        <v>0</v>
      </c>
      <c r="I10" s="529">
        <v>0</v>
      </c>
      <c r="J10" s="529">
        <v>0</v>
      </c>
      <c r="K10" s="529">
        <v>0</v>
      </c>
      <c r="L10" s="529">
        <v>0</v>
      </c>
      <c r="M10" s="529">
        <v>0</v>
      </c>
      <c r="N10" s="529">
        <v>0</v>
      </c>
      <c r="O10" s="529">
        <v>0</v>
      </c>
      <c r="P10" s="529">
        <v>0</v>
      </c>
      <c r="Q10" s="233"/>
    </row>
    <row r="11" spans="1:17" ht="13">
      <c r="A11" s="2"/>
      <c r="B11" s="1" t="s">
        <v>612</v>
      </c>
      <c r="D11" s="235"/>
      <c r="E11" s="235"/>
      <c r="F11" s="235"/>
      <c r="G11" s="235"/>
      <c r="H11" s="235"/>
      <c r="I11" s="235"/>
      <c r="J11" s="235"/>
      <c r="K11" s="235"/>
      <c r="L11" s="235"/>
      <c r="M11" s="235"/>
      <c r="N11" s="235"/>
      <c r="O11" s="235"/>
      <c r="P11" s="235"/>
    </row>
    <row r="12" spans="1:17" ht="13">
      <c r="A12" s="2" t="s">
        <v>563</v>
      </c>
      <c r="B12" s="1"/>
      <c r="C12" s="235">
        <f>SUM(D12:P12)/13</f>
        <v>0</v>
      </c>
      <c r="D12" s="253">
        <v>0</v>
      </c>
      <c r="E12" s="253">
        <v>0</v>
      </c>
      <c r="F12" s="253">
        <v>0</v>
      </c>
      <c r="G12" s="253">
        <v>0</v>
      </c>
      <c r="H12" s="253">
        <v>0</v>
      </c>
      <c r="I12" s="253">
        <v>0</v>
      </c>
      <c r="J12" s="253">
        <v>0</v>
      </c>
      <c r="K12" s="253">
        <v>0</v>
      </c>
      <c r="L12" s="253">
        <v>0</v>
      </c>
      <c r="M12" s="253">
        <v>0</v>
      </c>
      <c r="N12" s="253">
        <v>0</v>
      </c>
      <c r="O12" s="253">
        <v>0</v>
      </c>
      <c r="P12" s="253">
        <v>0</v>
      </c>
      <c r="Q12" s="233"/>
    </row>
    <row r="13" spans="1:17" ht="13">
      <c r="A13" s="2"/>
      <c r="B13" s="1" t="s">
        <v>613</v>
      </c>
      <c r="D13" s="235"/>
      <c r="E13" s="235"/>
      <c r="F13" s="235"/>
      <c r="G13" s="235"/>
      <c r="H13" s="235"/>
      <c r="I13" s="235"/>
      <c r="J13" s="235"/>
      <c r="K13" s="235"/>
      <c r="L13" s="235"/>
      <c r="M13" s="235"/>
      <c r="N13" s="235"/>
      <c r="O13" s="235"/>
      <c r="P13" s="235"/>
    </row>
    <row r="14" spans="1:17" ht="13">
      <c r="A14" s="2">
        <f>A10+1</f>
        <v>3</v>
      </c>
      <c r="B14" s="2"/>
      <c r="C14" s="235">
        <f t="shared" si="0"/>
        <v>305960246.52615386</v>
      </c>
      <c r="D14" s="529">
        <v>306007656</v>
      </c>
      <c r="E14" s="529">
        <v>305999867.67000002</v>
      </c>
      <c r="F14" s="529">
        <v>305992078.86000001</v>
      </c>
      <c r="G14" s="529">
        <v>305984257.20999998</v>
      </c>
      <c r="H14" s="529">
        <v>305976369.45999998</v>
      </c>
      <c r="I14" s="529">
        <v>305968448.44999999</v>
      </c>
      <c r="J14" s="529">
        <v>305960494.04000002</v>
      </c>
      <c r="K14" s="529">
        <v>305952506.08999997</v>
      </c>
      <c r="L14" s="529">
        <v>305944484.45999998</v>
      </c>
      <c r="M14" s="529">
        <v>305936429</v>
      </c>
      <c r="N14" s="529">
        <v>305928339.56999999</v>
      </c>
      <c r="O14" s="529">
        <v>305920216.02999997</v>
      </c>
      <c r="P14" s="529">
        <v>305912058</v>
      </c>
      <c r="Q14" s="233"/>
    </row>
    <row r="15" spans="1:17" ht="13">
      <c r="B15" s="1" t="s">
        <v>614</v>
      </c>
    </row>
    <row r="16" spans="1:17" ht="13">
      <c r="A16" s="2">
        <v>4</v>
      </c>
      <c r="B16" s="2"/>
      <c r="C16" s="235">
        <f t="shared" ref="C16:C22" si="1">SUM(D16:P16)/13</f>
        <v>2156115063.4615383</v>
      </c>
      <c r="D16" s="529">
        <v>2220060000</v>
      </c>
      <c r="E16" s="529">
        <v>2220060000</v>
      </c>
      <c r="F16" s="529">
        <v>2220060000</v>
      </c>
      <c r="G16" s="529">
        <v>2220060000</v>
      </c>
      <c r="H16" s="529">
        <v>2220060000</v>
      </c>
      <c r="I16" s="529">
        <v>2220060000</v>
      </c>
      <c r="J16" s="529">
        <v>2220060000</v>
      </c>
      <c r="K16" s="529">
        <v>2220060000</v>
      </c>
      <c r="L16" s="529">
        <v>2220060000</v>
      </c>
      <c r="M16" s="529">
        <v>2220060000</v>
      </c>
      <c r="N16" s="529">
        <v>2220060000</v>
      </c>
      <c r="O16" s="529">
        <v>1895060000</v>
      </c>
      <c r="P16" s="529">
        <v>1713775825</v>
      </c>
      <c r="Q16" s="233"/>
    </row>
    <row r="17" spans="1:17" ht="13">
      <c r="A17" s="2"/>
      <c r="B17" s="1" t="s">
        <v>615</v>
      </c>
      <c r="D17" s="235"/>
      <c r="E17" s="235"/>
      <c r="F17" s="235"/>
      <c r="G17" s="235"/>
      <c r="H17" s="235"/>
      <c r="I17" s="235"/>
      <c r="J17" s="235"/>
      <c r="K17" s="235"/>
      <c r="L17" s="235"/>
      <c r="M17" s="235"/>
      <c r="N17" s="235"/>
      <c r="O17" s="235"/>
      <c r="P17" s="235"/>
    </row>
    <row r="18" spans="1:17" ht="13">
      <c r="A18" s="2">
        <f>A16+1</f>
        <v>5</v>
      </c>
      <c r="B18" s="2"/>
      <c r="C18" s="235">
        <f t="shared" si="1"/>
        <v>-25075772.616475608</v>
      </c>
      <c r="D18" s="253">
        <v>-26248268.545833308</v>
      </c>
      <c r="E18" s="253">
        <v>-26045544.769444421</v>
      </c>
      <c r="F18" s="253">
        <v>-25842820.99305553</v>
      </c>
      <c r="G18" s="253">
        <v>-25640097.216666635</v>
      </c>
      <c r="H18" s="253">
        <v>-25437373.440277748</v>
      </c>
      <c r="I18" s="253">
        <v>-25234649.66388886</v>
      </c>
      <c r="J18" s="253">
        <v>-25031925.887499973</v>
      </c>
      <c r="K18" s="253">
        <v>-24829202.111111082</v>
      </c>
      <c r="L18" s="253">
        <v>-24626478.334722187</v>
      </c>
      <c r="M18" s="253">
        <v>-24477251.041666634</v>
      </c>
      <c r="N18" s="253">
        <v>-24328023.748611078</v>
      </c>
      <c r="O18" s="253">
        <v>-24178796.455555521</v>
      </c>
      <c r="P18" s="253">
        <v>-24064611.805849966</v>
      </c>
    </row>
    <row r="19" spans="1:17" ht="13">
      <c r="A19" s="2"/>
      <c r="B19" s="1" t="s">
        <v>616</v>
      </c>
      <c r="D19" s="235"/>
      <c r="E19" s="235"/>
      <c r="F19" s="235"/>
      <c r="G19" s="235"/>
      <c r="H19" s="235"/>
      <c r="I19" s="235"/>
      <c r="J19" s="235"/>
      <c r="K19" s="235"/>
      <c r="L19" s="235"/>
      <c r="M19" s="235"/>
      <c r="N19" s="235"/>
      <c r="O19" s="235"/>
      <c r="P19" s="235"/>
    </row>
    <row r="20" spans="1:17" ht="13">
      <c r="A20" s="2">
        <f>A18+1</f>
        <v>6</v>
      </c>
      <c r="B20" s="2"/>
      <c r="C20" s="235">
        <f t="shared" si="1"/>
        <v>-20830629.161009151</v>
      </c>
      <c r="D20" s="529">
        <v>-21739665.83149178</v>
      </c>
      <c r="E20" s="253">
        <v>-21588055.450513903</v>
      </c>
      <c r="F20" s="253">
        <v>-21436445.06953603</v>
      </c>
      <c r="G20" s="253">
        <v>-21284834.688558161</v>
      </c>
      <c r="H20" s="253">
        <v>-21133224.307580285</v>
      </c>
      <c r="I20" s="253">
        <v>-20981613.926602412</v>
      </c>
      <c r="J20" s="253">
        <v>-20830003.545624536</v>
      </c>
      <c r="K20" s="253">
        <v>-20678393.164646663</v>
      </c>
      <c r="L20" s="253">
        <v>-20526782.783668786</v>
      </c>
      <c r="M20" s="253">
        <v>-20375172.40269091</v>
      </c>
      <c r="N20" s="253">
        <v>-20223562.021713037</v>
      </c>
      <c r="O20" s="253">
        <v>-20071951.640735164</v>
      </c>
      <c r="P20" s="253">
        <v>-19928474.259757292</v>
      </c>
    </row>
    <row r="21" spans="1:17" ht="13">
      <c r="B21" s="1" t="s">
        <v>617</v>
      </c>
    </row>
    <row r="22" spans="1:17" ht="13">
      <c r="A22" s="2">
        <v>7</v>
      </c>
      <c r="B22" s="2"/>
      <c r="C22" s="235">
        <f t="shared" si="1"/>
        <v>22755288972.582115</v>
      </c>
      <c r="D22" s="529">
        <v>21713215485</v>
      </c>
      <c r="E22" s="253">
        <v>21865728184.572502</v>
      </c>
      <c r="F22" s="253">
        <v>22673783499.432503</v>
      </c>
      <c r="G22" s="253">
        <v>22837333069.182503</v>
      </c>
      <c r="H22" s="253">
        <v>22916356648.092503</v>
      </c>
      <c r="I22" s="253">
        <v>23074542508.6325</v>
      </c>
      <c r="J22" s="253">
        <v>22356998065.232502</v>
      </c>
      <c r="K22" s="253">
        <v>22534861208.342503</v>
      </c>
      <c r="L22" s="253">
        <v>23049527103.612503</v>
      </c>
      <c r="M22" s="253">
        <v>22823716476.8325</v>
      </c>
      <c r="N22" s="253">
        <v>23092446515.802502</v>
      </c>
      <c r="O22" s="253">
        <v>22989072154.8325</v>
      </c>
      <c r="P22" s="253">
        <v>23891175724</v>
      </c>
      <c r="Q22" s="233"/>
    </row>
    <row r="23" spans="1:17" ht="13">
      <c r="A23" s="2"/>
      <c r="B23" s="1" t="s">
        <v>618</v>
      </c>
      <c r="D23" s="235"/>
      <c r="E23" s="235"/>
      <c r="F23" s="235"/>
      <c r="G23" s="235"/>
      <c r="H23" s="235"/>
      <c r="I23" s="235"/>
      <c r="J23" s="235"/>
      <c r="K23" s="235"/>
      <c r="L23" s="235"/>
      <c r="M23" s="235"/>
      <c r="N23" s="235"/>
      <c r="O23" s="235"/>
      <c r="P23" s="235"/>
    </row>
    <row r="24" spans="1:17" ht="13">
      <c r="A24" s="2">
        <v>8</v>
      </c>
      <c r="B24" s="2"/>
      <c r="C24" s="235">
        <f t="shared" ref="C24:C26" si="2">SUM(D24:P24)/13</f>
        <v>2632892.0261538466</v>
      </c>
      <c r="D24" s="529">
        <v>2632668</v>
      </c>
      <c r="E24" s="529">
        <v>2632668.59</v>
      </c>
      <c r="F24" s="529">
        <v>2632668.59</v>
      </c>
      <c r="G24" s="529">
        <v>2632668.59</v>
      </c>
      <c r="H24" s="529">
        <v>2632668.59</v>
      </c>
      <c r="I24" s="529">
        <v>2632668.59</v>
      </c>
      <c r="J24" s="529">
        <v>2632668.59</v>
      </c>
      <c r="K24" s="529">
        <v>2632668.59</v>
      </c>
      <c r="L24" s="529">
        <v>2633035.7299999995</v>
      </c>
      <c r="M24" s="529">
        <v>2632852.1599999997</v>
      </c>
      <c r="N24" s="529">
        <v>2632852.1599999997</v>
      </c>
      <c r="O24" s="529">
        <v>2632852.1599999997</v>
      </c>
      <c r="P24" s="529">
        <v>2634656</v>
      </c>
      <c r="Q24" s="233"/>
    </row>
    <row r="25" spans="1:17" ht="13">
      <c r="A25" s="2"/>
      <c r="B25" s="1" t="s">
        <v>619</v>
      </c>
      <c r="D25" s="235"/>
      <c r="E25" s="235"/>
      <c r="F25" s="235"/>
      <c r="G25" s="235"/>
      <c r="H25" s="235"/>
      <c r="I25" s="235"/>
      <c r="J25" s="235"/>
      <c r="K25" s="235"/>
      <c r="L25" s="235"/>
      <c r="M25" s="235"/>
      <c r="N25" s="235"/>
      <c r="O25" s="235"/>
      <c r="P25" s="235"/>
    </row>
    <row r="26" spans="1:17" ht="13">
      <c r="A26" s="2">
        <f>A24+1</f>
        <v>9</v>
      </c>
      <c r="B26" s="2"/>
      <c r="C26" s="235">
        <f t="shared" si="2"/>
        <v>8663941.270769231</v>
      </c>
      <c r="D26" s="529">
        <v>8959067</v>
      </c>
      <c r="E26" s="529">
        <v>8829480.0199999996</v>
      </c>
      <c r="F26" s="529">
        <v>8699893.3599999994</v>
      </c>
      <c r="G26" s="529">
        <v>8679095.7300000004</v>
      </c>
      <c r="H26" s="529">
        <v>8549509.0700000003</v>
      </c>
      <c r="I26" s="529">
        <v>8419922.4100000001</v>
      </c>
      <c r="J26" s="529">
        <v>8399124.7899999991</v>
      </c>
      <c r="K26" s="529">
        <v>8269538.1299999999</v>
      </c>
      <c r="L26" s="529">
        <v>8139951.4699999997</v>
      </c>
      <c r="M26" s="529">
        <v>8119153.8399999999</v>
      </c>
      <c r="N26" s="529">
        <v>7989567.1799999997</v>
      </c>
      <c r="O26" s="529">
        <v>7859980.5199999996</v>
      </c>
      <c r="P26" s="529">
        <v>11716953</v>
      </c>
      <c r="Q26" s="233"/>
    </row>
    <row r="27" spans="1:17" ht="13">
      <c r="A27" s="2"/>
      <c r="B27" s="2"/>
      <c r="C27" s="235"/>
      <c r="D27" s="235"/>
      <c r="E27" s="235"/>
      <c r="F27" s="235"/>
      <c r="G27" s="235"/>
      <c r="H27" s="235"/>
      <c r="I27" s="235"/>
      <c r="J27" s="235"/>
      <c r="K27" s="235"/>
      <c r="L27" s="235"/>
      <c r="M27" s="235"/>
      <c r="N27" s="235"/>
      <c r="O27" s="235"/>
      <c r="P27" s="235"/>
    </row>
    <row r="28" spans="1:17" ht="13">
      <c r="A28" s="2"/>
      <c r="B28" s="30" t="s">
        <v>442</v>
      </c>
      <c r="C28" s="235"/>
      <c r="D28" s="235"/>
      <c r="E28" s="235"/>
      <c r="F28" s="235"/>
      <c r="G28" s="235"/>
      <c r="H28" s="235"/>
      <c r="I28" s="235"/>
      <c r="J28" s="235"/>
      <c r="K28" s="235"/>
      <c r="L28" s="235"/>
      <c r="M28" s="235"/>
      <c r="N28" s="235"/>
      <c r="O28" s="235"/>
      <c r="P28" s="235"/>
    </row>
    <row r="29" spans="1:17" ht="13">
      <c r="A29" s="2"/>
      <c r="B29" s="233" t="s">
        <v>620</v>
      </c>
      <c r="C29" s="235"/>
      <c r="D29" s="235"/>
      <c r="E29" s="235"/>
      <c r="F29" s="235"/>
      <c r="G29" s="235"/>
      <c r="H29" s="235"/>
      <c r="I29" s="235"/>
      <c r="J29" s="235"/>
      <c r="K29" s="235"/>
      <c r="L29" s="235"/>
      <c r="M29" s="235"/>
      <c r="N29" s="235"/>
      <c r="O29" s="235"/>
      <c r="P29" s="235"/>
    </row>
    <row r="30" spans="1:17" ht="13">
      <c r="A30" s="2"/>
      <c r="B30" s="232" t="s">
        <v>621</v>
      </c>
      <c r="C30" s="235"/>
      <c r="D30" s="235"/>
      <c r="E30" s="235"/>
      <c r="F30" s="235"/>
      <c r="G30" s="235"/>
      <c r="H30" s="235"/>
      <c r="I30" s="235"/>
      <c r="J30" s="235"/>
      <c r="K30" s="235"/>
      <c r="L30" s="235"/>
      <c r="M30" s="235"/>
      <c r="N30" s="235"/>
      <c r="O30" s="235"/>
      <c r="P30" s="235"/>
    </row>
    <row r="31" spans="1:17">
      <c r="B31" s="233" t="s">
        <v>622</v>
      </c>
    </row>
    <row r="32" spans="1:17">
      <c r="B32" s="232"/>
      <c r="K32" s="6"/>
    </row>
    <row r="33" spans="2:13" ht="13">
      <c r="B33" s="30" t="s">
        <v>233</v>
      </c>
    </row>
    <row r="34" spans="2:13">
      <c r="B34" s="233" t="s">
        <v>623</v>
      </c>
    </row>
    <row r="35" spans="2:13">
      <c r="B35" s="233" t="s">
        <v>624</v>
      </c>
    </row>
    <row r="36" spans="2:13">
      <c r="B36" s="233" t="s">
        <v>625</v>
      </c>
    </row>
    <row r="37" spans="2:13">
      <c r="B37" s="233" t="s">
        <v>626</v>
      </c>
    </row>
    <row r="38" spans="2:13">
      <c r="B38" s="233" t="s">
        <v>627</v>
      </c>
    </row>
    <row r="39" spans="2:13">
      <c r="B39" s="233" t="s">
        <v>628</v>
      </c>
    </row>
    <row r="40" spans="2:13">
      <c r="B40" s="232" t="s">
        <v>629</v>
      </c>
    </row>
    <row r="41" spans="2:13" ht="13">
      <c r="H41" s="2" t="s">
        <v>630</v>
      </c>
    </row>
    <row r="42" spans="2:13" ht="13">
      <c r="C42" s="2"/>
      <c r="E42" s="2" t="s">
        <v>631</v>
      </c>
      <c r="F42" s="2" t="s">
        <v>632</v>
      </c>
      <c r="G42" s="2" t="s">
        <v>632</v>
      </c>
      <c r="H42" s="2" t="s">
        <v>633</v>
      </c>
      <c r="I42" s="2" t="s">
        <v>634</v>
      </c>
    </row>
    <row r="43" spans="2:13" ht="13">
      <c r="C43" s="3" t="s">
        <v>635</v>
      </c>
      <c r="E43" s="3" t="s">
        <v>81</v>
      </c>
      <c r="F43" s="3" t="s">
        <v>636</v>
      </c>
      <c r="G43" s="3" t="s">
        <v>637</v>
      </c>
      <c r="H43" s="48" t="s">
        <v>638</v>
      </c>
      <c r="I43" s="3" t="s">
        <v>630</v>
      </c>
      <c r="J43" s="3" t="s">
        <v>103</v>
      </c>
    </row>
    <row r="44" spans="2:13">
      <c r="C44" s="751" t="s">
        <v>3138</v>
      </c>
      <c r="D44" s="266"/>
      <c r="E44" s="59">
        <v>220010000</v>
      </c>
      <c r="F44" s="654">
        <v>41303</v>
      </c>
      <c r="G44" s="59">
        <v>7134904</v>
      </c>
      <c r="H44" s="557">
        <v>30</v>
      </c>
      <c r="I44" s="263">
        <v>237830.13333333336</v>
      </c>
      <c r="J44" s="54"/>
      <c r="K44" s="54"/>
      <c r="L44" s="54"/>
      <c r="M44" s="54"/>
    </row>
    <row r="45" spans="2:13">
      <c r="C45" s="751" t="s">
        <v>3139</v>
      </c>
      <c r="D45" s="266"/>
      <c r="E45" s="59">
        <v>325010000</v>
      </c>
      <c r="F45" s="654">
        <v>42240</v>
      </c>
      <c r="G45" s="59">
        <v>6419578</v>
      </c>
      <c r="H45" s="557">
        <v>30</v>
      </c>
      <c r="I45" s="263">
        <v>427971.8666666667</v>
      </c>
      <c r="J45" s="240" t="s">
        <v>3140</v>
      </c>
      <c r="K45" s="54"/>
      <c r="L45" s="54"/>
      <c r="M45" s="54"/>
    </row>
    <row r="46" spans="2:13">
      <c r="C46" s="752" t="s">
        <v>3141</v>
      </c>
      <c r="D46" s="266"/>
      <c r="E46" s="59">
        <v>118735825.00000001</v>
      </c>
      <c r="F46" s="654">
        <v>42437</v>
      </c>
      <c r="G46" s="59">
        <v>2754692.7980000004</v>
      </c>
      <c r="H46" s="557">
        <v>10</v>
      </c>
      <c r="I46" s="263">
        <v>660938.35665000009</v>
      </c>
      <c r="J46" s="54" t="s">
        <v>3142</v>
      </c>
      <c r="K46" s="54"/>
      <c r="L46" s="54"/>
      <c r="M46" s="54"/>
    </row>
    <row r="47" spans="2:13">
      <c r="C47" s="753" t="s">
        <v>3143</v>
      </c>
      <c r="D47" s="655"/>
      <c r="E47" s="59">
        <v>475010000</v>
      </c>
      <c r="F47" s="654">
        <v>42912</v>
      </c>
      <c r="G47" s="59">
        <v>12800620</v>
      </c>
      <c r="H47" s="557">
        <v>30</v>
      </c>
      <c r="I47" s="263">
        <v>426687.33333333326</v>
      </c>
      <c r="J47" s="54"/>
      <c r="K47" s="54"/>
      <c r="L47" s="54"/>
      <c r="M47" s="54"/>
    </row>
    <row r="48" spans="2:13">
      <c r="C48" s="753" t="s">
        <v>3144</v>
      </c>
      <c r="D48" s="655"/>
      <c r="E48" s="59">
        <v>550010000</v>
      </c>
      <c r="F48" s="654">
        <v>45252</v>
      </c>
      <c r="G48" s="59">
        <v>7875000</v>
      </c>
      <c r="H48" s="557">
        <v>30</v>
      </c>
      <c r="I48" s="263">
        <v>262500</v>
      </c>
      <c r="J48" s="240"/>
      <c r="K48" s="54"/>
      <c r="L48" s="54"/>
      <c r="M48" s="54"/>
    </row>
    <row r="49" spans="2:14">
      <c r="C49" s="754" t="s">
        <v>3145</v>
      </c>
      <c r="D49" s="655"/>
      <c r="E49" s="59">
        <v>350010000</v>
      </c>
      <c r="F49" s="654">
        <v>45425</v>
      </c>
      <c r="G49" s="253">
        <v>5031871.5</v>
      </c>
      <c r="H49" s="557">
        <v>30</v>
      </c>
      <c r="I49" s="61">
        <v>167729.04999999993</v>
      </c>
      <c r="J49" s="265"/>
      <c r="K49" s="54"/>
      <c r="L49" s="54"/>
      <c r="M49" s="54"/>
    </row>
    <row r="50" spans="2:14">
      <c r="C50" s="266" t="s">
        <v>639</v>
      </c>
      <c r="D50" s="655"/>
      <c r="E50" s="59"/>
      <c r="F50" s="654"/>
      <c r="G50" s="253"/>
      <c r="H50" s="557"/>
      <c r="I50" s="61"/>
      <c r="J50" s="265"/>
      <c r="K50" s="54"/>
      <c r="L50" s="54"/>
      <c r="M50" s="54"/>
    </row>
    <row r="51" spans="2:14">
      <c r="C51" s="754" t="s">
        <v>639</v>
      </c>
      <c r="D51" s="655"/>
      <c r="E51" s="59"/>
      <c r="F51" s="654"/>
      <c r="G51" s="253"/>
      <c r="H51" s="557"/>
      <c r="I51" s="61"/>
      <c r="J51" s="265"/>
      <c r="K51" s="54"/>
      <c r="L51" s="54"/>
      <c r="M51" s="54"/>
    </row>
    <row r="52" spans="2:14">
      <c r="C52" s="243"/>
      <c r="D52" s="243"/>
      <c r="I52" s="6">
        <f>SUM(I44:I50)</f>
        <v>2183656.7399833333</v>
      </c>
      <c r="J52" s="233" t="s">
        <v>640</v>
      </c>
    </row>
    <row r="53" spans="2:14">
      <c r="B53" s="233" t="s">
        <v>641</v>
      </c>
    </row>
    <row r="54" spans="2:14">
      <c r="B54" s="232" t="s">
        <v>642</v>
      </c>
      <c r="I54" s="41"/>
    </row>
    <row r="55" spans="2:14" ht="13">
      <c r="G55" s="2" t="s">
        <v>630</v>
      </c>
    </row>
    <row r="56" spans="2:14" ht="13">
      <c r="C56" s="2"/>
      <c r="E56" s="2" t="s">
        <v>643</v>
      </c>
      <c r="F56" s="2" t="s">
        <v>630</v>
      </c>
      <c r="G56" s="2" t="s">
        <v>633</v>
      </c>
      <c r="H56" s="2" t="s">
        <v>634</v>
      </c>
      <c r="I56" s="2"/>
    </row>
    <row r="57" spans="2:14" ht="13">
      <c r="C57" s="3" t="s">
        <v>644</v>
      </c>
      <c r="E57" s="3" t="s">
        <v>636</v>
      </c>
      <c r="F57" s="3" t="s">
        <v>81</v>
      </c>
      <c r="G57" s="48" t="s">
        <v>638</v>
      </c>
      <c r="H57" s="3" t="s">
        <v>630</v>
      </c>
      <c r="I57" s="3" t="s">
        <v>103</v>
      </c>
    </row>
    <row r="58" spans="2:14" ht="13">
      <c r="C58" s="752" t="s">
        <v>3146</v>
      </c>
      <c r="D58" s="749"/>
      <c r="E58" s="654">
        <v>41333</v>
      </c>
      <c r="F58" s="59">
        <v>2586350.9805555502</v>
      </c>
      <c r="G58" s="557">
        <v>30</v>
      </c>
      <c r="H58" s="59">
        <v>86211.699351851668</v>
      </c>
      <c r="I58" s="750"/>
      <c r="J58" s="54"/>
      <c r="K58" s="54"/>
      <c r="L58" s="54"/>
      <c r="M58" s="54"/>
      <c r="N58" s="54"/>
    </row>
    <row r="59" spans="2:14" ht="13">
      <c r="C59" s="752" t="s">
        <v>3147</v>
      </c>
      <c r="D59" s="749"/>
      <c r="E59" s="654">
        <v>41333</v>
      </c>
      <c r="F59" s="59">
        <v>2886865.9722222402</v>
      </c>
      <c r="G59" s="557">
        <v>30</v>
      </c>
      <c r="H59" s="59">
        <v>96228.865740741327</v>
      </c>
      <c r="I59" s="750"/>
      <c r="J59" s="54"/>
      <c r="K59" s="54"/>
      <c r="L59" s="54"/>
      <c r="M59" s="54"/>
      <c r="N59" s="54"/>
    </row>
    <row r="60" spans="2:14" ht="13">
      <c r="C60" s="752" t="s">
        <v>3148</v>
      </c>
      <c r="D60" s="749"/>
      <c r="E60" s="654">
        <v>42460</v>
      </c>
      <c r="F60" s="59">
        <v>2147802.5000000112</v>
      </c>
      <c r="G60" s="557">
        <v>10</v>
      </c>
      <c r="H60" s="59">
        <v>214780.25000000111</v>
      </c>
      <c r="I60" s="750"/>
      <c r="J60" s="750"/>
      <c r="K60" s="750"/>
      <c r="L60" s="54"/>
      <c r="M60" s="54"/>
      <c r="N60" s="54"/>
    </row>
    <row r="61" spans="2:14" ht="13">
      <c r="C61" s="752" t="s">
        <v>3149</v>
      </c>
      <c r="D61" s="749"/>
      <c r="E61" s="654">
        <v>42935</v>
      </c>
      <c r="F61" s="59">
        <v>12749183.344444489</v>
      </c>
      <c r="G61" s="557">
        <v>30</v>
      </c>
      <c r="H61" s="59">
        <v>424972.77814814972</v>
      </c>
      <c r="I61" s="750"/>
      <c r="J61" s="750"/>
      <c r="K61" s="750"/>
      <c r="L61" s="54"/>
      <c r="M61" s="54"/>
      <c r="N61" s="54"/>
    </row>
    <row r="62" spans="2:14" ht="13">
      <c r="C62" s="266" t="s">
        <v>3150</v>
      </c>
      <c r="D62" s="967"/>
      <c r="E62" s="656">
        <v>44074</v>
      </c>
      <c r="F62" s="59">
        <v>8522773.9499999993</v>
      </c>
      <c r="G62" s="557">
        <v>10</v>
      </c>
      <c r="H62" s="59">
        <v>852277.39499999979</v>
      </c>
      <c r="I62" s="750"/>
      <c r="J62" s="750"/>
      <c r="K62" s="750"/>
      <c r="L62" s="54"/>
      <c r="M62" s="54"/>
      <c r="N62" s="54"/>
    </row>
    <row r="63" spans="2:14">
      <c r="C63" s="266" t="s">
        <v>3151</v>
      </c>
      <c r="D63" s="266"/>
      <c r="E63" s="656">
        <v>44104</v>
      </c>
      <c r="F63" s="253">
        <v>4345607.5048123803</v>
      </c>
      <c r="G63" s="557">
        <v>30</v>
      </c>
      <c r="H63" s="253">
        <v>144853.58349374597</v>
      </c>
      <c r="I63" s="750"/>
      <c r="J63" s="750"/>
      <c r="K63" s="750"/>
      <c r="L63" s="54"/>
      <c r="M63" s="54"/>
      <c r="N63" s="54"/>
    </row>
    <row r="64" spans="2:14">
      <c r="C64" s="54" t="s">
        <v>3152</v>
      </c>
      <c r="D64" s="54"/>
      <c r="E64" s="656">
        <v>46014</v>
      </c>
      <c r="F64" s="54">
        <v>8133.0000000016298</v>
      </c>
      <c r="G64" s="84">
        <v>10</v>
      </c>
      <c r="H64" s="61">
        <v>813.3000000001631</v>
      </c>
      <c r="I64" s="54" t="s">
        <v>3153</v>
      </c>
      <c r="J64" s="240"/>
      <c r="K64" s="54"/>
      <c r="L64" s="54"/>
      <c r="M64" s="54"/>
      <c r="N64" s="54"/>
    </row>
    <row r="65" spans="2:14">
      <c r="C65" s="266" t="s">
        <v>639</v>
      </c>
      <c r="D65" s="266"/>
      <c r="E65" s="656"/>
      <c r="F65" s="253"/>
      <c r="G65" s="557"/>
      <c r="H65" s="61"/>
      <c r="I65" s="240"/>
      <c r="J65" s="240"/>
      <c r="K65" s="54"/>
      <c r="L65" s="54"/>
      <c r="M65" s="54"/>
      <c r="N65" s="54"/>
    </row>
    <row r="66" spans="2:14">
      <c r="C66" s="266" t="s">
        <v>639</v>
      </c>
      <c r="D66" s="266"/>
      <c r="E66" s="656"/>
      <c r="F66" s="253"/>
      <c r="G66" s="557"/>
      <c r="H66" s="253"/>
      <c r="I66" s="240"/>
      <c r="J66" s="240"/>
      <c r="K66" s="54"/>
      <c r="L66" s="54"/>
      <c r="M66" s="54"/>
      <c r="N66" s="54"/>
    </row>
    <row r="67" spans="2:14">
      <c r="C67" s="243"/>
      <c r="D67" s="243"/>
      <c r="H67" s="6">
        <f>SUM(H58:H65)</f>
        <v>1820137.8717344897</v>
      </c>
      <c r="I67" s="233" t="s">
        <v>645</v>
      </c>
    </row>
    <row r="69" spans="2:14">
      <c r="B69" s="233" t="s">
        <v>646</v>
      </c>
    </row>
    <row r="70" spans="2:14">
      <c r="B70" s="233" t="s">
        <v>647</v>
      </c>
    </row>
    <row r="71" spans="2:14">
      <c r="B71" s="233" t="s">
        <v>648</v>
      </c>
    </row>
    <row r="80" spans="2:14">
      <c r="F80" s="6"/>
    </row>
    <row r="81" spans="6:6">
      <c r="F81" s="6"/>
    </row>
  </sheetData>
  <pageMargins left="0.7" right="0.7" top="0.75" bottom="0.75" header="0.3" footer="0.3"/>
  <pageSetup scale="53" fitToHeight="0" orientation="landscape" cellComments="asDisplayed" r:id="rId1"/>
  <headerFooter>
    <oddHeader>&amp;CSchedule 5 ROR-2
Return and Capitalization
&amp;RTO2027 Draft Annual Update 
Attachment 1</oddHead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2.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12959806-aaa0-46d7-a2d9-16d3a52829b5"/>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912f540d-d409-4b25-9a6c-10b1df9809fd"/>
    <ds:schemaRef ds:uri="http://www.w3.org/XML/1998/namespace"/>
    <ds:schemaRef ds:uri="http://purl.org/dc/terms/"/>
  </ds:schemaRefs>
</ds:datastoreItem>
</file>

<file path=customXml/itemProps3.xml><?xml version="1.0" encoding="utf-8"?>
<ds:datastoreItem xmlns:ds="http://schemas.openxmlformats.org/officeDocument/2006/customXml" ds:itemID="{FA81571D-F9EA-4DAE-A9D4-67CF4380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35-Other Formula Revenue</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'35-Other Formula Revenue'!Print_Area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2026-06-08T17:50:12Z</cp:lastPrinted>
  <dcterms:created xsi:type="dcterms:W3CDTF">2009-02-27T16:01:11Z</dcterms:created>
  <dcterms:modified xsi:type="dcterms:W3CDTF">2026-06-12T16:50:33Z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CofWorkbookId">
    <vt:lpwstr>185b16f9-b38a-4bd8-bedf-c7304d000ac9</vt:lpwstr>
  </property>
  <property fmtid="{D5CDD505-2E9C-101B-9397-08002B2CF9AE}" pid="5" name="MSIP_Label_bc3dd1c7-2c40-4a31-84b2-bec599b321a0_Enabled">
    <vt:lpwstr>true</vt:lpwstr>
  </property>
  <property fmtid="{D5CDD505-2E9C-101B-9397-08002B2CF9AE}" pid="6" name="MSIP_Label_bc3dd1c7-2c40-4a31-84b2-bec599b321a0_SetDate">
    <vt:lpwstr>2023-10-05T22:50:04Z</vt:lpwstr>
  </property>
  <property fmtid="{D5CDD505-2E9C-101B-9397-08002B2CF9AE}" pid="7" name="MSIP_Label_bc3dd1c7-2c40-4a31-84b2-bec599b321a0_Method">
    <vt:lpwstr>Standard</vt:lpwstr>
  </property>
  <property fmtid="{D5CDD505-2E9C-101B-9397-08002B2CF9AE}" pid="8" name="MSIP_Label_bc3dd1c7-2c40-4a31-84b2-bec599b321a0_Name">
    <vt:lpwstr>bc3dd1c7-2c40-4a31-84b2-bec599b321a0</vt:lpwstr>
  </property>
  <property fmtid="{D5CDD505-2E9C-101B-9397-08002B2CF9AE}" pid="9" name="MSIP_Label_bc3dd1c7-2c40-4a31-84b2-bec599b321a0_SiteId">
    <vt:lpwstr>5b2a8fee-4c95-4bdc-8aae-196f8aacb1b6</vt:lpwstr>
  </property>
  <property fmtid="{D5CDD505-2E9C-101B-9397-08002B2CF9AE}" pid="10" name="MSIP_Label_bc3dd1c7-2c40-4a31-84b2-bec599b321a0_ActionId">
    <vt:lpwstr>5ed5966b-c439-43c4-bfa5-f08a326152b8</vt:lpwstr>
  </property>
  <property fmtid="{D5CDD505-2E9C-101B-9397-08002B2CF9AE}" pid="11" name="MSIP_Label_bc3dd1c7-2c40-4a31-84b2-bec599b321a0_ContentBits">
    <vt:lpwstr>0</vt:lpwstr>
  </property>
  <property fmtid="{D5CDD505-2E9C-101B-9397-08002B2CF9AE}" pid="12" name="{A44787D4-0540-4523-9961-78E4036D8C6D}">
    <vt:lpwstr>{61700C96-F4DC-47A1-A2FA-DC177B945D2A}</vt:lpwstr>
  </property>
</Properties>
</file>