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6"/>
  <workbookPr defaultThemeVersion="166925"/>
  <mc:AlternateContent xmlns:mc="http://schemas.openxmlformats.org/markup-compatibility/2006">
    <mc:Choice Requires="x15">
      <x15ac:absPath xmlns:x15ac="http://schemas.microsoft.com/office/spreadsheetml/2010/11/ac" url="C:\Users\stevenr\Documents\2021 WMP Update\Costs\Veg management\"/>
    </mc:Choice>
  </mc:AlternateContent>
  <xr:revisionPtr revIDLastSave="5" documentId="13_ncr:1_{394BB658-DAD0-4145-A781-E5717D08A5F2}" xr6:coauthVersionLast="46" xr6:coauthVersionMax="46" xr10:uidLastSave="{78DD018F-03B8-45A0-A1FD-F6760FE8FCA8}"/>
  <bookViews>
    <workbookView xWindow="-108" yWindow="-108" windowWidth="23256" windowHeight="13176" tabRatio="822" activeTab="2" xr2:uid="{908528D5-9E8F-4BAA-9963-36B5E67E49B6}"/>
  </bookViews>
  <sheets>
    <sheet name="VM Capital Reconciliation" sheetId="11" r:id="rId1"/>
    <sheet name="VM O&amp;M Reconciliation" sheetId="1" r:id="rId2"/>
    <sheet name="7.3.5.20. Line Clearing HFRA" sheetId="12" r:id="rId3"/>
  </sheets>
  <externalReferences>
    <externalReference r:id="rId4"/>
    <externalReference r:id="rId5"/>
  </externalReferences>
  <definedNames>
    <definedName name="_xlnm._FilterDatabase" localSheetId="0" hidden="1">'VM Capital Reconciliation'!$B$4:$T$21</definedName>
    <definedName name="_xlnm._FilterDatabase" localSheetId="1" hidden="1">'VM O&amp;M Reconciliation'!$B$4:$V$32</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12" l="1"/>
  <c r="C23" i="12"/>
  <c r="D20" i="12"/>
  <c r="B27" i="12"/>
  <c r="C20" i="12"/>
  <c r="E24" i="12"/>
  <c r="E25" i="12"/>
  <c r="E26" i="12"/>
  <c r="D21" i="12"/>
  <c r="D27" i="12" s="1"/>
  <c r="C21" i="12"/>
  <c r="C27" i="12" l="1"/>
  <c r="E22" i="12" l="1"/>
  <c r="E16" i="12"/>
  <c r="E19" i="12"/>
  <c r="E18" i="12"/>
  <c r="E17" i="12"/>
  <c r="F7" i="12"/>
  <c r="D7" i="12"/>
  <c r="B7" i="12"/>
  <c r="G6" i="12"/>
  <c r="E6" i="12"/>
  <c r="C6" i="12"/>
  <c r="H6" i="12" s="1"/>
  <c r="G5" i="12"/>
  <c r="E5" i="12"/>
  <c r="C5" i="12"/>
  <c r="H4" i="12"/>
  <c r="G3" i="12"/>
  <c r="E3" i="12"/>
  <c r="C3" i="12"/>
  <c r="H3" i="12" s="1"/>
  <c r="H10" i="12" l="1"/>
  <c r="G7" i="12"/>
  <c r="M28" i="1" s="1"/>
  <c r="E7" i="12"/>
  <c r="L28" i="1" s="1"/>
  <c r="C7" i="12"/>
  <c r="K28" i="1" s="1"/>
  <c r="H5" i="12"/>
  <c r="E23" i="12"/>
  <c r="E21" i="12"/>
  <c r="E20" i="12"/>
  <c r="E27" i="12" l="1"/>
  <c r="E30" i="12" s="1"/>
  <c r="H7" i="12"/>
  <c r="H11" i="12" s="1"/>
  <c r="H12" i="12" s="1"/>
  <c r="M19" i="11"/>
  <c r="L19" i="11"/>
  <c r="N19" i="11" s="1"/>
  <c r="M18" i="11"/>
  <c r="L18" i="11"/>
  <c r="K18" i="11"/>
  <c r="I18" i="11"/>
  <c r="H18" i="11"/>
  <c r="G18" i="11"/>
  <c r="J18" i="11" s="1"/>
  <c r="I19" i="11"/>
  <c r="H19" i="11"/>
  <c r="J19" i="11" s="1"/>
  <c r="L20" i="11"/>
  <c r="Q17" i="11"/>
  <c r="Q18" i="11" s="1"/>
  <c r="P17" i="11"/>
  <c r="P18" i="11" s="1"/>
  <c r="O17" i="11"/>
  <c r="N17" i="11"/>
  <c r="J17" i="11"/>
  <c r="F17" i="11"/>
  <c r="Q16" i="11"/>
  <c r="P16" i="11"/>
  <c r="O16" i="11"/>
  <c r="N16" i="11"/>
  <c r="J16" i="11"/>
  <c r="F16" i="11"/>
  <c r="Q15" i="11"/>
  <c r="P15" i="11"/>
  <c r="O15" i="11"/>
  <c r="R15" i="11" s="1"/>
  <c r="N15" i="11"/>
  <c r="J15" i="11"/>
  <c r="F15" i="11"/>
  <c r="Q14" i="11"/>
  <c r="P14" i="11"/>
  <c r="O14" i="11"/>
  <c r="N14" i="11"/>
  <c r="J14" i="11"/>
  <c r="F14" i="11"/>
  <c r="Q13" i="11"/>
  <c r="P13" i="11"/>
  <c r="O13" i="11"/>
  <c r="R13" i="11" s="1"/>
  <c r="N13" i="11"/>
  <c r="J13" i="11"/>
  <c r="F13" i="11"/>
  <c r="Q12" i="11"/>
  <c r="P12" i="11"/>
  <c r="O12" i="11"/>
  <c r="N12" i="11"/>
  <c r="J12" i="11"/>
  <c r="F12" i="11"/>
  <c r="Q11" i="11"/>
  <c r="P11" i="11"/>
  <c r="O11" i="11"/>
  <c r="R11" i="11" s="1"/>
  <c r="N11" i="11"/>
  <c r="J11" i="11"/>
  <c r="F11" i="11"/>
  <c r="Q10" i="11"/>
  <c r="P10" i="11"/>
  <c r="O10" i="11"/>
  <c r="N10" i="11"/>
  <c r="J10" i="11"/>
  <c r="F10" i="11"/>
  <c r="Q9" i="11"/>
  <c r="P9" i="11"/>
  <c r="O9" i="11"/>
  <c r="N9" i="11"/>
  <c r="J9" i="11"/>
  <c r="F9" i="11"/>
  <c r="Q8" i="11"/>
  <c r="P8" i="11"/>
  <c r="O8" i="11"/>
  <c r="N8" i="11"/>
  <c r="J8" i="11"/>
  <c r="F8" i="11"/>
  <c r="Q7" i="11"/>
  <c r="Q19" i="11" s="1"/>
  <c r="P7" i="11"/>
  <c r="P19" i="11" s="1"/>
  <c r="O7" i="11"/>
  <c r="R7" i="11" s="1"/>
  <c r="N7" i="11"/>
  <c r="J7" i="11"/>
  <c r="F7" i="11"/>
  <c r="R6" i="11"/>
  <c r="N6" i="11"/>
  <c r="J6" i="11"/>
  <c r="F6" i="11"/>
  <c r="I20" i="11"/>
  <c r="R5" i="11"/>
  <c r="N5" i="11"/>
  <c r="J5" i="11"/>
  <c r="F5" i="11"/>
  <c r="R17" i="11" l="1"/>
  <c r="O18" i="11"/>
  <c r="R14" i="11"/>
  <c r="R10" i="11"/>
  <c r="R9" i="11"/>
  <c r="R8" i="11"/>
  <c r="R12" i="11"/>
  <c r="R16" i="11"/>
  <c r="O20" i="11"/>
  <c r="P20" i="11"/>
  <c r="I21" i="11"/>
  <c r="R18" i="11"/>
  <c r="K20" i="11"/>
  <c r="G20" i="11"/>
  <c r="H20" i="11"/>
  <c r="H21" i="11" s="1"/>
  <c r="L21" i="11"/>
  <c r="N18" i="11"/>
  <c r="M20" i="11"/>
  <c r="M21" i="11" l="1"/>
  <c r="N20" i="11"/>
  <c r="N21" i="11" s="1"/>
  <c r="K21" i="11"/>
  <c r="P21" i="11"/>
  <c r="O21" i="11"/>
  <c r="J20" i="11"/>
  <c r="G21" i="11"/>
  <c r="Q20" i="11"/>
  <c r="R19" i="11"/>
  <c r="Q21" i="11" l="1"/>
  <c r="J21" i="11"/>
  <c r="R20" i="11"/>
  <c r="R21" i="11" s="1"/>
  <c r="K30" i="1" l="1"/>
  <c r="M30" i="1"/>
  <c r="I30" i="1"/>
  <c r="H30" i="1"/>
  <c r="G30" i="1"/>
  <c r="O27" i="1"/>
  <c r="F5" i="1"/>
  <c r="L30" i="1"/>
  <c r="J30" i="1" l="1"/>
  <c r="N30" i="1"/>
  <c r="F28" i="1" l="1"/>
  <c r="F27" i="1"/>
  <c r="F26" i="1"/>
  <c r="F25" i="1"/>
  <c r="F24" i="1"/>
  <c r="F23" i="1"/>
  <c r="F22" i="1"/>
  <c r="F21" i="1"/>
  <c r="F20" i="1"/>
  <c r="F19" i="1"/>
  <c r="F18" i="1"/>
  <c r="F17" i="1"/>
  <c r="F16" i="1"/>
  <c r="F15" i="1"/>
  <c r="F14" i="1"/>
  <c r="F13" i="1"/>
  <c r="F12" i="1"/>
  <c r="F11" i="1"/>
  <c r="F10" i="1"/>
  <c r="F9" i="1"/>
  <c r="F8" i="1"/>
  <c r="F7" i="1"/>
  <c r="F6" i="1"/>
  <c r="M29" i="1" l="1"/>
  <c r="L29" i="1"/>
  <c r="K29" i="1"/>
  <c r="N29" i="1" l="1"/>
  <c r="M31" i="1"/>
  <c r="O14" i="1"/>
  <c r="K31" i="1"/>
  <c r="K32" i="1" s="1"/>
  <c r="L31" i="1"/>
  <c r="L32" i="1" s="1"/>
  <c r="R8" i="1"/>
  <c r="R5" i="1"/>
  <c r="N7" i="1"/>
  <c r="N8" i="1"/>
  <c r="N9" i="1"/>
  <c r="N10" i="1"/>
  <c r="N11" i="1"/>
  <c r="N12" i="1"/>
  <c r="N13" i="1"/>
  <c r="N14" i="1"/>
  <c r="N15" i="1"/>
  <c r="N16" i="1"/>
  <c r="N17" i="1"/>
  <c r="N18" i="1"/>
  <c r="N19" i="1"/>
  <c r="N20" i="1"/>
  <c r="N21" i="1"/>
  <c r="N22" i="1"/>
  <c r="N23" i="1"/>
  <c r="N24" i="1"/>
  <c r="N25" i="1"/>
  <c r="N26" i="1"/>
  <c r="N27" i="1"/>
  <c r="N28" i="1"/>
  <c r="N5" i="1"/>
  <c r="N6" i="1"/>
  <c r="J7" i="1"/>
  <c r="J8" i="1"/>
  <c r="J9" i="1"/>
  <c r="J10" i="1"/>
  <c r="J11" i="1"/>
  <c r="J12" i="1"/>
  <c r="J13" i="1"/>
  <c r="J14" i="1"/>
  <c r="J15" i="1"/>
  <c r="J16" i="1"/>
  <c r="J17" i="1"/>
  <c r="J18" i="1"/>
  <c r="J19" i="1"/>
  <c r="J20" i="1"/>
  <c r="J21" i="1"/>
  <c r="J22" i="1"/>
  <c r="J23" i="1"/>
  <c r="J24" i="1"/>
  <c r="J25" i="1"/>
  <c r="J26" i="1"/>
  <c r="J27" i="1"/>
  <c r="J28" i="1"/>
  <c r="J5" i="1"/>
  <c r="O7" i="1"/>
  <c r="P7" i="1"/>
  <c r="Q7" i="1"/>
  <c r="O9" i="1"/>
  <c r="P9" i="1"/>
  <c r="Q9" i="1"/>
  <c r="O10" i="1"/>
  <c r="P10" i="1"/>
  <c r="Q10" i="1"/>
  <c r="O11" i="1"/>
  <c r="P11" i="1"/>
  <c r="Q11" i="1"/>
  <c r="O12" i="1"/>
  <c r="P12" i="1"/>
  <c r="Q12" i="1"/>
  <c r="O13" i="1"/>
  <c r="P13" i="1"/>
  <c r="Q13" i="1"/>
  <c r="P14" i="1"/>
  <c r="Q14" i="1"/>
  <c r="O15" i="1"/>
  <c r="P15" i="1"/>
  <c r="Q15" i="1"/>
  <c r="O16" i="1"/>
  <c r="P16" i="1"/>
  <c r="Q16" i="1"/>
  <c r="O17" i="1"/>
  <c r="P17" i="1"/>
  <c r="Q17" i="1"/>
  <c r="O18" i="1"/>
  <c r="P18" i="1"/>
  <c r="Q18" i="1"/>
  <c r="O19" i="1"/>
  <c r="P19" i="1"/>
  <c r="Q19" i="1"/>
  <c r="O20" i="1"/>
  <c r="P20" i="1"/>
  <c r="Q20" i="1"/>
  <c r="O21" i="1"/>
  <c r="P21" i="1"/>
  <c r="Q21" i="1"/>
  <c r="O22" i="1"/>
  <c r="P22" i="1"/>
  <c r="Q22" i="1"/>
  <c r="O23" i="1"/>
  <c r="P23" i="1"/>
  <c r="Q23" i="1"/>
  <c r="O24" i="1"/>
  <c r="P24" i="1"/>
  <c r="Q24" i="1"/>
  <c r="O25" i="1"/>
  <c r="P25" i="1"/>
  <c r="Q25" i="1"/>
  <c r="O26" i="1"/>
  <c r="P26" i="1"/>
  <c r="Q26" i="1"/>
  <c r="P27" i="1"/>
  <c r="Q27" i="1"/>
  <c r="O28" i="1"/>
  <c r="P28" i="1"/>
  <c r="Q28" i="1"/>
  <c r="I6" i="1"/>
  <c r="H6" i="1"/>
  <c r="G6" i="1"/>
  <c r="G29" i="1" l="1"/>
  <c r="G31" i="1"/>
  <c r="G32" i="1" s="1"/>
  <c r="P6" i="1"/>
  <c r="H29" i="1"/>
  <c r="I31" i="1"/>
  <c r="I29" i="1"/>
  <c r="R17" i="1"/>
  <c r="P29" i="1"/>
  <c r="Q29" i="1"/>
  <c r="P30" i="1"/>
  <c r="O29" i="1"/>
  <c r="M32" i="1"/>
  <c r="R7" i="1"/>
  <c r="R9" i="1"/>
  <c r="O6" i="1"/>
  <c r="O30" i="1" s="1"/>
  <c r="R13" i="1"/>
  <c r="R24" i="1"/>
  <c r="R28" i="1"/>
  <c r="R27" i="1"/>
  <c r="R23" i="1"/>
  <c r="R26" i="1"/>
  <c r="R25" i="1"/>
  <c r="R22" i="1"/>
  <c r="R21" i="1"/>
  <c r="R20" i="1"/>
  <c r="R19" i="1"/>
  <c r="R18" i="1"/>
  <c r="R16" i="1"/>
  <c r="R15" i="1"/>
  <c r="P31" i="1"/>
  <c r="R14" i="1"/>
  <c r="N31" i="1"/>
  <c r="N32" i="1" s="1"/>
  <c r="R11" i="1"/>
  <c r="R12" i="1"/>
  <c r="R10" i="1"/>
  <c r="J6" i="1"/>
  <c r="Q6" i="1"/>
  <c r="Q30" i="1" s="1"/>
  <c r="H31" i="1"/>
  <c r="I32" i="1" l="1"/>
  <c r="J29" i="1"/>
  <c r="R30" i="1"/>
  <c r="R29" i="1"/>
  <c r="H32" i="1"/>
  <c r="J31" i="1"/>
  <c r="J32" i="1" s="1"/>
  <c r="P32" i="1"/>
  <c r="O31" i="1"/>
  <c r="O32" i="1" s="1"/>
  <c r="R6" i="1"/>
  <c r="Q31" i="1"/>
  <c r="Q32" i="1" l="1"/>
  <c r="R31" i="1"/>
  <c r="R3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Vivien Chen</author>
  </authors>
  <commentList>
    <comment ref="A3" authorId="0" shapeId="0" xr:uid="{0BDD8E1F-2F67-4538-9916-D9E802B49DC0}">
      <text>
        <r>
          <rPr>
            <b/>
            <sz val="9"/>
            <color indexed="81"/>
            <rFont val="Tahoma"/>
            <family val="2"/>
          </rPr>
          <t>Vivien Chen:</t>
        </r>
        <r>
          <rPr>
            <sz val="9"/>
            <color indexed="81"/>
            <rFont val="Tahoma"/>
            <family val="2"/>
          </rPr>
          <t xml:space="preserve">
Includes roaming, T&amp;D and others such as allocation and Summer Readiness)
2021&amp;2022 includes pre-inspection but not 2020</t>
        </r>
      </text>
    </comment>
  </commentList>
</comments>
</file>

<file path=xl/sharedStrings.xml><?xml version="1.0" encoding="utf-8"?>
<sst xmlns="http://schemas.openxmlformats.org/spreadsheetml/2006/main" count="252" uniqueCount="140">
  <si>
    <t>Initiative</t>
  </si>
  <si>
    <t>Initiative ID
 (Table 12)</t>
  </si>
  <si>
    <t>WF 2020 (Table 25)</t>
  </si>
  <si>
    <t>WF 2021 (Table 12)</t>
  </si>
  <si>
    <t>Change of HFTD Classification</t>
  </si>
  <si>
    <t>2020 WMP</t>
  </si>
  <si>
    <t>2021 WMP</t>
  </si>
  <si>
    <t>Delta (2021 - 2020)</t>
  </si>
  <si>
    <t>Total</t>
  </si>
  <si>
    <t>2020 WMP Forecast vs. 2020 Actuals</t>
  </si>
  <si>
    <t>2020 WMP (Forecast 2021/2022) vs. 2021 WMP (Forecast 2021/2022)</t>
  </si>
  <si>
    <t>1. Additional efforts to manage community and environmental impacts</t>
  </si>
  <si>
    <t>7.3.5.1.</t>
  </si>
  <si>
    <t>NA</t>
  </si>
  <si>
    <t>4. Emergency response vegetation management due to red flag warning or other urgent conditions</t>
  </si>
  <si>
    <t>7.3.5.4.</t>
  </si>
  <si>
    <t>5. Fuel management and reduction of “slash” from vegetation management activities</t>
  </si>
  <si>
    <t>7.3.5.5.</t>
  </si>
  <si>
    <t>6. Improvement of inspections</t>
  </si>
  <si>
    <t>7.3.5.6.</t>
  </si>
  <si>
    <t>7. LiDAR inspections of vegetation around distribution electric lines and equipment</t>
  </si>
  <si>
    <t>7.3.5.7.</t>
  </si>
  <si>
    <t>9. Other discretionary inspection of vegetation around distribution electric lines and equipment, beyond inspections mandated by rules and regulations</t>
  </si>
  <si>
    <t>7.3.5.9.</t>
  </si>
  <si>
    <t>10. Other discretionary inspection of vegetation around transmission electric lines and equipment, beyond inspections mandated by rules and regulations</t>
  </si>
  <si>
    <t>7.3.5.10.</t>
  </si>
  <si>
    <t>14. Recruiting and training of vegetation management personnel</t>
  </si>
  <si>
    <t>7.3.5.14.</t>
  </si>
  <si>
    <t>HFTD</t>
  </si>
  <si>
    <t>Non-HFTD</t>
  </si>
  <si>
    <t>15. Remediation of at-risk species</t>
  </si>
  <si>
    <t>7.3.5.15.</t>
  </si>
  <si>
    <t>16. Removal and remediation of trees with strike potential to electric lines and equipment</t>
  </si>
  <si>
    <t>7.3.5.16.</t>
  </si>
  <si>
    <t>17. Substation inspections</t>
  </si>
  <si>
    <t>7.3.5.17.</t>
  </si>
  <si>
    <t>18. Substation vegetation management</t>
  </si>
  <si>
    <t>7.3.5.18.</t>
  </si>
  <si>
    <t>19. Vegetation inventory system</t>
  </si>
  <si>
    <t>7.3.5.19</t>
  </si>
  <si>
    <r>
      <rPr>
        <b/>
        <sz val="11"/>
        <color theme="1"/>
        <rFont val="Calibri"/>
        <family val="2"/>
        <scheme val="minor"/>
      </rPr>
      <t>Arbora:</t>
    </r>
    <r>
      <rPr>
        <sz val="11"/>
        <color theme="1"/>
        <rFont val="Calibri"/>
        <family val="2"/>
        <scheme val="minor"/>
      </rPr>
      <t xml:space="preserve"> Increase due to new Arbora Technology Tool investment, emergent program post 2020 WMP filing. </t>
    </r>
    <r>
      <rPr>
        <b/>
        <sz val="11"/>
        <color theme="1"/>
        <rFont val="Calibri"/>
        <family val="2"/>
        <scheme val="minor"/>
      </rPr>
      <t>Survey 123:</t>
    </r>
    <r>
      <rPr>
        <sz val="11"/>
        <color theme="1"/>
        <rFont val="Calibri"/>
        <family val="2"/>
        <scheme val="minor"/>
      </rPr>
      <t xml:space="preserve"> Previously Clearion replacement) mapped in 2020 WMP under Assets &amp; Inspections mitigation "EOI Technology  Support Tools" Sub-Activity (IN-1), Table 28, Initiative 4. </t>
    </r>
  </si>
  <si>
    <r>
      <rPr>
        <b/>
        <sz val="11"/>
        <color theme="1"/>
        <rFont val="Calibri"/>
        <family val="2"/>
        <scheme val="minor"/>
      </rPr>
      <t>Arbora:</t>
    </r>
    <r>
      <rPr>
        <sz val="11"/>
        <color theme="1"/>
        <rFont val="Calibri"/>
        <family val="2"/>
        <scheme val="minor"/>
      </rPr>
      <t xml:space="preserve"> Increase due to new Arbora Technology Tool investment, emergent program post 2020 WMP filing.  </t>
    </r>
    <r>
      <rPr>
        <b/>
        <sz val="11"/>
        <color theme="1"/>
        <rFont val="Calibri"/>
        <family val="2"/>
        <scheme val="minor"/>
      </rPr>
      <t>Survey 123:</t>
    </r>
    <r>
      <rPr>
        <sz val="11"/>
        <color theme="1"/>
        <rFont val="Calibri"/>
        <family val="2"/>
        <scheme val="minor"/>
      </rPr>
      <t xml:space="preserve"> Previously (Clearion replacement) mapped in 2020 WMP under Assets &amp; Inspections mitigation "EOI Technology  Support Tools" Sub-Activity (IN-1), Table 28, Initiative 4. </t>
    </r>
  </si>
  <si>
    <t>Total HFTD</t>
  </si>
  <si>
    <t>Total Non-HFTD</t>
  </si>
  <si>
    <t>7.3.5.1</t>
  </si>
  <si>
    <t>2. Detailed inspections of vegetation around distribution electric lines and equipment</t>
  </si>
  <si>
    <t>7.3.5.2</t>
  </si>
  <si>
    <t>System Wide</t>
  </si>
  <si>
    <t xml:space="preserve">Original 2020 forecasted tree inspections based on lump-sum contracts, with predetermined units. Throughout 2020 inspection counts were revisited and increased, which required changing the terms of original contract, and factoring in T&amp;E to account for incremental inspections. Increases in costs were driven by change in inspection rates, and change in inspection counts. </t>
  </si>
  <si>
    <t xml:space="preserve">Reduction in costs in 2021 and 2022 reflects fewer emergent inspections expected compared to 2020.  2021 and 2022 forecasts includes the Non-HFRA of ~$4M annually and reflect rate increases that also apply to 2020. </t>
  </si>
  <si>
    <t>3. Detailed inspections of vegetation around transmission electric lines and equipment</t>
  </si>
  <si>
    <t>7.3.5.3</t>
  </si>
  <si>
    <t xml:space="preserve">Increase in 2021 and 2022 reflect additional expected deeper trims in Transmission corridors to reach full 30' clearance. </t>
  </si>
  <si>
    <t>7.3.5.4</t>
  </si>
  <si>
    <t>7.3.5.5</t>
  </si>
  <si>
    <t>5.1. Fuel management and reduction of “slash” from vegetation management activities: expanded pole brushing</t>
  </si>
  <si>
    <t>7.3.5.5.1</t>
  </si>
  <si>
    <r>
      <rPr>
        <b/>
        <sz val="11"/>
        <rFont val="Calibri"/>
        <family val="2"/>
        <scheme val="minor"/>
      </rPr>
      <t>Expanded Pole Brushing &amp; Removal:</t>
    </r>
    <r>
      <rPr>
        <sz val="11"/>
        <rFont val="Calibri"/>
        <family val="2"/>
        <scheme val="minor"/>
      </rPr>
      <t xml:space="preserve"> In 2020 WMP SCE forecasted 300K (compliance target 200k) units to be completed at a unit cost of $14.  2020 actuals reflect completion of 234K poles minus 75k compliance poles (159k poles). The unit costs recorded higher in 2020, therefore SCE adjusted the 2021 and 2022 forecast based on the revised unit costs of $44.  Increase due to higher average costs from the addition of two new vendors necessary to complete scope (competitive). </t>
    </r>
  </si>
  <si>
    <r>
      <rPr>
        <b/>
        <sz val="11"/>
        <rFont val="Calibri"/>
        <family val="2"/>
        <scheme val="minor"/>
      </rPr>
      <t>Expanded Pole Brushing &amp; Removal:</t>
    </r>
    <r>
      <rPr>
        <sz val="11"/>
        <rFont val="Calibri"/>
        <family val="2"/>
        <scheme val="minor"/>
      </rPr>
      <t xml:space="preserve"> Forecast increase due to higher average costs, due to competitively procuring a new vendor with a higher cost per pole</t>
    </r>
  </si>
  <si>
    <t>5.2. Fuel management and reduction of “slash” from vegetation management activities: expanded clearances for legacy facilities</t>
  </si>
  <si>
    <t>7.3.5.5.2</t>
  </si>
  <si>
    <r>
      <rPr>
        <b/>
        <sz val="11"/>
        <color theme="1"/>
        <rFont val="Calibri"/>
        <family val="2"/>
        <scheme val="minor"/>
      </rPr>
      <t>Generation Expanded Vegetation Buffers:</t>
    </r>
    <r>
      <rPr>
        <sz val="11"/>
        <color theme="1"/>
        <rFont val="Calibri"/>
        <family val="2"/>
        <scheme val="minor"/>
      </rPr>
      <t xml:space="preserve">  2020 recorded of $881K, included in Vegetation Line Clearing actuals 7.3.5.20, for reporting purposes.</t>
    </r>
  </si>
  <si>
    <t>7.3.5.6</t>
  </si>
  <si>
    <t>7.3.5.7</t>
  </si>
  <si>
    <t>8. LiDAR inspections of vegetation around transmission electric lines and equipment</t>
  </si>
  <si>
    <t>7.3.5.8</t>
  </si>
  <si>
    <r>
      <rPr>
        <b/>
        <sz val="11"/>
        <color theme="1"/>
        <rFont val="Calibri"/>
        <family val="2"/>
        <scheme val="minor"/>
      </rPr>
      <t xml:space="preserve">LiDAR </t>
    </r>
    <r>
      <rPr>
        <sz val="11"/>
        <color theme="1"/>
        <rFont val="Calibri"/>
        <family val="2"/>
        <scheme val="minor"/>
      </rPr>
      <t xml:space="preserve">increase driven by Distribution and Transmission remediations, and minor 2019 carry over. </t>
    </r>
  </si>
  <si>
    <t>7.3.5.9</t>
  </si>
  <si>
    <t>7.3.5.10</t>
  </si>
  <si>
    <t>11. Patrol inspections of vegetation around distribution electric lines and equipment</t>
  </si>
  <si>
    <t>7.3.5.11</t>
  </si>
  <si>
    <t>Summer Readiness Dist. cost combined in Line Clearing costs ID 7.3.5.20.</t>
  </si>
  <si>
    <t>Summer Readiness Distribution forecasts costs were included in the Line Clearing forecast ID 7.3.5.20.</t>
  </si>
  <si>
    <t>12. Patrol inspections of vegetation around transmission electric lines and equipment</t>
  </si>
  <si>
    <t>7.3.5.12</t>
  </si>
  <si>
    <t>Summer Readiness Trans cost combined in Line Clearing costs ID 7.3.5.20.</t>
  </si>
  <si>
    <t>Summer Readiness Transmission forecasts costs were included in the Line Clearing forecast ID 7.3.5.20.</t>
  </si>
  <si>
    <t>13. Quality assurance / quality control of inspections: quality control
(VM-5)</t>
  </si>
  <si>
    <t>7.3.5.13</t>
  </si>
  <si>
    <t>The Dist./Trans QA Program was included in the 2020 WMP as Non-WF Program, captured in Table 25. Following the 2020 WMP Filing, the Program was expanded and classified as a WF Program driven by the dramatic increase in scope for the Veg Management program in HFRA. In the 2021 WMP Program Filing, Dist. QA was captured in WMP Table 12.</t>
  </si>
  <si>
    <t>7.3.5.14</t>
  </si>
  <si>
    <t>7.3.5.15</t>
  </si>
  <si>
    <t>7.3.5.16</t>
  </si>
  <si>
    <t>16.1. Removal and remediation of trees with strike potential to electric lines and equipment: hazard tree
(VM-1)</t>
  </si>
  <si>
    <t>7.3.5.16.1</t>
  </si>
  <si>
    <r>
      <t xml:space="preserve">Hazard Tree Mitigation: </t>
    </r>
    <r>
      <rPr>
        <sz val="11"/>
        <color theme="1"/>
        <rFont val="Calibri"/>
        <family val="2"/>
        <scheme val="minor"/>
      </rPr>
      <t>Volume lower than forecast - arborist expertise favors removal over trimming mitigation due to risk of trees  dying from the amount of trimming required to mitigate risk.</t>
    </r>
    <r>
      <rPr>
        <b/>
        <sz val="11"/>
        <color theme="1"/>
        <rFont val="Calibri"/>
        <family val="2"/>
        <scheme val="minor"/>
      </rPr>
      <t xml:space="preserve"> Hazard Tree Program Management: </t>
    </r>
    <r>
      <rPr>
        <sz val="11"/>
        <color theme="1"/>
        <rFont val="Calibri"/>
        <family val="2"/>
        <scheme val="minor"/>
      </rPr>
      <t xml:space="preserve">Forecast associated with number of mitigations/removals. Forecast underrun due to scope reductions as a result of lower # of mitigations identified.  </t>
    </r>
    <r>
      <rPr>
        <b/>
        <sz val="11"/>
        <color theme="1"/>
        <rFont val="Calibri"/>
        <family val="2"/>
        <scheme val="minor"/>
      </rPr>
      <t xml:space="preserve">Hazard Tree Removal: </t>
    </r>
    <r>
      <rPr>
        <sz val="11"/>
        <color theme="1"/>
        <rFont val="Calibri"/>
        <family val="2"/>
        <scheme val="minor"/>
      </rPr>
      <t xml:space="preserve">SB247 rate increases impacted original forecasts and pricing. Reduced volume of removals from forecast. </t>
    </r>
    <r>
      <rPr>
        <b/>
        <sz val="11"/>
        <color theme="1"/>
        <rFont val="Calibri"/>
        <family val="2"/>
        <scheme val="minor"/>
      </rPr>
      <t xml:space="preserve"> Hazard Tree Inspection: </t>
    </r>
    <r>
      <rPr>
        <sz val="11"/>
        <color theme="1"/>
        <rFont val="Calibri"/>
        <family val="2"/>
        <scheme val="minor"/>
      </rPr>
      <t xml:space="preserve">2020 Actuals driven by increase in contractor assessments. </t>
    </r>
  </si>
  <si>
    <r>
      <t xml:space="preserve">Hazard Tree Mitigation:  </t>
    </r>
    <r>
      <rPr>
        <sz val="11"/>
        <rFont val="Calibri"/>
        <family val="2"/>
        <scheme val="minor"/>
      </rPr>
      <t>Increase in forecast driven by inclusion of Palm Program ($10M). Adjustments made for SB247 and related rate increases and reduced units of trimming mitigation.</t>
    </r>
    <r>
      <rPr>
        <b/>
        <sz val="11"/>
        <rFont val="Calibri"/>
        <family val="2"/>
        <scheme val="minor"/>
      </rPr>
      <t xml:space="preserve"> Hazard Tree Program Management: </t>
    </r>
    <r>
      <rPr>
        <sz val="11"/>
        <rFont val="Calibri"/>
        <family val="2"/>
        <scheme val="minor"/>
      </rPr>
      <t xml:space="preserve">Reduced amount commensurate with mitigation volumes.  </t>
    </r>
    <r>
      <rPr>
        <b/>
        <sz val="11"/>
        <rFont val="Calibri"/>
        <family val="2"/>
        <scheme val="minor"/>
      </rPr>
      <t xml:space="preserve">Hazard Tree Removal:  </t>
    </r>
    <r>
      <rPr>
        <sz val="11"/>
        <rFont val="Calibri"/>
        <family val="2"/>
        <scheme val="minor"/>
      </rPr>
      <t xml:space="preserve">Increase in forecast driven by inclusion of SB247 and related rate increases, estimated at roughly 75%. </t>
    </r>
    <r>
      <rPr>
        <b/>
        <sz val="11"/>
        <rFont val="Calibri"/>
        <family val="2"/>
        <scheme val="minor"/>
      </rPr>
      <t xml:space="preserve">Hazard Tree Inspection: </t>
    </r>
    <r>
      <rPr>
        <sz val="11"/>
        <rFont val="Calibri"/>
        <family val="2"/>
        <scheme val="minor"/>
      </rPr>
      <t xml:space="preserve">Forecast increases driven by increased contractor assessment costs. </t>
    </r>
  </si>
  <si>
    <t>16.2. Removal and remediation of trees with strike potential to electric lines and equipment: DRI quarterly inspections and tree removals (VM-4)</t>
  </si>
  <si>
    <t>7.3.5.16.2</t>
  </si>
  <si>
    <t xml:space="preserve">In 2020 WMP filing DRI Program was included in WMP as Non-WF activity and not bundled as part of Wildfire Mitigation. DRI Program was captured in Table 25, under initiative activity 16.2, as Non-WF. Rate impacts were unknown in 2020 as noted in section 5.1.14 in the 2020 WMP Filing.  2020 WMP also noted DRI Forecast did not account SB247 rate increases and impacts. Drought was not included in 2021 WMP for the year 2020; 2020 costs will be recovered through CEMA whereas 2021 and 2022 will be part of the 2021 GRC requested VMBA.  In 2021 SCE also requested for all of its Vegetation Programs, to be managed in a single balancing account.  Note: 2021/2022 Costs were included in 7.3.5.20 in table 12. The costs have been separated, for purposes of this reconciliation to 2020 WMP. </t>
  </si>
  <si>
    <t>In 2020 WMP filing DRI Program was included in WMP as Non-WF activity and not bundled as part of Wildfire Mitigation. DRI Program was captured in Table 25, under initiative activity 16.2, as Non-WF. Rate impacts were unknown in 2020 as noted in section 5.1.14 in the 2020 WMP Filing, noting DRI Forecast did not account SB247 rate increases and impacts. In 2021 SCE requested for all of its Vegetation Programs, to be managed in a single balancing account.  Drought Removal Program (estimated $45M annually).</t>
  </si>
  <si>
    <t>7.3.5.17</t>
  </si>
  <si>
    <t>7.3.5.18</t>
  </si>
  <si>
    <r>
      <rPr>
        <b/>
        <sz val="11"/>
        <color theme="1"/>
        <rFont val="Calibri"/>
        <family val="2"/>
        <scheme val="minor"/>
      </rPr>
      <t>Arbora:</t>
    </r>
    <r>
      <rPr>
        <sz val="11"/>
        <color theme="1"/>
        <rFont val="Calibri"/>
        <family val="2"/>
        <scheme val="minor"/>
      </rPr>
      <t xml:space="preserve"> Increase due to new Arbora Technology Tool investment, emergent program post 2020 WMP filing. </t>
    </r>
    <r>
      <rPr>
        <b/>
        <sz val="11"/>
        <color theme="1"/>
        <rFont val="Calibri"/>
        <family val="2"/>
        <scheme val="minor"/>
      </rPr>
      <t>Survey 123:</t>
    </r>
    <r>
      <rPr>
        <sz val="11"/>
        <color theme="1"/>
        <rFont val="Calibri"/>
        <family val="2"/>
        <scheme val="minor"/>
      </rPr>
      <t xml:space="preserve"> Previously mapped in 2020 WMP under Assets &amp; Inspections mitigation "EOI Technology  Support Tools" Sub-Activity (IN-1), Table 28, Initiative 4. </t>
    </r>
  </si>
  <si>
    <r>
      <rPr>
        <b/>
        <sz val="11"/>
        <rFont val="Calibri"/>
        <family val="2"/>
        <scheme val="minor"/>
      </rPr>
      <t>Arbora:</t>
    </r>
    <r>
      <rPr>
        <sz val="11"/>
        <rFont val="Calibri"/>
        <family val="2"/>
        <scheme val="minor"/>
      </rPr>
      <t xml:space="preserve"> Increase due to new Arbora Technology Tool investment, emergent program post 2020 WMP filing.  </t>
    </r>
    <r>
      <rPr>
        <b/>
        <sz val="11"/>
        <rFont val="Calibri"/>
        <family val="2"/>
        <scheme val="minor"/>
      </rPr>
      <t>Survey 123:</t>
    </r>
    <r>
      <rPr>
        <sz val="11"/>
        <rFont val="Calibri"/>
        <family val="2"/>
        <scheme val="minor"/>
      </rPr>
      <t xml:space="preserve"> Previously mapped in 2020 WMP under Assets &amp; Inspections mitigation "EOI Technology  Support Tools" Sub-Activity (IN-1), Table 28, Initiative 4. </t>
    </r>
  </si>
  <si>
    <t>20. Vegetation management to achieve clearances around electric lines and equipment</t>
  </si>
  <si>
    <t>7.3.5.20</t>
  </si>
  <si>
    <t>See workpaper 7.3.5.20 reconciliation.</t>
  </si>
  <si>
    <t xml:space="preserve">See workpaper 7.3.5.20 reconciliation. SCE identified Pre-Inspections costs in this line item, and has removed the 2021 and 2022.  The 2020 recorded and 2021/2022 forecasted costs have been refined to eliminate HFRA (~$11M) annually, accounted for above in 7.3.5.2 and 7.3.5.3. </t>
  </si>
  <si>
    <t>WMP Initiative ID 7.3.5.20</t>
  </si>
  <si>
    <t>3-Year</t>
  </si>
  <si>
    <t>Comments</t>
  </si>
  <si>
    <t>Line Clearing Reconciliation</t>
  </si>
  <si>
    <t>Variance</t>
  </si>
  <si>
    <t>Trims &amp; Removals</t>
  </si>
  <si>
    <t>Reduction from 2020 actuals to 2021/2022 forecast reflects fewer deeper trims based on achievement in 2020.  2020 vs. 2021 WMP delta of $154M (see further detail below) due to 2020 WMP forecast of $76M did not include: 
- System wide trims $12M (2020 only).
- Distribution removals $17M (2020 only) 
- 2019 backlog 35k trims primarily in district 50 driven by weather conditions $12M (2020 only)
-  Increase in Distribution and Transmission HFRA trims, removals, and maintenance $33M
- HFRA roaming $11M driven by increased rates for out-of-area contractors to maintain schedule as necessary
- Other costs of $20M see details below.
Note: Recorded costs system-wide are difficult to categorize into HFRA and non-HFRA as work is assigned, scheduled and performed in a bundled manner for efficiencies. Crews do not charge their time separately for HFRA and non-HFRA line clearances.</t>
  </si>
  <si>
    <t>SB 247</t>
  </si>
  <si>
    <t>2020 WMP does not reflect impact of SB 247, which went into effect on January 1, 2020. SB 247 effectively set higher rates for tree trimmers working on vegetation clearance near power lines for wildfire mitigation and impacts all vegetation management contracts, which needed to be adjusted to reflect the higher rates for the entire crew – from supervisors to safety coordinators.</t>
  </si>
  <si>
    <t>SCE Labor</t>
  </si>
  <si>
    <t>Costs associated with SCE labor was not included in 2020 WMP forecast. Increasing SCE personnel to enhance planning, reporting, and contractor management to adequately address continued volume and complexity of Line Clearance. Anticipate the team to be fully staffed in 2021.</t>
  </si>
  <si>
    <t>Emergent Work</t>
  </si>
  <si>
    <t>Costs associated with emergent work such as district maintenance or trouble tickets was not included in 2020 WMP</t>
  </si>
  <si>
    <t>Total Line Clearing</t>
  </si>
  <si>
    <t>Scope included in 2020 WMP</t>
  </si>
  <si>
    <t>Scope not included in 2020 WMP</t>
  </si>
  <si>
    <t>3-Year Variance</t>
  </si>
  <si>
    <t>Additional comments</t>
  </si>
  <si>
    <t>2020 WMP included only HFRA trims and T removals</t>
  </si>
  <si>
    <t>2020 filing starting point</t>
  </si>
  <si>
    <t>System wide trims not in 2020 WMP</t>
  </si>
  <si>
    <t>Based on methodology for transferring costs into FHPMA, due to inability distinguish some cost categories, estimated portion attributable to Non-HFRA.</t>
  </si>
  <si>
    <t>D removals for the year 2020 not in 2020 WMP</t>
  </si>
  <si>
    <t>2020 did not include D-Removal rates</t>
  </si>
  <si>
    <t>2019 backlog $35k primarily in D50 driven by weather conditions not in 2020 WMP</t>
  </si>
  <si>
    <t>Did not forecast 2019 cost materializing in 2020</t>
  </si>
  <si>
    <t>Increased D and T trims, removals, and maintenance incremental to 2020 WMP</t>
  </si>
  <si>
    <t>Did more units - increase of the forecasted inventory growth with deeper trims and removals.</t>
  </si>
  <si>
    <t>HFRA Roaming not in 2020 WMP</t>
  </si>
  <si>
    <t>Percentage HFRA driven for work reallocation</t>
  </si>
  <si>
    <t>Supplemental patrols not in 2020 WMP</t>
  </si>
  <si>
    <t>Supp Patrols included in a different line item (7.3.5.11. and 12). 2021 and 2022 forecasted in $64M, and $61M, respectively.</t>
  </si>
  <si>
    <t>Other costs including environmental, property owner incentives, IVMP, Non-Exempt pole, bark beetle not in 2020 WMP.</t>
  </si>
  <si>
    <t>For 2020 includes 4 rows below.</t>
  </si>
  <si>
    <t>Notifiers (Community Outreach Consultants)</t>
  </si>
  <si>
    <t>Educate customers on reason for tree mitigation, and obtain approvals for mitigations.</t>
  </si>
  <si>
    <t>Weed Abatement</t>
  </si>
  <si>
    <t>Manage in accordance with local governance requirements.</t>
  </si>
  <si>
    <t>Allocated costs (Indirect costs)</t>
  </si>
  <si>
    <t>Allocated costs are system generated overheads, driven by default rates in the accounting system.</t>
  </si>
  <si>
    <t>Delta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</si>
</sst>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164" formatCode="_(&quot;$&quot;* #,##0_);_(&quot;$&quot;* \(#,##0\);_(&quot;$&quot;* &quot;-&quot;??_);_(@_)"/>
    <numFmt numFmtId="165" formatCode="0E+00"/>
  </numFmts>
  <fonts count="2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sz val="11"/>
      <color rgb="FFFF0000"/>
      <name val="Calibri"/>
      <family val="2"/>
      <scheme val="minor"/>
    </font>
    <font>
      <b/>
      <sz val="12"/>
      <color theme="1"/>
      <name val="Segoe UI"/>
      <family val="2"/>
    </font>
    <font>
      <b/>
      <sz val="11"/>
      <color rgb="FFFF0000"/>
      <name val="Calibri"/>
      <family val="2"/>
      <scheme val="minor"/>
    </font>
    <font>
      <sz val="11"/>
      <name val="Calibri"/>
      <family val="2"/>
      <scheme val="minor"/>
    </font>
    <font>
      <sz val="9"/>
      <color indexed="81"/>
      <name val="Tahoma"/>
      <family val="2"/>
    </font>
    <font>
      <b/>
      <sz val="11"/>
      <name val="Calibri"/>
      <family val="2"/>
      <scheme val="minor"/>
    </font>
    <font>
      <sz val="10"/>
      <color theme="1"/>
      <name val="Arial"/>
      <family val="2"/>
    </font>
    <font>
      <b/>
      <sz val="9"/>
      <color indexed="81"/>
      <name val="Tahoma"/>
      <family val="2"/>
    </font>
    <font>
      <b/>
      <sz val="12"/>
      <name val="Segoe UI"/>
      <family val="2"/>
    </font>
    <font>
      <b/>
      <sz val="10"/>
      <color theme="1"/>
      <name val="Calibri "/>
    </font>
    <font>
      <sz val="10"/>
      <color theme="1"/>
      <name val="Calibri "/>
    </font>
    <font>
      <b/>
      <sz val="12"/>
      <color theme="1"/>
      <name val="Calibri "/>
    </font>
    <font>
      <sz val="12"/>
      <color theme="1"/>
      <name val="Calibri "/>
    </font>
    <font>
      <sz val="10"/>
      <name val="Calibri "/>
    </font>
    <font>
      <b/>
      <sz val="10"/>
      <name val="Calibri "/>
    </font>
    <font>
      <sz val="11"/>
      <color theme="1"/>
      <name val="Calibri "/>
    </font>
    <font>
      <sz val="10"/>
      <color rgb="FF7030A0"/>
      <name val="Calibri "/>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s>
  <borders count="29">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top style="thin">
        <color auto="1"/>
      </top>
      <bottom style="double">
        <color auto="1"/>
      </bottom>
      <diagonal/>
    </border>
    <border>
      <left/>
      <right/>
      <top/>
      <bottom style="medium">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top style="thin">
        <color theme="0" tint="-0.34998626667073579"/>
      </top>
      <bottom style="thin">
        <color indexed="64"/>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bottom style="thin">
        <color indexed="64"/>
      </bottom>
      <diagonal/>
    </border>
    <border>
      <left style="thin">
        <color indexed="64"/>
      </left>
      <right style="thin">
        <color theme="0" tint="-0.34998626667073579"/>
      </right>
      <top/>
      <bottom style="thin">
        <color indexed="64"/>
      </bottom>
      <diagonal/>
    </border>
  </borders>
  <cellStyleXfs count="6">
    <xf numFmtId="0" fontId="0" fillId="0" borderId="0"/>
    <xf numFmtId="44" fontId="1" fillId="0" borderId="0" applyFont="0" applyFill="0" applyBorder="0" applyAlignment="0" applyProtection="0"/>
    <xf numFmtId="0" fontId="1" fillId="0" borderId="0"/>
    <xf numFmtId="0" fontId="10" fillId="0" borderId="0"/>
    <xf numFmtId="44" fontId="10" fillId="0" borderId="0" applyFont="0" applyFill="0" applyBorder="0" applyAlignment="0" applyProtection="0"/>
    <xf numFmtId="9" fontId="10" fillId="0" borderId="0" applyFont="0" applyFill="0" applyBorder="0" applyAlignment="0" applyProtection="0"/>
  </cellStyleXfs>
  <cellXfs count="146">
    <xf numFmtId="0" fontId="0" fillId="0" borderId="0" xfId="0"/>
    <xf numFmtId="0" fontId="0" fillId="0" borderId="0" xfId="0" applyAlignment="1">
      <alignment vertical="center" wrapText="1"/>
    </xf>
    <xf numFmtId="0" fontId="0" fillId="0" borderId="0" xfId="0" applyAlignment="1">
      <alignment horizontal="center" vertical="center" wrapText="1"/>
    </xf>
    <xf numFmtId="164" fontId="0" fillId="0" borderId="5" xfId="1" applyNumberFormat="1" applyFont="1" applyBorder="1" applyAlignment="1">
      <alignment vertical="center" wrapText="1"/>
    </xf>
    <xf numFmtId="164" fontId="0" fillId="0" borderId="0" xfId="1" applyNumberFormat="1" applyFont="1" applyBorder="1" applyAlignment="1">
      <alignment vertical="center" wrapText="1"/>
    </xf>
    <xf numFmtId="164" fontId="0" fillId="0" borderId="6" xfId="0" applyNumberFormat="1" applyBorder="1" applyAlignment="1">
      <alignment vertical="center" wrapText="1"/>
    </xf>
    <xf numFmtId="0" fontId="0" fillId="0" borderId="5" xfId="0" applyBorder="1" applyAlignment="1">
      <alignment vertical="center" wrapText="1"/>
    </xf>
    <xf numFmtId="0" fontId="0" fillId="0" borderId="0" xfId="0" applyBorder="1" applyAlignment="1">
      <alignment vertical="center" wrapText="1"/>
    </xf>
    <xf numFmtId="0" fontId="0" fillId="0" borderId="8" xfId="0" applyBorder="1" applyAlignment="1">
      <alignment vertical="center" wrapText="1"/>
    </xf>
    <xf numFmtId="164" fontId="0" fillId="0" borderId="5" xfId="0" applyNumberFormat="1" applyBorder="1" applyAlignment="1">
      <alignment vertical="center" wrapText="1"/>
    </xf>
    <xf numFmtId="164" fontId="0" fillId="0" borderId="0" xfId="0" applyNumberFormat="1" applyBorder="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0" fillId="0" borderId="0" xfId="0" applyBorder="1" applyAlignment="1">
      <alignment horizontal="center" vertical="center" wrapText="1"/>
    </xf>
    <xf numFmtId="0" fontId="0" fillId="0" borderId="1" xfId="0" applyBorder="1" applyAlignment="1">
      <alignment vertical="center" wrapText="1"/>
    </xf>
    <xf numFmtId="0" fontId="0" fillId="0" borderId="10" xfId="0" applyBorder="1" applyAlignment="1">
      <alignment horizontal="center" vertical="center" wrapText="1"/>
    </xf>
    <xf numFmtId="0" fontId="0" fillId="0" borderId="10" xfId="0" applyBorder="1" applyAlignment="1">
      <alignment vertical="center" wrapText="1"/>
    </xf>
    <xf numFmtId="164" fontId="0" fillId="0" borderId="6" xfId="1" applyNumberFormat="1" applyFont="1" applyBorder="1" applyAlignment="1">
      <alignment vertical="center" wrapText="1"/>
    </xf>
    <xf numFmtId="0" fontId="0" fillId="0" borderId="3" xfId="0" applyBorder="1" applyAlignment="1">
      <alignment horizontal="center" vertical="center" wrapText="1"/>
    </xf>
    <xf numFmtId="0" fontId="0" fillId="0" borderId="3" xfId="0" applyBorder="1" applyAlignment="1">
      <alignment vertical="center" wrapText="1"/>
    </xf>
    <xf numFmtId="0" fontId="0" fillId="0" borderId="5" xfId="0" applyFill="1" applyBorder="1" applyAlignment="1">
      <alignment vertical="center" wrapText="1"/>
    </xf>
    <xf numFmtId="164" fontId="0" fillId="0" borderId="5" xfId="1" applyNumberFormat="1" applyFont="1" applyFill="1" applyBorder="1" applyAlignment="1">
      <alignment vertical="center" wrapText="1"/>
    </xf>
    <xf numFmtId="164" fontId="0" fillId="0" borderId="0" xfId="1" applyNumberFormat="1" applyFont="1" applyFill="1" applyBorder="1" applyAlignment="1">
      <alignment vertical="center" wrapText="1"/>
    </xf>
    <xf numFmtId="164" fontId="0" fillId="0" borderId="6" xfId="0" applyNumberFormat="1" applyFill="1" applyBorder="1" applyAlignment="1">
      <alignment vertical="center" wrapText="1"/>
    </xf>
    <xf numFmtId="164" fontId="0" fillId="0" borderId="5" xfId="0" applyNumberFormat="1" applyFill="1" applyBorder="1" applyAlignment="1">
      <alignment vertical="center" wrapText="1"/>
    </xf>
    <xf numFmtId="164" fontId="0" fillId="0" borderId="0" xfId="0" applyNumberFormat="1" applyFill="1" applyBorder="1" applyAlignment="1">
      <alignment vertical="center" wrapText="1"/>
    </xf>
    <xf numFmtId="164" fontId="0" fillId="0" borderId="6" xfId="1" applyNumberFormat="1" applyFont="1" applyFill="1" applyBorder="1" applyAlignment="1">
      <alignment vertical="center" wrapText="1"/>
    </xf>
    <xf numFmtId="0" fontId="0" fillId="0" borderId="0" xfId="0" applyAlignment="1">
      <alignment horizontal="left" vertical="center" wrapText="1"/>
    </xf>
    <xf numFmtId="0" fontId="5" fillId="0" borderId="0" xfId="0" applyFont="1" applyAlignment="1">
      <alignment horizontal="center" wrapText="1"/>
    </xf>
    <xf numFmtId="164" fontId="0" fillId="0" borderId="0" xfId="0" applyNumberFormat="1" applyAlignment="1">
      <alignment vertical="center" wrapText="1"/>
    </xf>
    <xf numFmtId="164" fontId="4" fillId="0" borderId="0" xfId="0" applyNumberFormat="1" applyFont="1" applyAlignment="1">
      <alignment vertical="center" wrapText="1"/>
    </xf>
    <xf numFmtId="0" fontId="2" fillId="0" borderId="2" xfId="0" applyFont="1" applyBorder="1" applyAlignment="1">
      <alignment horizontal="right" vertical="center" wrapText="1"/>
    </xf>
    <xf numFmtId="0" fontId="2" fillId="0" borderId="7" xfId="0" applyFont="1" applyBorder="1" applyAlignment="1">
      <alignment horizontal="right" vertical="center" wrapText="1"/>
    </xf>
    <xf numFmtId="164" fontId="0" fillId="0" borderId="12" xfId="0" applyNumberFormat="1" applyBorder="1" applyAlignment="1">
      <alignment vertical="center" wrapText="1"/>
    </xf>
    <xf numFmtId="164" fontId="2" fillId="2" borderId="1" xfId="1" applyNumberFormat="1" applyFont="1" applyFill="1" applyBorder="1" applyAlignment="1">
      <alignment vertical="center" wrapText="1"/>
    </xf>
    <xf numFmtId="164" fontId="2" fillId="2" borderId="10" xfId="1" applyNumberFormat="1" applyFont="1" applyFill="1" applyBorder="1" applyAlignment="1">
      <alignment vertical="center" wrapText="1"/>
    </xf>
    <xf numFmtId="164" fontId="2" fillId="2" borderId="11" xfId="0" applyNumberFormat="1" applyFont="1" applyFill="1" applyBorder="1" applyAlignment="1">
      <alignment vertical="center" wrapText="1"/>
    </xf>
    <xf numFmtId="0" fontId="2" fillId="0" borderId="0" xfId="0" applyFont="1" applyAlignment="1">
      <alignment vertical="center" wrapText="1"/>
    </xf>
    <xf numFmtId="0" fontId="0" fillId="0" borderId="0" xfId="0" applyAlignment="1">
      <alignment wrapText="1"/>
    </xf>
    <xf numFmtId="0" fontId="0" fillId="0" borderId="0" xfId="0" applyFill="1" applyAlignment="1">
      <alignment horizontal="center" vertical="center" wrapText="1"/>
    </xf>
    <xf numFmtId="0" fontId="0" fillId="0" borderId="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10" xfId="0" applyFill="1" applyBorder="1" applyAlignment="1">
      <alignment horizontal="center" vertical="center" wrapText="1"/>
    </xf>
    <xf numFmtId="0" fontId="7" fillId="0" borderId="0" xfId="0" applyFont="1" applyAlignment="1">
      <alignment wrapText="1"/>
    </xf>
    <xf numFmtId="164" fontId="4" fillId="0" borderId="5" xfId="1" applyNumberFormat="1" applyFont="1" applyBorder="1" applyAlignment="1">
      <alignment vertical="center" wrapText="1"/>
    </xf>
    <xf numFmtId="0" fontId="4" fillId="0" borderId="0" xfId="0" applyFont="1" applyBorder="1" applyAlignment="1">
      <alignment horizontal="center" vertical="center" wrapText="1"/>
    </xf>
    <xf numFmtId="0" fontId="4" fillId="0" borderId="0" xfId="0" applyFont="1" applyFill="1" applyAlignment="1">
      <alignment horizontal="center" vertical="center" wrapText="1"/>
    </xf>
    <xf numFmtId="164" fontId="4" fillId="0" borderId="0" xfId="1" applyNumberFormat="1" applyFont="1" applyBorder="1" applyAlignment="1">
      <alignment vertical="center" wrapText="1"/>
    </xf>
    <xf numFmtId="164" fontId="4" fillId="0" borderId="6" xfId="0" applyNumberFormat="1" applyFont="1" applyBorder="1" applyAlignment="1">
      <alignment vertical="center" wrapText="1"/>
    </xf>
    <xf numFmtId="164" fontId="4" fillId="0" borderId="5" xfId="0" applyNumberFormat="1" applyFont="1" applyBorder="1" applyAlignment="1">
      <alignment vertical="center" wrapText="1"/>
    </xf>
    <xf numFmtId="164" fontId="4" fillId="0" borderId="0" xfId="0" applyNumberFormat="1" applyFont="1" applyBorder="1" applyAlignment="1">
      <alignment vertical="center" wrapText="1"/>
    </xf>
    <xf numFmtId="164" fontId="4" fillId="0" borderId="6" xfId="1" applyNumberFormat="1" applyFont="1" applyBorder="1" applyAlignment="1">
      <alignment vertical="center" wrapText="1"/>
    </xf>
    <xf numFmtId="0" fontId="4" fillId="0" borderId="5" xfId="0" applyFont="1" applyFill="1" applyBorder="1" applyAlignment="1">
      <alignment vertical="center" wrapText="1"/>
    </xf>
    <xf numFmtId="0" fontId="4" fillId="0" borderId="0" xfId="0" applyFont="1" applyFill="1" applyBorder="1" applyAlignment="1">
      <alignment horizontal="center" vertical="center" wrapText="1"/>
    </xf>
    <xf numFmtId="164" fontId="4" fillId="0" borderId="5" xfId="1" applyNumberFormat="1" applyFont="1" applyFill="1" applyBorder="1" applyAlignment="1">
      <alignment vertical="center" wrapText="1"/>
    </xf>
    <xf numFmtId="164" fontId="4" fillId="0" borderId="0" xfId="1" applyNumberFormat="1" applyFont="1" applyFill="1" applyBorder="1" applyAlignment="1">
      <alignment vertical="center" wrapText="1"/>
    </xf>
    <xf numFmtId="164" fontId="4" fillId="0" borderId="6" xfId="0" applyNumberFormat="1" applyFont="1" applyFill="1" applyBorder="1" applyAlignment="1">
      <alignment vertical="center" wrapText="1"/>
    </xf>
    <xf numFmtId="164" fontId="4" fillId="0" borderId="5" xfId="0" applyNumberFormat="1" applyFont="1" applyFill="1" applyBorder="1" applyAlignment="1">
      <alignment vertical="center" wrapText="1"/>
    </xf>
    <xf numFmtId="164" fontId="4" fillId="0" borderId="0" xfId="0" applyNumberFormat="1" applyFont="1" applyFill="1" applyBorder="1" applyAlignment="1">
      <alignment vertical="center" wrapText="1"/>
    </xf>
    <xf numFmtId="164" fontId="4" fillId="0" borderId="6" xfId="1" applyNumberFormat="1" applyFont="1" applyFill="1" applyBorder="1" applyAlignment="1">
      <alignment vertical="center" wrapText="1"/>
    </xf>
    <xf numFmtId="0" fontId="7" fillId="0" borderId="0" xfId="0" applyFont="1" applyAlignment="1">
      <alignment vertical="center" wrapText="1"/>
    </xf>
    <xf numFmtId="0" fontId="0" fillId="0" borderId="0" xfId="0" applyFill="1" applyAlignment="1">
      <alignment vertical="center" wrapText="1"/>
    </xf>
    <xf numFmtId="0" fontId="6" fillId="0" borderId="0" xfId="0" applyFont="1" applyAlignment="1">
      <alignment vertical="center" wrapText="1"/>
    </xf>
    <xf numFmtId="0" fontId="4" fillId="0" borderId="0" xfId="0" applyFont="1" applyAlignment="1">
      <alignment vertical="center" wrapText="1"/>
    </xf>
    <xf numFmtId="0" fontId="12" fillId="0" borderId="0" xfId="0" applyFont="1" applyAlignment="1">
      <alignment horizontal="center" wrapText="1"/>
    </xf>
    <xf numFmtId="0" fontId="7" fillId="0" borderId="0" xfId="0" applyFont="1" applyFill="1" applyAlignment="1">
      <alignment vertical="center" wrapText="1"/>
    </xf>
    <xf numFmtId="0" fontId="9" fillId="0" borderId="0" xfId="0" applyFont="1" applyAlignment="1">
      <alignment vertical="center" wrapText="1"/>
    </xf>
    <xf numFmtId="164" fontId="7" fillId="0" borderId="5" xfId="1" applyNumberFormat="1" applyFont="1" applyBorder="1" applyAlignment="1">
      <alignment vertical="center" wrapText="1"/>
    </xf>
    <xf numFmtId="164" fontId="7" fillId="0" borderId="0" xfId="1" applyNumberFormat="1" applyFont="1" applyBorder="1" applyAlignment="1">
      <alignment vertical="center" wrapText="1"/>
    </xf>
    <xf numFmtId="0" fontId="14" fillId="0" borderId="0" xfId="3" applyFont="1"/>
    <xf numFmtId="0" fontId="15" fillId="3" borderId="7" xfId="3" applyFont="1" applyFill="1" applyBorder="1"/>
    <xf numFmtId="0" fontId="15" fillId="3" borderId="12" xfId="3" applyFont="1" applyFill="1" applyBorder="1" applyAlignment="1">
      <alignment horizontal="center"/>
    </xf>
    <xf numFmtId="0" fontId="15" fillId="3" borderId="13" xfId="3" applyFont="1" applyFill="1" applyBorder="1" applyAlignment="1">
      <alignment horizontal="center"/>
    </xf>
    <xf numFmtId="0" fontId="16" fillId="0" borderId="0" xfId="3" applyFont="1"/>
    <xf numFmtId="0" fontId="14" fillId="0" borderId="17" xfId="3" applyFont="1" applyBorder="1"/>
    <xf numFmtId="6" fontId="14" fillId="0" borderId="18" xfId="3" applyNumberFormat="1" applyFont="1" applyFill="1" applyBorder="1"/>
    <xf numFmtId="6" fontId="14" fillId="0" borderId="19" xfId="3" applyNumberFormat="1" applyFont="1" applyBorder="1"/>
    <xf numFmtId="6" fontId="14" fillId="4" borderId="17" xfId="3" applyNumberFormat="1" applyFont="1" applyFill="1" applyBorder="1"/>
    <xf numFmtId="38" fontId="14" fillId="0" borderId="20" xfId="3" applyNumberFormat="1" applyFont="1" applyBorder="1" applyAlignment="1">
      <alignment vertical="top" wrapText="1"/>
    </xf>
    <xf numFmtId="0" fontId="14" fillId="0" borderId="21" xfId="3" applyFont="1" applyBorder="1"/>
    <xf numFmtId="38" fontId="14" fillId="0" borderId="20" xfId="3" applyNumberFormat="1" applyFont="1" applyBorder="1"/>
    <xf numFmtId="38" fontId="14" fillId="0" borderId="22" xfId="3" applyNumberFormat="1" applyFont="1" applyBorder="1"/>
    <xf numFmtId="38" fontId="14" fillId="4" borderId="21" xfId="3" applyNumberFormat="1" applyFont="1" applyFill="1" applyBorder="1"/>
    <xf numFmtId="38" fontId="14" fillId="0" borderId="20" xfId="3" applyNumberFormat="1" applyFont="1" applyBorder="1" applyAlignment="1">
      <alignment wrapText="1"/>
    </xf>
    <xf numFmtId="38" fontId="14" fillId="5" borderId="21" xfId="3" applyNumberFormat="1" applyFont="1" applyFill="1" applyBorder="1"/>
    <xf numFmtId="0" fontId="14" fillId="0" borderId="23" xfId="3" applyFont="1" applyBorder="1"/>
    <xf numFmtId="38" fontId="14" fillId="0" borderId="24" xfId="3" applyNumberFormat="1" applyFont="1" applyBorder="1"/>
    <xf numFmtId="38" fontId="14" fillId="0" borderId="25" xfId="3" applyNumberFormat="1" applyFont="1" applyBorder="1"/>
    <xf numFmtId="38" fontId="14" fillId="0" borderId="26" xfId="3" applyNumberFormat="1" applyFont="1" applyBorder="1"/>
    <xf numFmtId="38" fontId="14" fillId="5" borderId="23" xfId="3" applyNumberFormat="1" applyFont="1" applyFill="1" applyBorder="1"/>
    <xf numFmtId="38" fontId="14" fillId="0" borderId="24" xfId="3" applyNumberFormat="1" applyFont="1" applyBorder="1" applyAlignment="1">
      <alignment wrapText="1"/>
    </xf>
    <xf numFmtId="0" fontId="13" fillId="3" borderId="7" xfId="3" applyFont="1" applyFill="1" applyBorder="1"/>
    <xf numFmtId="6" fontId="13" fillId="3" borderId="7" xfId="3" applyNumberFormat="1" applyFont="1" applyFill="1" applyBorder="1"/>
    <xf numFmtId="6" fontId="13" fillId="3" borderId="27" xfId="3" applyNumberFormat="1" applyFont="1" applyFill="1" applyBorder="1"/>
    <xf numFmtId="6" fontId="13" fillId="3" borderId="28" xfId="3" applyNumberFormat="1" applyFont="1" applyFill="1" applyBorder="1"/>
    <xf numFmtId="38" fontId="14" fillId="3" borderId="28" xfId="3" applyNumberFormat="1" applyFont="1" applyFill="1" applyBorder="1" applyAlignment="1">
      <alignment wrapText="1"/>
    </xf>
    <xf numFmtId="38" fontId="14" fillId="0" borderId="0" xfId="3" applyNumberFormat="1" applyFont="1"/>
    <xf numFmtId="6" fontId="14" fillId="4" borderId="0" xfId="3" applyNumberFormat="1" applyFont="1" applyFill="1"/>
    <xf numFmtId="6" fontId="14" fillId="0" borderId="0" xfId="3" applyNumberFormat="1" applyFont="1"/>
    <xf numFmtId="6" fontId="14" fillId="5" borderId="8" xfId="3" applyNumberFormat="1" applyFont="1" applyFill="1" applyBorder="1"/>
    <xf numFmtId="0" fontId="13" fillId="3" borderId="15" xfId="3" applyFont="1" applyFill="1" applyBorder="1"/>
    <xf numFmtId="0" fontId="13" fillId="3" borderId="15" xfId="3" applyFont="1" applyFill="1" applyBorder="1" applyAlignment="1">
      <alignment horizontal="center"/>
    </xf>
    <xf numFmtId="0" fontId="13" fillId="3" borderId="15" xfId="3" applyFont="1" applyFill="1" applyBorder="1" applyAlignment="1">
      <alignment horizontal="center" wrapText="1"/>
    </xf>
    <xf numFmtId="0" fontId="18" fillId="0" borderId="15" xfId="3" applyFont="1" applyBorder="1"/>
    <xf numFmtId="0" fontId="13" fillId="0" borderId="15" xfId="3" applyFont="1" applyBorder="1"/>
    <xf numFmtId="0" fontId="13" fillId="0" borderId="0" xfId="3" applyFont="1"/>
    <xf numFmtId="38" fontId="13" fillId="0" borderId="0" xfId="3" applyNumberFormat="1" applyFont="1"/>
    <xf numFmtId="0" fontId="17" fillId="0" borderId="0" xfId="3" applyFont="1"/>
    <xf numFmtId="38" fontId="19" fillId="0" borderId="0" xfId="4" applyNumberFormat="1" applyFont="1"/>
    <xf numFmtId="0" fontId="14" fillId="0" borderId="0" xfId="3" applyFont="1" applyBorder="1" applyAlignment="1">
      <alignment vertical="center" wrapText="1"/>
    </xf>
    <xf numFmtId="38" fontId="19" fillId="0" borderId="0" xfId="4" applyNumberFormat="1" applyFont="1" applyBorder="1" applyAlignment="1">
      <alignment vertical="center"/>
    </xf>
    <xf numFmtId="38" fontId="14" fillId="0" borderId="0" xfId="3" applyNumberFormat="1" applyFont="1" applyBorder="1" applyAlignment="1">
      <alignment vertical="center"/>
    </xf>
    <xf numFmtId="0" fontId="17" fillId="0" borderId="0" xfId="3" applyFont="1" applyAlignment="1">
      <alignment vertical="center"/>
    </xf>
    <xf numFmtId="0" fontId="14" fillId="0" borderId="0" xfId="3" applyFont="1" applyAlignment="1">
      <alignment vertical="center"/>
    </xf>
    <xf numFmtId="0" fontId="14" fillId="0" borderId="0" xfId="3" applyFont="1" applyAlignment="1">
      <alignment horizontal="left" indent="2"/>
    </xf>
    <xf numFmtId="0" fontId="14" fillId="0" borderId="0" xfId="3" applyFont="1" applyBorder="1" applyAlignment="1">
      <alignment horizontal="left" indent="2"/>
    </xf>
    <xf numFmtId="38" fontId="19" fillId="0" borderId="8" xfId="4" applyNumberFormat="1" applyFont="1" applyBorder="1"/>
    <xf numFmtId="38" fontId="14" fillId="0" borderId="8" xfId="3" applyNumberFormat="1" applyFont="1" applyBorder="1"/>
    <xf numFmtId="38" fontId="13" fillId="0" borderId="14" xfId="3" applyNumberFormat="1" applyFont="1" applyBorder="1"/>
    <xf numFmtId="0" fontId="20" fillId="0" borderId="0" xfId="3" applyFont="1"/>
    <xf numFmtId="0" fontId="14" fillId="0" borderId="0" xfId="3" applyFont="1" applyAlignment="1">
      <alignment wrapText="1"/>
    </xf>
    <xf numFmtId="9" fontId="19" fillId="0" borderId="0" xfId="5" applyFont="1"/>
    <xf numFmtId="1" fontId="14" fillId="0" borderId="0" xfId="3" applyNumberFormat="1" applyFont="1"/>
    <xf numFmtId="165" fontId="14" fillId="0" borderId="0" xfId="3" applyNumberFormat="1" applyFont="1"/>
    <xf numFmtId="0" fontId="0" fillId="0" borderId="8" xfId="0" applyBorder="1" applyAlignment="1">
      <alignment horizontal="center" vertical="center" wrapText="1"/>
    </xf>
    <xf numFmtId="0" fontId="13" fillId="3" borderId="16" xfId="3" applyFont="1" applyFill="1" applyBorder="1" applyAlignment="1">
      <alignment horizontal="center"/>
    </xf>
    <xf numFmtId="0" fontId="0" fillId="0" borderId="0" xfId="0" applyFill="1" applyAlignment="1">
      <alignment horizontal="center" vertical="center"/>
    </xf>
    <xf numFmtId="0" fontId="0" fillId="0" borderId="0" xfId="0" applyFill="1" applyBorder="1" applyAlignment="1">
      <alignment horizontal="center" vertical="center" wrapText="1"/>
    </xf>
    <xf numFmtId="0" fontId="4" fillId="0" borderId="0" xfId="0" applyFont="1" applyFill="1" applyAlignment="1">
      <alignment horizontal="center" vertical="center"/>
    </xf>
    <xf numFmtId="0" fontId="0" fillId="3" borderId="0" xfId="0" applyFill="1"/>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0" fillId="0" borderId="4" xfId="0" applyBorder="1" applyAlignment="1">
      <alignment vertical="center" wrapText="1"/>
    </xf>
    <xf numFmtId="0" fontId="2" fillId="0" borderId="2" xfId="0" applyFont="1" applyBorder="1" applyAlignment="1">
      <alignment vertical="center" wrapText="1"/>
    </xf>
    <xf numFmtId="0" fontId="0" fillId="0" borderId="7" xfId="0"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4"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3" fillId="3" borderId="1" xfId="3" applyFont="1" applyFill="1" applyBorder="1" applyAlignment="1">
      <alignment horizontal="center"/>
    </xf>
    <xf numFmtId="0" fontId="13" fillId="3" borderId="11" xfId="3" applyFont="1" applyFill="1" applyBorder="1" applyAlignment="1">
      <alignment horizontal="center"/>
    </xf>
    <xf numFmtId="0" fontId="13" fillId="3" borderId="16" xfId="3" applyFont="1" applyFill="1" applyBorder="1" applyAlignment="1">
      <alignment horizontal="center"/>
    </xf>
    <xf numFmtId="0" fontId="13" fillId="3" borderId="13" xfId="3" applyFont="1" applyFill="1" applyBorder="1" applyAlignment="1">
      <alignment horizontal="center"/>
    </xf>
  </cellXfs>
  <cellStyles count="6">
    <cellStyle name="Currency" xfId="1" builtinId="4"/>
    <cellStyle name="Currency 2" xfId="4" xr:uid="{68A5FB8B-8B4E-4913-BC0A-C335586D2389}"/>
    <cellStyle name="Normal" xfId="0" builtinId="0"/>
    <cellStyle name="Normal 2" xfId="3" xr:uid="{A599780A-FE24-450C-9F3C-D5594F909A60}"/>
    <cellStyle name="Normal 2 3" xfId="2" xr:uid="{A562833E-6378-44A7-9766-809C5131F877}"/>
    <cellStyle name="Percent 2" xfId="5" xr:uid="{5BCB2C69-3123-43D8-81EC-E31B79A691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tevenr/Desktop/2021%20WMP%20Update/WSD%20meetings/SCE%202020%20WMP%20Tables%201-31%20Revision%2002%20Rya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henv/Documents/Temp%20Files%20-%20O&amp;M%20Summary%20Report/Book14%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STRUCTIONS"/>
      <sheetName val="Table 1"/>
      <sheetName val="Table 2"/>
      <sheetName val="Table 3"/>
      <sheetName val="Table 4"/>
      <sheetName val="Table 5"/>
      <sheetName val="Table 6"/>
      <sheetName val="Table 7"/>
      <sheetName val="Table 8"/>
      <sheetName val="Table 9"/>
      <sheetName val="Table 10"/>
      <sheetName val="Table 11a"/>
      <sheetName val="Table 11b"/>
      <sheetName val="Table 12"/>
      <sheetName val="Table 13"/>
      <sheetName val="Table 14"/>
      <sheetName val="Table 15"/>
      <sheetName val="Table 16"/>
      <sheetName val="Table 17"/>
      <sheetName val="Table 18a"/>
      <sheetName val="Table 18b"/>
      <sheetName val="Table 19"/>
      <sheetName val="Table 20"/>
      <sheetName val="Table 21"/>
      <sheetName val="Table 22"/>
      <sheetName val="Table 23"/>
      <sheetName val="Table 24"/>
      <sheetName val="Table 25"/>
      <sheetName val="Table 26"/>
      <sheetName val="Table 27"/>
      <sheetName val="Table 28"/>
      <sheetName val="Table 29"/>
      <sheetName val="Table 30"/>
      <sheetName val="Table 31a"/>
      <sheetName val="Table 31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11">
          <cell r="E11">
            <v>11385.882</v>
          </cell>
        </row>
        <row r="12">
          <cell r="E12">
            <v>11396.674000000001</v>
          </cell>
        </row>
        <row r="13">
          <cell r="E13">
            <v>11407.062</v>
          </cell>
        </row>
      </sheetData>
      <sheetData sheetId="29"/>
      <sheetData sheetId="30"/>
      <sheetData sheetId="31"/>
      <sheetData sheetId="32"/>
      <sheetData sheetId="33"/>
      <sheetData sheetId="34"/>
      <sheetData sheetId="3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refreshError="1"/>
      <sheetData sheetId="1" refreshError="1">
        <row r="30">
          <cell r="D30">
            <v>19.545685672499982</v>
          </cell>
        </row>
        <row r="31">
          <cell r="D31">
            <v>3.5492999045000526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F0BF1-1517-46C6-9E3E-9A1655799C7D}">
  <sheetPr filterMode="1">
    <tabColor theme="5" tint="0.79998168889431442"/>
  </sheetPr>
  <dimension ref="B3:T26"/>
  <sheetViews>
    <sheetView zoomScale="70" zoomScaleNormal="70" zoomScalePageLayoutView="70" workbookViewId="0">
      <pane xSplit="5" ySplit="4" topLeftCell="F17" activePane="bottomRight" state="frozen"/>
      <selection pane="bottomRight"/>
      <selection pane="bottomLeft" activeCell="A5" sqref="A5"/>
      <selection pane="topRight" activeCell="F1" sqref="F1"/>
    </sheetView>
  </sheetViews>
  <sheetFormatPr defaultColWidth="8.85546875" defaultRowHeight="14.45"/>
  <cols>
    <col min="1" max="1" width="3.7109375" style="1" customWidth="1"/>
    <col min="2" max="2" width="34.28515625" style="1" customWidth="1"/>
    <col min="3" max="3" width="10.7109375" style="1" customWidth="1"/>
    <col min="4" max="4" width="9.140625" style="2" customWidth="1"/>
    <col min="5" max="5" width="9.7109375" style="2" customWidth="1"/>
    <col min="6" max="6" width="11.140625" style="42" customWidth="1"/>
    <col min="7" max="13" width="9.28515625" style="1" bestFit="1" customWidth="1"/>
    <col min="14" max="14" width="12.28515625" style="1" customWidth="1"/>
    <col min="15" max="18" width="10" style="1" bestFit="1" customWidth="1"/>
    <col min="19" max="19" width="38.42578125" style="1" customWidth="1"/>
    <col min="20" max="20" width="38.140625" style="1" customWidth="1"/>
    <col min="21" max="21" width="11.85546875" style="1" customWidth="1"/>
    <col min="22" max="16384" width="8.85546875" style="1"/>
  </cols>
  <sheetData>
    <row r="3" spans="2:20" ht="14.45" customHeight="1">
      <c r="B3" s="136" t="s">
        <v>0</v>
      </c>
      <c r="C3" s="133" t="s">
        <v>1</v>
      </c>
      <c r="D3" s="134" t="s">
        <v>2</v>
      </c>
      <c r="E3" s="134" t="s">
        <v>3</v>
      </c>
      <c r="F3" s="140" t="s">
        <v>4</v>
      </c>
      <c r="G3" s="133" t="s">
        <v>5</v>
      </c>
      <c r="H3" s="134"/>
      <c r="I3" s="134"/>
      <c r="J3" s="135"/>
      <c r="K3" s="133" t="s">
        <v>6</v>
      </c>
      <c r="L3" s="134"/>
      <c r="M3" s="134"/>
      <c r="N3" s="135"/>
      <c r="O3" s="133" t="s">
        <v>7</v>
      </c>
      <c r="P3" s="134"/>
      <c r="Q3" s="134"/>
      <c r="R3" s="135"/>
    </row>
    <row r="4" spans="2:20" ht="34.9" customHeight="1">
      <c r="B4" s="137"/>
      <c r="C4" s="138"/>
      <c r="D4" s="139"/>
      <c r="E4" s="139"/>
      <c r="F4" s="141"/>
      <c r="G4" s="11">
        <v>2020</v>
      </c>
      <c r="H4" s="12">
        <v>2021</v>
      </c>
      <c r="I4" s="12">
        <v>2022</v>
      </c>
      <c r="J4" s="13" t="s">
        <v>8</v>
      </c>
      <c r="K4" s="14">
        <v>2020</v>
      </c>
      <c r="L4" s="15">
        <v>2021</v>
      </c>
      <c r="M4" s="15">
        <v>2022</v>
      </c>
      <c r="N4" s="13" t="s">
        <v>8</v>
      </c>
      <c r="O4" s="14">
        <v>2020</v>
      </c>
      <c r="P4" s="15">
        <v>2021</v>
      </c>
      <c r="Q4" s="15">
        <v>2022</v>
      </c>
      <c r="R4" s="13" t="s">
        <v>8</v>
      </c>
      <c r="S4" s="31" t="s">
        <v>9</v>
      </c>
      <c r="T4" s="31" t="s">
        <v>10</v>
      </c>
    </row>
    <row r="5" spans="2:20" ht="28.9" hidden="1">
      <c r="B5" s="6" t="s">
        <v>11</v>
      </c>
      <c r="C5" s="7" t="s">
        <v>12</v>
      </c>
      <c r="D5" s="2" t="s">
        <v>13</v>
      </c>
      <c r="E5" s="2" t="s">
        <v>13</v>
      </c>
      <c r="F5" s="42" t="str">
        <f>IF(D5=E5, "NO", "YES")</f>
        <v>NO</v>
      </c>
      <c r="G5" s="3">
        <v>0</v>
      </c>
      <c r="H5" s="4">
        <v>0</v>
      </c>
      <c r="I5" s="4">
        <v>0</v>
      </c>
      <c r="J5" s="5">
        <f>SUM(G5:I5)</f>
        <v>0</v>
      </c>
      <c r="K5" s="3">
        <v>0</v>
      </c>
      <c r="L5" s="4">
        <v>0</v>
      </c>
      <c r="M5" s="4">
        <v>0</v>
      </c>
      <c r="N5" s="5">
        <f>SUM(K5:M5)</f>
        <v>0</v>
      </c>
      <c r="O5" s="3"/>
      <c r="P5" s="4"/>
      <c r="Q5" s="4"/>
      <c r="R5" s="20">
        <f>SUM(O5:Q5)</f>
        <v>0</v>
      </c>
    </row>
    <row r="6" spans="2:20" ht="43.15" hidden="1">
      <c r="B6" s="6" t="s">
        <v>14</v>
      </c>
      <c r="C6" s="7" t="s">
        <v>15</v>
      </c>
      <c r="D6" s="2" t="s">
        <v>13</v>
      </c>
      <c r="E6" s="2" t="s">
        <v>13</v>
      </c>
      <c r="F6" s="42" t="str">
        <f t="shared" ref="F6:F17" si="0">IF(D6=E6, "NO", "YES")</f>
        <v>NO</v>
      </c>
      <c r="G6" s="3">
        <v>0</v>
      </c>
      <c r="H6" s="4">
        <v>0</v>
      </c>
      <c r="I6" s="4">
        <v>0</v>
      </c>
      <c r="J6" s="5">
        <f t="shared" ref="J6:J17" si="1">SUM(G6:I6)</f>
        <v>0</v>
      </c>
      <c r="K6" s="3">
        <v>0</v>
      </c>
      <c r="L6" s="4">
        <v>0</v>
      </c>
      <c r="M6" s="4">
        <v>0</v>
      </c>
      <c r="N6" s="5">
        <f t="shared" ref="N6:N17" si="2">SUM(K6:M6)</f>
        <v>0</v>
      </c>
      <c r="O6" s="9"/>
      <c r="P6" s="10"/>
      <c r="Q6" s="10"/>
      <c r="R6" s="20">
        <f t="shared" ref="R6:R17" si="3">SUM(O6:Q6)</f>
        <v>0</v>
      </c>
    </row>
    <row r="7" spans="2:20" ht="43.15" hidden="1">
      <c r="B7" s="6" t="s">
        <v>16</v>
      </c>
      <c r="C7" s="1" t="s">
        <v>17</v>
      </c>
      <c r="D7" s="2" t="s">
        <v>13</v>
      </c>
      <c r="E7" s="2" t="s">
        <v>13</v>
      </c>
      <c r="F7" s="42" t="str">
        <f t="shared" si="0"/>
        <v>NO</v>
      </c>
      <c r="G7" s="3">
        <v>0</v>
      </c>
      <c r="H7" s="4">
        <v>0</v>
      </c>
      <c r="I7" s="4">
        <v>0</v>
      </c>
      <c r="J7" s="5">
        <f t="shared" si="1"/>
        <v>0</v>
      </c>
      <c r="K7" s="3">
        <v>0</v>
      </c>
      <c r="L7" s="4">
        <v>0</v>
      </c>
      <c r="M7" s="4">
        <v>0</v>
      </c>
      <c r="N7" s="5">
        <f t="shared" si="2"/>
        <v>0</v>
      </c>
      <c r="O7" s="9">
        <f t="shared" ref="O7:Q17" si="4">K7-G7</f>
        <v>0</v>
      </c>
      <c r="P7" s="10">
        <f t="shared" ref="P7:Q13" si="5">L7-H7</f>
        <v>0</v>
      </c>
      <c r="Q7" s="10">
        <f t="shared" si="5"/>
        <v>0</v>
      </c>
      <c r="R7" s="20">
        <f t="shared" si="3"/>
        <v>0</v>
      </c>
      <c r="S7" s="30"/>
    </row>
    <row r="8" spans="2:20" hidden="1">
      <c r="B8" s="6" t="s">
        <v>18</v>
      </c>
      <c r="C8" s="7" t="s">
        <v>19</v>
      </c>
      <c r="D8" s="2" t="s">
        <v>13</v>
      </c>
      <c r="E8" s="2" t="s">
        <v>13</v>
      </c>
      <c r="F8" s="42" t="str">
        <f t="shared" si="0"/>
        <v>NO</v>
      </c>
      <c r="G8" s="3">
        <v>0</v>
      </c>
      <c r="H8" s="4">
        <v>0</v>
      </c>
      <c r="I8" s="4">
        <v>0</v>
      </c>
      <c r="J8" s="5">
        <f t="shared" si="1"/>
        <v>0</v>
      </c>
      <c r="K8" s="3">
        <v>0</v>
      </c>
      <c r="L8" s="4">
        <v>0</v>
      </c>
      <c r="M8" s="4">
        <v>0</v>
      </c>
      <c r="N8" s="5">
        <f t="shared" si="2"/>
        <v>0</v>
      </c>
      <c r="O8" s="9">
        <f t="shared" si="4"/>
        <v>0</v>
      </c>
      <c r="P8" s="10">
        <f t="shared" si="5"/>
        <v>0</v>
      </c>
      <c r="Q8" s="10">
        <f t="shared" si="5"/>
        <v>0</v>
      </c>
      <c r="R8" s="20">
        <f t="shared" si="3"/>
        <v>0</v>
      </c>
    </row>
    <row r="9" spans="2:20" ht="43.15" hidden="1">
      <c r="B9" s="6" t="s">
        <v>20</v>
      </c>
      <c r="C9" s="7" t="s">
        <v>21</v>
      </c>
      <c r="D9" s="2" t="s">
        <v>13</v>
      </c>
      <c r="E9" s="2" t="s">
        <v>13</v>
      </c>
      <c r="F9" s="42" t="str">
        <f t="shared" si="0"/>
        <v>NO</v>
      </c>
      <c r="G9" s="3">
        <v>0</v>
      </c>
      <c r="H9" s="4">
        <v>0</v>
      </c>
      <c r="I9" s="4">
        <v>0</v>
      </c>
      <c r="J9" s="5">
        <f t="shared" si="1"/>
        <v>0</v>
      </c>
      <c r="K9" s="3">
        <v>0</v>
      </c>
      <c r="L9" s="4">
        <v>0</v>
      </c>
      <c r="M9" s="4">
        <v>0</v>
      </c>
      <c r="N9" s="5">
        <f t="shared" si="2"/>
        <v>0</v>
      </c>
      <c r="O9" s="9">
        <f t="shared" si="4"/>
        <v>0</v>
      </c>
      <c r="P9" s="10">
        <f t="shared" si="5"/>
        <v>0</v>
      </c>
      <c r="Q9" s="10">
        <f t="shared" si="5"/>
        <v>0</v>
      </c>
      <c r="R9" s="20">
        <f t="shared" si="3"/>
        <v>0</v>
      </c>
    </row>
    <row r="10" spans="2:20" ht="57.6" hidden="1">
      <c r="B10" s="6" t="s">
        <v>22</v>
      </c>
      <c r="C10" s="7" t="s">
        <v>23</v>
      </c>
      <c r="D10" s="2" t="s">
        <v>13</v>
      </c>
      <c r="E10" s="2" t="s">
        <v>13</v>
      </c>
      <c r="F10" s="42" t="str">
        <f t="shared" si="0"/>
        <v>NO</v>
      </c>
      <c r="G10" s="3">
        <v>0</v>
      </c>
      <c r="H10" s="4">
        <v>0</v>
      </c>
      <c r="I10" s="4">
        <v>0</v>
      </c>
      <c r="J10" s="5">
        <f t="shared" si="1"/>
        <v>0</v>
      </c>
      <c r="K10" s="3">
        <v>0</v>
      </c>
      <c r="L10" s="4">
        <v>0</v>
      </c>
      <c r="M10" s="4">
        <v>0</v>
      </c>
      <c r="N10" s="5">
        <f t="shared" si="2"/>
        <v>0</v>
      </c>
      <c r="O10" s="9">
        <f t="shared" si="4"/>
        <v>0</v>
      </c>
      <c r="P10" s="10">
        <f t="shared" si="5"/>
        <v>0</v>
      </c>
      <c r="Q10" s="10">
        <f t="shared" si="5"/>
        <v>0</v>
      </c>
      <c r="R10" s="20">
        <f t="shared" si="3"/>
        <v>0</v>
      </c>
    </row>
    <row r="11" spans="2:20" ht="57.6" hidden="1">
      <c r="B11" s="6" t="s">
        <v>24</v>
      </c>
      <c r="C11" s="7" t="s">
        <v>25</v>
      </c>
      <c r="D11" s="2" t="s">
        <v>13</v>
      </c>
      <c r="E11" s="2" t="s">
        <v>13</v>
      </c>
      <c r="F11" s="42" t="str">
        <f t="shared" si="0"/>
        <v>NO</v>
      </c>
      <c r="G11" s="3">
        <v>0</v>
      </c>
      <c r="H11" s="4">
        <v>0</v>
      </c>
      <c r="I11" s="4">
        <v>0</v>
      </c>
      <c r="J11" s="5">
        <f t="shared" si="1"/>
        <v>0</v>
      </c>
      <c r="K11" s="3">
        <v>0</v>
      </c>
      <c r="L11" s="4">
        <v>0</v>
      </c>
      <c r="M11" s="4">
        <v>0</v>
      </c>
      <c r="N11" s="5">
        <f t="shared" si="2"/>
        <v>0</v>
      </c>
      <c r="O11" s="9">
        <f t="shared" si="4"/>
        <v>0</v>
      </c>
      <c r="P11" s="10">
        <f t="shared" si="5"/>
        <v>0</v>
      </c>
      <c r="Q11" s="10">
        <f t="shared" si="5"/>
        <v>0</v>
      </c>
      <c r="R11" s="20">
        <f t="shared" si="3"/>
        <v>0</v>
      </c>
    </row>
    <row r="12" spans="2:20" ht="28.9" hidden="1">
      <c r="B12" s="6" t="s">
        <v>26</v>
      </c>
      <c r="C12" s="7" t="s">
        <v>27</v>
      </c>
      <c r="D12" s="16" t="s">
        <v>28</v>
      </c>
      <c r="E12" s="16" t="s">
        <v>29</v>
      </c>
      <c r="F12" s="42" t="str">
        <f t="shared" si="0"/>
        <v>YES</v>
      </c>
      <c r="G12" s="3">
        <v>0</v>
      </c>
      <c r="H12" s="4">
        <v>0</v>
      </c>
      <c r="I12" s="4">
        <v>0</v>
      </c>
      <c r="J12" s="5">
        <f t="shared" si="1"/>
        <v>0</v>
      </c>
      <c r="K12" s="3">
        <v>0</v>
      </c>
      <c r="L12" s="4">
        <v>0</v>
      </c>
      <c r="M12" s="4">
        <v>0</v>
      </c>
      <c r="N12" s="5">
        <f t="shared" si="2"/>
        <v>0</v>
      </c>
      <c r="O12" s="9">
        <f t="shared" si="4"/>
        <v>0</v>
      </c>
      <c r="P12" s="10">
        <f t="shared" si="5"/>
        <v>0</v>
      </c>
      <c r="Q12" s="10">
        <f t="shared" si="5"/>
        <v>0</v>
      </c>
      <c r="R12" s="20">
        <f t="shared" si="3"/>
        <v>0</v>
      </c>
    </row>
    <row r="13" spans="2:20" hidden="1">
      <c r="B13" s="6" t="s">
        <v>30</v>
      </c>
      <c r="C13" s="7" t="s">
        <v>31</v>
      </c>
      <c r="D13" s="16" t="s">
        <v>13</v>
      </c>
      <c r="E13" s="16" t="s">
        <v>13</v>
      </c>
      <c r="F13" s="42" t="str">
        <f t="shared" si="0"/>
        <v>NO</v>
      </c>
      <c r="G13" s="3">
        <v>0</v>
      </c>
      <c r="H13" s="4">
        <v>0</v>
      </c>
      <c r="I13" s="4">
        <v>0</v>
      </c>
      <c r="J13" s="5">
        <f t="shared" si="1"/>
        <v>0</v>
      </c>
      <c r="K13" s="3">
        <v>0</v>
      </c>
      <c r="L13" s="4">
        <v>0</v>
      </c>
      <c r="M13" s="4">
        <v>0</v>
      </c>
      <c r="N13" s="5">
        <f t="shared" si="2"/>
        <v>0</v>
      </c>
      <c r="O13" s="9">
        <f t="shared" si="4"/>
        <v>0</v>
      </c>
      <c r="P13" s="10">
        <f t="shared" si="5"/>
        <v>0</v>
      </c>
      <c r="Q13" s="10">
        <f t="shared" si="5"/>
        <v>0</v>
      </c>
      <c r="R13" s="20">
        <f t="shared" si="3"/>
        <v>0</v>
      </c>
    </row>
    <row r="14" spans="2:20" ht="43.15" hidden="1">
      <c r="B14" s="6" t="s">
        <v>32</v>
      </c>
      <c r="C14" s="7" t="s">
        <v>33</v>
      </c>
      <c r="D14" s="16" t="s">
        <v>13</v>
      </c>
      <c r="E14" s="16" t="s">
        <v>13</v>
      </c>
      <c r="F14" s="42" t="str">
        <f t="shared" si="0"/>
        <v>NO</v>
      </c>
      <c r="G14" s="3">
        <v>0</v>
      </c>
      <c r="H14" s="4">
        <v>0</v>
      </c>
      <c r="I14" s="4">
        <v>0</v>
      </c>
      <c r="J14" s="5">
        <f t="shared" si="1"/>
        <v>0</v>
      </c>
      <c r="K14" s="3">
        <v>0</v>
      </c>
      <c r="L14" s="4">
        <v>0</v>
      </c>
      <c r="M14" s="4">
        <v>0</v>
      </c>
      <c r="N14" s="5">
        <f t="shared" si="2"/>
        <v>0</v>
      </c>
      <c r="O14" s="9">
        <f t="shared" si="4"/>
        <v>0</v>
      </c>
      <c r="P14" s="10">
        <f t="shared" si="4"/>
        <v>0</v>
      </c>
      <c r="Q14" s="10">
        <f t="shared" si="4"/>
        <v>0</v>
      </c>
      <c r="R14" s="20">
        <f t="shared" si="3"/>
        <v>0</v>
      </c>
    </row>
    <row r="15" spans="2:20" hidden="1">
      <c r="B15" s="6" t="s">
        <v>34</v>
      </c>
      <c r="C15" s="7" t="s">
        <v>35</v>
      </c>
      <c r="D15" s="16" t="s">
        <v>13</v>
      </c>
      <c r="E15" s="16" t="s">
        <v>13</v>
      </c>
      <c r="F15" s="42" t="str">
        <f t="shared" si="0"/>
        <v>NO</v>
      </c>
      <c r="G15" s="3">
        <v>0</v>
      </c>
      <c r="H15" s="4">
        <v>0</v>
      </c>
      <c r="I15" s="4">
        <v>0</v>
      </c>
      <c r="J15" s="5">
        <f t="shared" si="1"/>
        <v>0</v>
      </c>
      <c r="K15" s="3">
        <v>0</v>
      </c>
      <c r="L15" s="4">
        <v>0</v>
      </c>
      <c r="M15" s="4">
        <v>0</v>
      </c>
      <c r="N15" s="5">
        <f t="shared" si="2"/>
        <v>0</v>
      </c>
      <c r="O15" s="9">
        <f t="shared" si="4"/>
        <v>0</v>
      </c>
      <c r="P15" s="10">
        <f t="shared" si="4"/>
        <v>0</v>
      </c>
      <c r="Q15" s="10">
        <f t="shared" si="4"/>
        <v>0</v>
      </c>
      <c r="R15" s="20">
        <f t="shared" si="3"/>
        <v>0</v>
      </c>
    </row>
    <row r="16" spans="2:20" hidden="1">
      <c r="B16" s="6" t="s">
        <v>36</v>
      </c>
      <c r="C16" s="7" t="s">
        <v>37</v>
      </c>
      <c r="D16" s="16" t="s">
        <v>13</v>
      </c>
      <c r="E16" s="16" t="s">
        <v>13</v>
      </c>
      <c r="F16" s="42" t="str">
        <f t="shared" si="0"/>
        <v>NO</v>
      </c>
      <c r="G16" s="3">
        <v>0</v>
      </c>
      <c r="H16" s="4">
        <v>0</v>
      </c>
      <c r="I16" s="4">
        <v>0</v>
      </c>
      <c r="J16" s="5">
        <f t="shared" si="1"/>
        <v>0</v>
      </c>
      <c r="K16" s="3">
        <v>0</v>
      </c>
      <c r="L16" s="4">
        <v>0</v>
      </c>
      <c r="M16" s="4">
        <v>0</v>
      </c>
      <c r="N16" s="5">
        <f t="shared" si="2"/>
        <v>0</v>
      </c>
      <c r="O16" s="9">
        <f t="shared" si="4"/>
        <v>0</v>
      </c>
      <c r="P16" s="10">
        <f t="shared" si="4"/>
        <v>0</v>
      </c>
      <c r="Q16" s="10">
        <f t="shared" si="4"/>
        <v>0</v>
      </c>
      <c r="R16" s="20">
        <f t="shared" si="3"/>
        <v>0</v>
      </c>
    </row>
    <row r="17" spans="2:20" ht="116.45" customHeight="1">
      <c r="B17" s="6" t="s">
        <v>38</v>
      </c>
      <c r="C17" s="130" t="s">
        <v>39</v>
      </c>
      <c r="D17" s="16" t="s">
        <v>28</v>
      </c>
      <c r="E17" s="16" t="s">
        <v>28</v>
      </c>
      <c r="F17" s="42" t="str">
        <f t="shared" si="0"/>
        <v>NO</v>
      </c>
      <c r="G17" s="3">
        <v>0</v>
      </c>
      <c r="H17" s="4">
        <v>0</v>
      </c>
      <c r="I17" s="4">
        <v>0</v>
      </c>
      <c r="J17" s="5">
        <f t="shared" si="1"/>
        <v>0</v>
      </c>
      <c r="K17" s="3">
        <v>16127.864370000001</v>
      </c>
      <c r="L17" s="4">
        <v>9940</v>
      </c>
      <c r="M17" s="4">
        <v>4475</v>
      </c>
      <c r="N17" s="5">
        <f t="shared" si="2"/>
        <v>30542.864370000003</v>
      </c>
      <c r="O17" s="9">
        <f>K17-G17</f>
        <v>16127.864370000001</v>
      </c>
      <c r="P17" s="10">
        <f t="shared" si="4"/>
        <v>9940</v>
      </c>
      <c r="Q17" s="10">
        <f t="shared" si="4"/>
        <v>4475</v>
      </c>
      <c r="R17" s="20">
        <f t="shared" si="3"/>
        <v>30542.864370000003</v>
      </c>
      <c r="S17" s="41" t="s">
        <v>40</v>
      </c>
      <c r="T17" s="41" t="s">
        <v>41</v>
      </c>
    </row>
    <row r="18" spans="2:20">
      <c r="B18" s="34" t="s">
        <v>42</v>
      </c>
      <c r="C18" s="22"/>
      <c r="D18" s="21"/>
      <c r="E18" s="21"/>
      <c r="F18" s="43"/>
      <c r="G18" s="36">
        <f>+G17</f>
        <v>0</v>
      </c>
      <c r="H18" s="36">
        <f t="shared" ref="H18:I18" si="6">+H17</f>
        <v>0</v>
      </c>
      <c r="I18" s="36">
        <f t="shared" si="6"/>
        <v>0</v>
      </c>
      <c r="J18" s="36">
        <f>SUM(G18:I18)</f>
        <v>0</v>
      </c>
      <c r="K18" s="36">
        <f t="shared" ref="K18:M18" si="7">+K17</f>
        <v>16127.864370000001</v>
      </c>
      <c r="L18" s="36">
        <f t="shared" si="7"/>
        <v>9940</v>
      </c>
      <c r="M18" s="36">
        <f t="shared" si="7"/>
        <v>4475</v>
      </c>
      <c r="N18" s="36">
        <f>SUM(K18:M18)</f>
        <v>30542.864370000003</v>
      </c>
      <c r="O18" s="36">
        <f>+O17</f>
        <v>16127.864370000001</v>
      </c>
      <c r="P18" s="36">
        <f t="shared" ref="P18:Q18" si="8">+P17</f>
        <v>9940</v>
      </c>
      <c r="Q18" s="36">
        <f t="shared" si="8"/>
        <v>4475</v>
      </c>
      <c r="R18" s="36">
        <f>SUM(O18:Q18)</f>
        <v>30542.864370000003</v>
      </c>
    </row>
    <row r="19" spans="2:20">
      <c r="B19" s="35" t="s">
        <v>43</v>
      </c>
      <c r="C19" s="8"/>
      <c r="D19" s="127"/>
      <c r="E19" s="127"/>
      <c r="F19" s="44"/>
      <c r="G19" s="36">
        <v>0</v>
      </c>
      <c r="H19" s="36">
        <f>+H5+H6+H7+H8+H9+H10+H11+H13+H14+H15+H16</f>
        <v>0</v>
      </c>
      <c r="I19" s="36">
        <f>+I5+I6+I7+I8+I9+I10+I11+I13+I14+I15+I16</f>
        <v>0</v>
      </c>
      <c r="J19" s="36">
        <f>SUM(G19:I19)</f>
        <v>0</v>
      </c>
      <c r="K19" s="36">
        <v>0</v>
      </c>
      <c r="L19" s="36">
        <f>+L5+L6+L7+L8+L9+L10+L11+L13+L14+L15+L16</f>
        <v>0</v>
      </c>
      <c r="M19" s="36">
        <f>+M5+M6+M7+M8+M9+M10+M11+M13+M14+M15+M16</f>
        <v>0</v>
      </c>
      <c r="N19" s="36">
        <f>SUM(K19:M19)</f>
        <v>0</v>
      </c>
      <c r="O19" s="36">
        <v>0</v>
      </c>
      <c r="P19" s="36">
        <f>+P5+P6+P7+P8+P9+P10+P11+P13+P14+P15+P16</f>
        <v>0</v>
      </c>
      <c r="Q19" s="36">
        <f>+Q5+Q6+Q7+Q8+Q9+Q10+Q11+Q13+Q14+Q15+Q16</f>
        <v>0</v>
      </c>
      <c r="R19" s="36">
        <f>SUM(O19:Q19)</f>
        <v>0</v>
      </c>
    </row>
    <row r="20" spans="2:20">
      <c r="B20" s="17" t="s">
        <v>8</v>
      </c>
      <c r="C20" s="19"/>
      <c r="D20" s="18"/>
      <c r="E20" s="18"/>
      <c r="F20" s="45"/>
      <c r="G20" s="37">
        <f>SUM(G5:G17)</f>
        <v>0</v>
      </c>
      <c r="H20" s="38">
        <f>SUM(H5:H17)</f>
        <v>0</v>
      </c>
      <c r="I20" s="38">
        <f>SUM(I5:I17)</f>
        <v>0</v>
      </c>
      <c r="J20" s="39">
        <f>SUM(G20:I20)</f>
        <v>0</v>
      </c>
      <c r="K20" s="37">
        <f>SUM(K5:K17)</f>
        <v>16127.864370000001</v>
      </c>
      <c r="L20" s="38">
        <f>SUM(L5:L17)</f>
        <v>9940</v>
      </c>
      <c r="M20" s="38">
        <f>SUM(M5:M17)</f>
        <v>4475</v>
      </c>
      <c r="N20" s="39">
        <f>SUM(K20:M20)</f>
        <v>30542.864370000003</v>
      </c>
      <c r="O20" s="37">
        <f>SUM(O5:O17)</f>
        <v>16127.864370000001</v>
      </c>
      <c r="P20" s="38">
        <f>SUM(P5:P17)</f>
        <v>9940</v>
      </c>
      <c r="Q20" s="38">
        <f>SUM(Q5:Q17)</f>
        <v>4475</v>
      </c>
      <c r="R20" s="39">
        <f>SUM(O20:Q20)</f>
        <v>30542.864370000003</v>
      </c>
    </row>
    <row r="21" spans="2:20" hidden="1">
      <c r="G21" s="32">
        <f>+G20-SUM(G18:G19)</f>
        <v>0</v>
      </c>
      <c r="H21" s="32">
        <f t="shared" ref="H21:K21" si="9">+H20-SUM(H18:H19)</f>
        <v>0</v>
      </c>
      <c r="I21" s="32">
        <f t="shared" si="9"/>
        <v>0</v>
      </c>
      <c r="J21" s="32">
        <f t="shared" si="9"/>
        <v>0</v>
      </c>
      <c r="K21" s="32">
        <f t="shared" si="9"/>
        <v>0</v>
      </c>
      <c r="L21" s="32">
        <f t="shared" ref="L21:R21" si="10">+L20-SUM(L18:L19)</f>
        <v>0</v>
      </c>
      <c r="M21" s="32">
        <f t="shared" si="10"/>
        <v>0</v>
      </c>
      <c r="N21" s="32">
        <f t="shared" si="10"/>
        <v>0</v>
      </c>
      <c r="O21" s="32">
        <f t="shared" si="10"/>
        <v>0</v>
      </c>
      <c r="P21" s="32">
        <f t="shared" si="10"/>
        <v>0</v>
      </c>
      <c r="Q21" s="32">
        <f t="shared" si="10"/>
        <v>0</v>
      </c>
      <c r="R21" s="32">
        <f t="shared" si="10"/>
        <v>0</v>
      </c>
    </row>
    <row r="24" spans="2:20">
      <c r="J24" s="33"/>
    </row>
    <row r="26" spans="2:20">
      <c r="J26" s="32"/>
    </row>
  </sheetData>
  <autoFilter ref="B4:T21" xr:uid="{CEB6B8D5-4896-4B7B-B854-54CF5CD002F8}">
    <filterColumn colId="16">
      <filters>
        <filter val="$(1,373)"/>
        <filter val="$(2,177)"/>
        <filter val="$(5,061)"/>
        <filter val="$1,672"/>
        <filter val="$2,625"/>
        <filter val="$20,628"/>
        <filter val="$20,654"/>
        <filter val="$22,057"/>
        <filter val="$30,960"/>
        <filter val="$411,399"/>
        <filter val="$483,846"/>
        <filter val="$5,835"/>
        <filter val="$504,501"/>
        <filter val="$8,038"/>
        <filter val="$9,897"/>
      </filters>
    </filterColumn>
  </autoFilter>
  <mergeCells count="8">
    <mergeCell ref="K3:N3"/>
    <mergeCell ref="O3:R3"/>
    <mergeCell ref="B3:B4"/>
    <mergeCell ref="C3:C4"/>
    <mergeCell ref="D3:D4"/>
    <mergeCell ref="E3:E4"/>
    <mergeCell ref="F3:F4"/>
    <mergeCell ref="G3:J3"/>
  </mergeCells>
  <pageMargins left="0.7" right="0.7" top="0.75" bottom="0.75" header="0.3" footer="0.3"/>
  <pageSetup orientation="portrait" r:id="rId1"/>
  <ignoredErrors>
    <ignoredError sqref="J18 N1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230DA-5265-467C-84E3-F21D0B5CA42A}">
  <sheetPr>
    <tabColor theme="5" tint="0.79998168889431442"/>
  </sheetPr>
  <dimension ref="B3:V37"/>
  <sheetViews>
    <sheetView zoomScale="70" zoomScaleNormal="70" zoomScalePageLayoutView="70" workbookViewId="0">
      <pane xSplit="5" ySplit="4" topLeftCell="F19" activePane="bottomRight" state="frozen"/>
      <selection pane="bottomRight" activeCell="S31" sqref="S31"/>
      <selection pane="bottomLeft" activeCell="A5" sqref="A5"/>
      <selection pane="topRight" activeCell="F1" sqref="F1"/>
    </sheetView>
  </sheetViews>
  <sheetFormatPr defaultColWidth="8.85546875" defaultRowHeight="14.45"/>
  <cols>
    <col min="1" max="1" width="3.7109375" style="1" customWidth="1"/>
    <col min="2" max="2" width="33.28515625" style="1" customWidth="1"/>
    <col min="3" max="3" width="10.7109375" style="2" customWidth="1"/>
    <col min="4" max="4" width="9.140625" style="2" customWidth="1"/>
    <col min="5" max="5" width="9.7109375" style="2" customWidth="1"/>
    <col min="6" max="6" width="11.140625" style="42" customWidth="1"/>
    <col min="7" max="13" width="10.28515625" style="1" bestFit="1" customWidth="1"/>
    <col min="14" max="14" width="11.85546875" style="1" bestFit="1" customWidth="1"/>
    <col min="15" max="18" width="10" style="1" bestFit="1" customWidth="1"/>
    <col min="19" max="19" width="48" style="1" customWidth="1"/>
    <col min="20" max="20" width="51" style="63" customWidth="1"/>
    <col min="21" max="21" width="23.140625" style="1" customWidth="1"/>
    <col min="22" max="22" width="31.140625" style="66" customWidth="1"/>
    <col min="23" max="23" width="19.28515625" style="1" customWidth="1"/>
    <col min="24" max="16384" width="8.85546875" style="1"/>
  </cols>
  <sheetData>
    <row r="3" spans="2:22" ht="14.45" customHeight="1">
      <c r="B3" s="136" t="s">
        <v>0</v>
      </c>
      <c r="C3" s="133" t="s">
        <v>1</v>
      </c>
      <c r="D3" s="134" t="s">
        <v>2</v>
      </c>
      <c r="E3" s="134" t="s">
        <v>3</v>
      </c>
      <c r="F3" s="140" t="s">
        <v>4</v>
      </c>
      <c r="G3" s="133" t="s">
        <v>5</v>
      </c>
      <c r="H3" s="134"/>
      <c r="I3" s="134"/>
      <c r="J3" s="135"/>
      <c r="K3" s="133" t="s">
        <v>6</v>
      </c>
      <c r="L3" s="134"/>
      <c r="M3" s="134"/>
      <c r="N3" s="135"/>
      <c r="O3" s="133" t="s">
        <v>7</v>
      </c>
      <c r="P3" s="134"/>
      <c r="Q3" s="134"/>
      <c r="R3" s="135"/>
    </row>
    <row r="4" spans="2:22" ht="51.95" customHeight="1">
      <c r="B4" s="137"/>
      <c r="C4" s="138"/>
      <c r="D4" s="139"/>
      <c r="E4" s="139"/>
      <c r="F4" s="141"/>
      <c r="G4" s="11">
        <v>2020</v>
      </c>
      <c r="H4" s="12">
        <v>2021</v>
      </c>
      <c r="I4" s="12">
        <v>2022</v>
      </c>
      <c r="J4" s="13" t="s">
        <v>8</v>
      </c>
      <c r="K4" s="14">
        <v>2020</v>
      </c>
      <c r="L4" s="15">
        <v>2021</v>
      </c>
      <c r="M4" s="15">
        <v>2022</v>
      </c>
      <c r="N4" s="13" t="s">
        <v>8</v>
      </c>
      <c r="O4" s="14">
        <v>2020</v>
      </c>
      <c r="P4" s="15">
        <v>2021</v>
      </c>
      <c r="Q4" s="15">
        <v>2022</v>
      </c>
      <c r="R4" s="13" t="s">
        <v>8</v>
      </c>
      <c r="S4" s="31" t="s">
        <v>9</v>
      </c>
      <c r="T4" s="67" t="s">
        <v>10</v>
      </c>
      <c r="U4" s="65"/>
      <c r="V4" s="65"/>
    </row>
    <row r="5" spans="2:22" ht="28.9">
      <c r="B5" s="6" t="s">
        <v>11</v>
      </c>
      <c r="C5" s="16" t="s">
        <v>44</v>
      </c>
      <c r="D5" s="2" t="s">
        <v>13</v>
      </c>
      <c r="E5" s="2" t="s">
        <v>13</v>
      </c>
      <c r="F5" s="42" t="str">
        <f>IF(D5=E5, "NO", "YES")</f>
        <v>NO</v>
      </c>
      <c r="G5" s="3">
        <v>0</v>
      </c>
      <c r="H5" s="4">
        <v>0</v>
      </c>
      <c r="I5" s="4">
        <v>0</v>
      </c>
      <c r="J5" s="5">
        <f>SUM(G5:I5)</f>
        <v>0</v>
      </c>
      <c r="K5" s="3">
        <v>0</v>
      </c>
      <c r="L5" s="4">
        <v>0</v>
      </c>
      <c r="M5" s="4">
        <v>0</v>
      </c>
      <c r="N5" s="5">
        <f>SUM(K5:M5)</f>
        <v>0</v>
      </c>
      <c r="O5" s="3"/>
      <c r="P5" s="4"/>
      <c r="Q5" s="4"/>
      <c r="R5" s="20">
        <f>SUM(O5:Q5)</f>
        <v>0</v>
      </c>
    </row>
    <row r="6" spans="2:22" ht="84.95" customHeight="1">
      <c r="B6" s="55" t="s">
        <v>45</v>
      </c>
      <c r="C6" s="131" t="s">
        <v>46</v>
      </c>
      <c r="D6" s="48" t="s">
        <v>28</v>
      </c>
      <c r="E6" s="48" t="s">
        <v>47</v>
      </c>
      <c r="F6" s="49" t="str">
        <f t="shared" ref="F6:F28" si="0">IF(D6=E6, "NO", "YES")</f>
        <v>YES</v>
      </c>
      <c r="G6" s="47">
        <f>'[1]Table 25'!$E$11</f>
        <v>11385.882</v>
      </c>
      <c r="H6" s="50">
        <f>'[1]Table 25'!$E$12</f>
        <v>11396.674000000001</v>
      </c>
      <c r="I6" s="50">
        <f>'[1]Table 25'!$E$13</f>
        <v>11407.062</v>
      </c>
      <c r="J6" s="51">
        <f t="shared" ref="J6:J28" si="1">SUM(G6:I6)</f>
        <v>34189.618000000002</v>
      </c>
      <c r="K6" s="47">
        <v>25755.721730000001</v>
      </c>
      <c r="L6" s="50">
        <v>15020.37</v>
      </c>
      <c r="M6" s="50">
        <v>15470.984</v>
      </c>
      <c r="N6" s="51">
        <f>SUM(K6:M6)</f>
        <v>56247.075729999997</v>
      </c>
      <c r="O6" s="52">
        <f>K6-G6</f>
        <v>14369.839730000002</v>
      </c>
      <c r="P6" s="53">
        <f t="shared" ref="P6:Q6" si="2">L6-H6</f>
        <v>3623.6959999999999</v>
      </c>
      <c r="Q6" s="53">
        <f t="shared" si="2"/>
        <v>4063.9220000000005</v>
      </c>
      <c r="R6" s="54">
        <f>SUM(O6:Q6)</f>
        <v>22057.457730000002</v>
      </c>
      <c r="S6" s="64" t="s">
        <v>48</v>
      </c>
      <c r="T6" s="68" t="s">
        <v>49</v>
      </c>
    </row>
    <row r="7" spans="2:22" ht="84.95" customHeight="1">
      <c r="B7" s="55" t="s">
        <v>50</v>
      </c>
      <c r="C7" s="131" t="s">
        <v>51</v>
      </c>
      <c r="D7" s="48" t="s">
        <v>28</v>
      </c>
      <c r="E7" s="48" t="s">
        <v>47</v>
      </c>
      <c r="F7" s="49" t="str">
        <f t="shared" si="0"/>
        <v>YES</v>
      </c>
      <c r="G7" s="47">
        <v>508.72699999999998</v>
      </c>
      <c r="H7" s="50">
        <v>509.029</v>
      </c>
      <c r="I7" s="50">
        <v>509.339</v>
      </c>
      <c r="J7" s="51">
        <f t="shared" si="1"/>
        <v>1527.095</v>
      </c>
      <c r="K7" s="47">
        <v>1773.7553700000001</v>
      </c>
      <c r="L7" s="50">
        <v>2752.7</v>
      </c>
      <c r="M7" s="50">
        <v>2835.2809999999999</v>
      </c>
      <c r="N7" s="51">
        <f t="shared" ref="N7:N28" si="3">SUM(K7:M7)</f>
        <v>7361.7363699999996</v>
      </c>
      <c r="O7" s="52">
        <f t="shared" ref="O7:O28" si="4">K7-G7</f>
        <v>1265.02837</v>
      </c>
      <c r="P7" s="53">
        <f t="shared" ref="P7:P28" si="5">L7-H7</f>
        <v>2243.6709999999998</v>
      </c>
      <c r="Q7" s="53">
        <f t="shared" ref="Q7:Q28" si="6">M7-I7</f>
        <v>2325.942</v>
      </c>
      <c r="R7" s="54">
        <f t="shared" ref="R7:R28" si="7">SUM(O7:Q7)</f>
        <v>5834.6413699999994</v>
      </c>
      <c r="S7" s="64" t="s">
        <v>48</v>
      </c>
      <c r="T7" s="68" t="s">
        <v>52</v>
      </c>
    </row>
    <row r="8" spans="2:22" ht="43.15">
      <c r="B8" s="6" t="s">
        <v>14</v>
      </c>
      <c r="C8" s="16" t="s">
        <v>53</v>
      </c>
      <c r="D8" s="2" t="s">
        <v>13</v>
      </c>
      <c r="E8" s="2" t="s">
        <v>13</v>
      </c>
      <c r="F8" s="42" t="str">
        <f t="shared" si="0"/>
        <v>NO</v>
      </c>
      <c r="G8" s="3">
        <v>0</v>
      </c>
      <c r="H8" s="4">
        <v>0</v>
      </c>
      <c r="I8" s="4">
        <v>0</v>
      </c>
      <c r="J8" s="5">
        <f t="shared" si="1"/>
        <v>0</v>
      </c>
      <c r="K8" s="3">
        <v>0</v>
      </c>
      <c r="L8" s="4">
        <v>0</v>
      </c>
      <c r="M8" s="4">
        <v>0</v>
      </c>
      <c r="N8" s="5">
        <f t="shared" si="3"/>
        <v>0</v>
      </c>
      <c r="O8" s="9"/>
      <c r="P8" s="10"/>
      <c r="Q8" s="10"/>
      <c r="R8" s="20">
        <f t="shared" si="7"/>
        <v>0</v>
      </c>
    </row>
    <row r="9" spans="2:22" ht="43.15">
      <c r="B9" s="6" t="s">
        <v>16</v>
      </c>
      <c r="C9" s="2" t="s">
        <v>54</v>
      </c>
      <c r="D9" s="2" t="s">
        <v>13</v>
      </c>
      <c r="E9" s="2" t="s">
        <v>13</v>
      </c>
      <c r="F9" s="42" t="str">
        <f t="shared" si="0"/>
        <v>NO</v>
      </c>
      <c r="G9" s="3">
        <v>0</v>
      </c>
      <c r="H9" s="4">
        <v>0</v>
      </c>
      <c r="I9" s="4">
        <v>0</v>
      </c>
      <c r="J9" s="5">
        <f t="shared" si="1"/>
        <v>0</v>
      </c>
      <c r="K9" s="3">
        <v>0</v>
      </c>
      <c r="L9" s="4">
        <v>0</v>
      </c>
      <c r="M9" s="4">
        <v>0</v>
      </c>
      <c r="N9" s="5">
        <f t="shared" si="3"/>
        <v>0</v>
      </c>
      <c r="O9" s="9">
        <f t="shared" si="4"/>
        <v>0</v>
      </c>
      <c r="P9" s="10">
        <f t="shared" si="5"/>
        <v>0</v>
      </c>
      <c r="Q9" s="10">
        <f t="shared" si="6"/>
        <v>0</v>
      </c>
      <c r="R9" s="20">
        <f t="shared" si="7"/>
        <v>0</v>
      </c>
      <c r="S9" s="30"/>
    </row>
    <row r="10" spans="2:22" ht="129.6">
      <c r="B10" s="23" t="s">
        <v>55</v>
      </c>
      <c r="C10" s="129" t="s">
        <v>56</v>
      </c>
      <c r="D10" s="16" t="s">
        <v>28</v>
      </c>
      <c r="E10" s="16" t="s">
        <v>28</v>
      </c>
      <c r="F10" s="42" t="str">
        <f t="shared" si="0"/>
        <v>NO</v>
      </c>
      <c r="G10" s="24">
        <v>4156.9252167650611</v>
      </c>
      <c r="H10" s="25">
        <v>4208.0555117064323</v>
      </c>
      <c r="I10" s="25">
        <v>4256.2018466744885</v>
      </c>
      <c r="J10" s="26">
        <f t="shared" si="1"/>
        <v>12621.182575145982</v>
      </c>
      <c r="K10" s="24">
        <v>7459.0831400000006</v>
      </c>
      <c r="L10" s="25">
        <v>8271.617287674313</v>
      </c>
      <c r="M10" s="25">
        <v>6787.1582687489727</v>
      </c>
      <c r="N10" s="26">
        <f t="shared" si="3"/>
        <v>22517.858696423285</v>
      </c>
      <c r="O10" s="27">
        <f t="shared" si="4"/>
        <v>3302.1579232349395</v>
      </c>
      <c r="P10" s="28">
        <f t="shared" si="5"/>
        <v>4063.5617759678807</v>
      </c>
      <c r="Q10" s="28">
        <f t="shared" si="6"/>
        <v>2530.9564220744842</v>
      </c>
      <c r="R10" s="29">
        <f t="shared" si="7"/>
        <v>9896.6761212773054</v>
      </c>
      <c r="S10" s="63" t="s">
        <v>57</v>
      </c>
      <c r="T10" s="63" t="s">
        <v>58</v>
      </c>
    </row>
    <row r="11" spans="2:22" ht="57.6">
      <c r="B11" s="6" t="s">
        <v>59</v>
      </c>
      <c r="C11" s="129" t="s">
        <v>60</v>
      </c>
      <c r="D11" s="16" t="s">
        <v>28</v>
      </c>
      <c r="E11" s="16" t="s">
        <v>28</v>
      </c>
      <c r="F11" s="42" t="str">
        <f t="shared" si="0"/>
        <v>NO</v>
      </c>
      <c r="G11" s="3">
        <v>1217.4395181683999</v>
      </c>
      <c r="H11" s="4">
        <v>1055.9667692754138</v>
      </c>
      <c r="I11" s="4">
        <v>1088.7505433562458</v>
      </c>
      <c r="J11" s="5">
        <f t="shared" si="1"/>
        <v>3362.1568308000597</v>
      </c>
      <c r="K11" s="3">
        <v>0</v>
      </c>
      <c r="L11" s="4">
        <v>900</v>
      </c>
      <c r="M11" s="4">
        <v>1089</v>
      </c>
      <c r="N11" s="5">
        <f t="shared" si="3"/>
        <v>1989</v>
      </c>
      <c r="O11" s="9">
        <f t="shared" si="4"/>
        <v>-1217.4395181683999</v>
      </c>
      <c r="P11" s="10">
        <f t="shared" si="5"/>
        <v>-155.96676927541375</v>
      </c>
      <c r="Q11" s="10">
        <f t="shared" si="6"/>
        <v>0.24945664375422893</v>
      </c>
      <c r="R11" s="20">
        <f t="shared" si="7"/>
        <v>-1373.1568308000594</v>
      </c>
      <c r="S11" s="1" t="s">
        <v>61</v>
      </c>
    </row>
    <row r="12" spans="2:22">
      <c r="B12" s="6" t="s">
        <v>18</v>
      </c>
      <c r="C12" s="16" t="s">
        <v>62</v>
      </c>
      <c r="D12" s="2" t="s">
        <v>13</v>
      </c>
      <c r="E12" s="2" t="s">
        <v>13</v>
      </c>
      <c r="F12" s="42" t="str">
        <f t="shared" si="0"/>
        <v>NO</v>
      </c>
      <c r="G12" s="3">
        <v>0</v>
      </c>
      <c r="H12" s="4">
        <v>0</v>
      </c>
      <c r="I12" s="4">
        <v>0</v>
      </c>
      <c r="J12" s="5">
        <f t="shared" si="1"/>
        <v>0</v>
      </c>
      <c r="K12" s="3">
        <v>0</v>
      </c>
      <c r="L12" s="4">
        <v>0</v>
      </c>
      <c r="M12" s="4">
        <v>0</v>
      </c>
      <c r="N12" s="5">
        <f t="shared" si="3"/>
        <v>0</v>
      </c>
      <c r="O12" s="9">
        <f t="shared" si="4"/>
        <v>0</v>
      </c>
      <c r="P12" s="10">
        <f t="shared" si="5"/>
        <v>0</v>
      </c>
      <c r="Q12" s="10">
        <f t="shared" si="6"/>
        <v>0</v>
      </c>
      <c r="R12" s="20">
        <f t="shared" si="7"/>
        <v>0</v>
      </c>
    </row>
    <row r="13" spans="2:22" ht="43.15">
      <c r="B13" s="6" t="s">
        <v>20</v>
      </c>
      <c r="C13" s="16" t="s">
        <v>63</v>
      </c>
      <c r="D13" s="2" t="s">
        <v>13</v>
      </c>
      <c r="E13" s="2" t="s">
        <v>13</v>
      </c>
      <c r="F13" s="42" t="str">
        <f t="shared" si="0"/>
        <v>NO</v>
      </c>
      <c r="G13" s="3">
        <v>0</v>
      </c>
      <c r="H13" s="4">
        <v>0</v>
      </c>
      <c r="I13" s="4">
        <v>0</v>
      </c>
      <c r="J13" s="5">
        <f t="shared" si="1"/>
        <v>0</v>
      </c>
      <c r="K13" s="3">
        <v>0</v>
      </c>
      <c r="L13" s="4">
        <v>0</v>
      </c>
      <c r="M13" s="4">
        <v>0</v>
      </c>
      <c r="N13" s="5">
        <f t="shared" si="3"/>
        <v>0</v>
      </c>
      <c r="O13" s="9">
        <f t="shared" si="4"/>
        <v>0</v>
      </c>
      <c r="P13" s="10">
        <f t="shared" si="5"/>
        <v>0</v>
      </c>
      <c r="Q13" s="10">
        <f t="shared" si="6"/>
        <v>0</v>
      </c>
      <c r="R13" s="20">
        <f t="shared" si="7"/>
        <v>0</v>
      </c>
    </row>
    <row r="14" spans="2:22" ht="43.15">
      <c r="B14" s="6" t="s">
        <v>64</v>
      </c>
      <c r="C14" s="129" t="s">
        <v>65</v>
      </c>
      <c r="D14" s="16" t="s">
        <v>28</v>
      </c>
      <c r="E14" s="16" t="s">
        <v>28</v>
      </c>
      <c r="F14" s="42" t="str">
        <f t="shared" si="0"/>
        <v>NO</v>
      </c>
      <c r="G14" s="3">
        <v>1467.4410698457516</v>
      </c>
      <c r="H14" s="4">
        <v>1485.4906355217693</v>
      </c>
      <c r="I14" s="4">
        <v>1502.4868299709101</v>
      </c>
      <c r="J14" s="5">
        <f t="shared" si="1"/>
        <v>4455.418535338431</v>
      </c>
      <c r="K14" s="3">
        <v>4092.2314899999997</v>
      </c>
      <c r="L14" s="4">
        <v>1485.4906355217695</v>
      </c>
      <c r="M14" s="4">
        <v>1502.4868299709099</v>
      </c>
      <c r="N14" s="5">
        <f t="shared" si="3"/>
        <v>7080.2089554926788</v>
      </c>
      <c r="O14" s="9">
        <f>K14-G14</f>
        <v>2624.7904201542478</v>
      </c>
      <c r="P14" s="10">
        <f t="shared" si="5"/>
        <v>0</v>
      </c>
      <c r="Q14" s="10">
        <f t="shared" si="6"/>
        <v>0</v>
      </c>
      <c r="R14" s="20">
        <f t="shared" si="7"/>
        <v>2624.7904201542478</v>
      </c>
      <c r="S14" s="41" t="s">
        <v>66</v>
      </c>
    </row>
    <row r="15" spans="2:22" ht="72">
      <c r="B15" s="6" t="s">
        <v>22</v>
      </c>
      <c r="C15" s="16" t="s">
        <v>67</v>
      </c>
      <c r="D15" s="2" t="s">
        <v>13</v>
      </c>
      <c r="E15" s="2" t="s">
        <v>13</v>
      </c>
      <c r="F15" s="42" t="str">
        <f t="shared" si="0"/>
        <v>NO</v>
      </c>
      <c r="G15" s="3">
        <v>0</v>
      </c>
      <c r="H15" s="4">
        <v>0</v>
      </c>
      <c r="I15" s="4">
        <v>0</v>
      </c>
      <c r="J15" s="5">
        <f t="shared" si="1"/>
        <v>0</v>
      </c>
      <c r="K15" s="3">
        <v>0</v>
      </c>
      <c r="L15" s="4">
        <v>0</v>
      </c>
      <c r="M15" s="4">
        <v>0</v>
      </c>
      <c r="N15" s="5">
        <f t="shared" si="3"/>
        <v>0</v>
      </c>
      <c r="O15" s="9">
        <f t="shared" si="4"/>
        <v>0</v>
      </c>
      <c r="P15" s="10">
        <f t="shared" si="5"/>
        <v>0</v>
      </c>
      <c r="Q15" s="10">
        <f t="shared" si="6"/>
        <v>0</v>
      </c>
      <c r="R15" s="20">
        <f t="shared" si="7"/>
        <v>0</v>
      </c>
    </row>
    <row r="16" spans="2:22" ht="72">
      <c r="B16" s="6" t="s">
        <v>24</v>
      </c>
      <c r="C16" s="16" t="s">
        <v>68</v>
      </c>
      <c r="D16" s="2" t="s">
        <v>13</v>
      </c>
      <c r="E16" s="2" t="s">
        <v>13</v>
      </c>
      <c r="F16" s="42" t="str">
        <f t="shared" si="0"/>
        <v>NO</v>
      </c>
      <c r="G16" s="3">
        <v>0</v>
      </c>
      <c r="H16" s="4">
        <v>0</v>
      </c>
      <c r="I16" s="4">
        <v>0</v>
      </c>
      <c r="J16" s="5">
        <f t="shared" si="1"/>
        <v>0</v>
      </c>
      <c r="K16" s="3">
        <v>0</v>
      </c>
      <c r="L16" s="4">
        <v>0</v>
      </c>
      <c r="M16" s="4">
        <v>0</v>
      </c>
      <c r="N16" s="5">
        <f t="shared" si="3"/>
        <v>0</v>
      </c>
      <c r="O16" s="9">
        <f t="shared" si="4"/>
        <v>0</v>
      </c>
      <c r="P16" s="10">
        <f t="shared" si="5"/>
        <v>0</v>
      </c>
      <c r="Q16" s="10">
        <f t="shared" si="6"/>
        <v>0</v>
      </c>
      <c r="R16" s="20">
        <f t="shared" si="7"/>
        <v>0</v>
      </c>
    </row>
    <row r="17" spans="2:21" ht="43.15">
      <c r="B17" s="55" t="s">
        <v>69</v>
      </c>
      <c r="C17" s="56" t="s">
        <v>70</v>
      </c>
      <c r="D17" s="56" t="s">
        <v>28</v>
      </c>
      <c r="E17" s="56" t="s">
        <v>47</v>
      </c>
      <c r="F17" s="49" t="str">
        <f t="shared" si="0"/>
        <v>YES</v>
      </c>
      <c r="G17" s="57">
        <v>5060.6030000000001</v>
      </c>
      <c r="H17" s="58">
        <v>0</v>
      </c>
      <c r="I17" s="58">
        <v>0</v>
      </c>
      <c r="J17" s="59">
        <f t="shared" si="1"/>
        <v>5060.6030000000001</v>
      </c>
      <c r="K17" s="57">
        <v>0</v>
      </c>
      <c r="L17" s="58">
        <v>0</v>
      </c>
      <c r="M17" s="58">
        <v>0</v>
      </c>
      <c r="N17" s="59">
        <f t="shared" si="3"/>
        <v>0</v>
      </c>
      <c r="O17" s="60">
        <f t="shared" si="4"/>
        <v>-5060.6030000000001</v>
      </c>
      <c r="P17" s="61">
        <f t="shared" si="5"/>
        <v>0</v>
      </c>
      <c r="Q17" s="61">
        <f t="shared" si="6"/>
        <v>0</v>
      </c>
      <c r="R17" s="62">
        <f>SUM(O17:Q17)</f>
        <v>-5060.6030000000001</v>
      </c>
      <c r="S17" s="64" t="s">
        <v>71</v>
      </c>
      <c r="T17" s="63" t="s">
        <v>72</v>
      </c>
    </row>
    <row r="18" spans="2:21" ht="43.15">
      <c r="B18" s="55" t="s">
        <v>73</v>
      </c>
      <c r="C18" s="56" t="s">
        <v>74</v>
      </c>
      <c r="D18" s="56" t="s">
        <v>28</v>
      </c>
      <c r="E18" s="56" t="s">
        <v>47</v>
      </c>
      <c r="F18" s="49" t="str">
        <f t="shared" si="0"/>
        <v>YES</v>
      </c>
      <c r="G18" s="57">
        <v>2177.009</v>
      </c>
      <c r="H18" s="58">
        <v>0</v>
      </c>
      <c r="I18" s="58">
        <v>0</v>
      </c>
      <c r="J18" s="59">
        <f t="shared" si="1"/>
        <v>2177.009</v>
      </c>
      <c r="K18" s="57">
        <v>0</v>
      </c>
      <c r="L18" s="58">
        <v>0</v>
      </c>
      <c r="M18" s="58">
        <v>0</v>
      </c>
      <c r="N18" s="59">
        <f t="shared" si="3"/>
        <v>0</v>
      </c>
      <c r="O18" s="60">
        <f t="shared" si="4"/>
        <v>-2177.009</v>
      </c>
      <c r="P18" s="61">
        <f t="shared" si="5"/>
        <v>0</v>
      </c>
      <c r="Q18" s="61">
        <f t="shared" si="6"/>
        <v>0</v>
      </c>
      <c r="R18" s="62">
        <f t="shared" si="7"/>
        <v>-2177.009</v>
      </c>
      <c r="S18" s="64" t="s">
        <v>75</v>
      </c>
      <c r="T18" s="63" t="s">
        <v>76</v>
      </c>
    </row>
    <row r="19" spans="2:21" ht="122.65" customHeight="1">
      <c r="B19" s="6" t="s">
        <v>77</v>
      </c>
      <c r="C19" s="129" t="s">
        <v>78</v>
      </c>
      <c r="D19" s="16" t="s">
        <v>28</v>
      </c>
      <c r="E19" s="16" t="s">
        <v>28</v>
      </c>
      <c r="F19" s="42" t="str">
        <f t="shared" si="0"/>
        <v>NO</v>
      </c>
      <c r="G19" s="3">
        <v>4000</v>
      </c>
      <c r="H19" s="4">
        <v>5000</v>
      </c>
      <c r="I19" s="4">
        <v>5000</v>
      </c>
      <c r="J19" s="5">
        <f t="shared" si="1"/>
        <v>14000</v>
      </c>
      <c r="K19" s="3">
        <v>3966.0336200000002</v>
      </c>
      <c r="L19" s="4">
        <v>5546.7818941600008</v>
      </c>
      <c r="M19" s="4">
        <v>6158.9773344736004</v>
      </c>
      <c r="N19" s="5">
        <f t="shared" si="3"/>
        <v>15671.7928486336</v>
      </c>
      <c r="O19" s="9">
        <f t="shared" si="4"/>
        <v>-33.966379999999845</v>
      </c>
      <c r="P19" s="10">
        <f t="shared" si="5"/>
        <v>546.78189416000077</v>
      </c>
      <c r="Q19" s="10">
        <f t="shared" si="6"/>
        <v>1158.9773344736004</v>
      </c>
      <c r="R19" s="20">
        <f t="shared" si="7"/>
        <v>1671.7928486336014</v>
      </c>
      <c r="S19" s="1" t="s">
        <v>79</v>
      </c>
      <c r="T19" s="63" t="s">
        <v>79</v>
      </c>
    </row>
    <row r="20" spans="2:21" ht="28.9">
      <c r="B20" s="6" t="s">
        <v>26</v>
      </c>
      <c r="C20" s="16" t="s">
        <v>80</v>
      </c>
      <c r="D20" s="16" t="s">
        <v>28</v>
      </c>
      <c r="E20" s="16" t="s">
        <v>29</v>
      </c>
      <c r="F20" s="42" t="str">
        <f t="shared" si="0"/>
        <v>YES</v>
      </c>
      <c r="G20" s="3">
        <v>0</v>
      </c>
      <c r="H20" s="4">
        <v>0</v>
      </c>
      <c r="I20" s="4">
        <v>0</v>
      </c>
      <c r="J20" s="5">
        <f t="shared" si="1"/>
        <v>0</v>
      </c>
      <c r="K20" s="3">
        <v>0</v>
      </c>
      <c r="L20" s="4">
        <v>0</v>
      </c>
      <c r="M20" s="4">
        <v>0</v>
      </c>
      <c r="N20" s="5">
        <f t="shared" si="3"/>
        <v>0</v>
      </c>
      <c r="O20" s="9">
        <f t="shared" si="4"/>
        <v>0</v>
      </c>
      <c r="P20" s="10">
        <f t="shared" si="5"/>
        <v>0</v>
      </c>
      <c r="Q20" s="10">
        <f t="shared" si="6"/>
        <v>0</v>
      </c>
      <c r="R20" s="20">
        <f t="shared" si="7"/>
        <v>0</v>
      </c>
    </row>
    <row r="21" spans="2:21">
      <c r="B21" s="6" t="s">
        <v>30</v>
      </c>
      <c r="C21" s="16" t="s">
        <v>81</v>
      </c>
      <c r="D21" s="16" t="s">
        <v>13</v>
      </c>
      <c r="E21" s="16" t="s">
        <v>13</v>
      </c>
      <c r="F21" s="42" t="str">
        <f t="shared" si="0"/>
        <v>NO</v>
      </c>
      <c r="G21" s="3">
        <v>0</v>
      </c>
      <c r="H21" s="4">
        <v>0</v>
      </c>
      <c r="I21" s="4">
        <v>0</v>
      </c>
      <c r="J21" s="5">
        <f t="shared" si="1"/>
        <v>0</v>
      </c>
      <c r="K21" s="3">
        <v>0</v>
      </c>
      <c r="L21" s="4">
        <v>0</v>
      </c>
      <c r="M21" s="4">
        <v>0</v>
      </c>
      <c r="N21" s="5">
        <f t="shared" si="3"/>
        <v>0</v>
      </c>
      <c r="O21" s="9">
        <f t="shared" si="4"/>
        <v>0</v>
      </c>
      <c r="P21" s="10">
        <f t="shared" si="5"/>
        <v>0</v>
      </c>
      <c r="Q21" s="10">
        <f t="shared" si="6"/>
        <v>0</v>
      </c>
      <c r="R21" s="20">
        <f t="shared" si="7"/>
        <v>0</v>
      </c>
    </row>
    <row r="22" spans="2:21" ht="43.15">
      <c r="B22" s="6" t="s">
        <v>32</v>
      </c>
      <c r="C22" s="16" t="s">
        <v>82</v>
      </c>
      <c r="D22" s="16" t="s">
        <v>13</v>
      </c>
      <c r="E22" s="16" t="s">
        <v>13</v>
      </c>
      <c r="F22" s="42" t="str">
        <f t="shared" si="0"/>
        <v>NO</v>
      </c>
      <c r="G22" s="3">
        <v>0</v>
      </c>
      <c r="H22" s="4">
        <v>0</v>
      </c>
      <c r="I22" s="4">
        <v>0</v>
      </c>
      <c r="J22" s="5">
        <f t="shared" si="1"/>
        <v>0</v>
      </c>
      <c r="K22" s="3">
        <v>0</v>
      </c>
      <c r="L22" s="4">
        <v>0</v>
      </c>
      <c r="M22" s="4">
        <v>0</v>
      </c>
      <c r="N22" s="5">
        <f t="shared" si="3"/>
        <v>0</v>
      </c>
      <c r="O22" s="9">
        <f t="shared" si="4"/>
        <v>0</v>
      </c>
      <c r="P22" s="10">
        <f t="shared" si="5"/>
        <v>0</v>
      </c>
      <c r="Q22" s="10">
        <f t="shared" si="6"/>
        <v>0</v>
      </c>
      <c r="R22" s="20">
        <f t="shared" si="7"/>
        <v>0</v>
      </c>
    </row>
    <row r="23" spans="2:21" ht="172.9">
      <c r="B23" s="6" t="s">
        <v>83</v>
      </c>
      <c r="C23" s="129" t="s">
        <v>84</v>
      </c>
      <c r="D23" s="16" t="s">
        <v>28</v>
      </c>
      <c r="E23" s="16" t="s">
        <v>28</v>
      </c>
      <c r="F23" s="42" t="str">
        <f t="shared" si="0"/>
        <v>NO</v>
      </c>
      <c r="G23" s="3">
        <v>54097.29774672207</v>
      </c>
      <c r="H23" s="4">
        <v>59475.851488926644</v>
      </c>
      <c r="I23" s="4">
        <v>72035.267040760868</v>
      </c>
      <c r="J23" s="5">
        <f t="shared" si="1"/>
        <v>185608.41627640958</v>
      </c>
      <c r="K23" s="3">
        <v>46684.76264999999</v>
      </c>
      <c r="L23" s="4">
        <v>80722.031861732787</v>
      </c>
      <c r="M23" s="4">
        <v>89161.780498916953</v>
      </c>
      <c r="N23" s="5">
        <f t="shared" si="3"/>
        <v>216568.57501064974</v>
      </c>
      <c r="O23" s="9">
        <f t="shared" si="4"/>
        <v>-7412.5350967220802</v>
      </c>
      <c r="P23" s="10">
        <f t="shared" si="5"/>
        <v>21246.180372806142</v>
      </c>
      <c r="Q23" s="10">
        <f t="shared" si="6"/>
        <v>17126.513458156085</v>
      </c>
      <c r="R23" s="20">
        <f t="shared" si="7"/>
        <v>30960.158734240147</v>
      </c>
      <c r="S23" s="40" t="s">
        <v>85</v>
      </c>
      <c r="T23" s="69" t="s">
        <v>86</v>
      </c>
    </row>
    <row r="24" spans="2:21" ht="84.95" customHeight="1">
      <c r="B24" s="23" t="s">
        <v>87</v>
      </c>
      <c r="C24" s="129" t="s">
        <v>88</v>
      </c>
      <c r="D24" s="16" t="s">
        <v>28</v>
      </c>
      <c r="E24" s="16" t="s">
        <v>28</v>
      </c>
      <c r="F24" s="42" t="str">
        <f t="shared" si="0"/>
        <v>NO</v>
      </c>
      <c r="G24" s="3">
        <v>36470.010999999999</v>
      </c>
      <c r="H24" s="4">
        <v>36973.531000000003</v>
      </c>
      <c r="I24" s="4">
        <v>37564.932999999997</v>
      </c>
      <c r="J24" s="5">
        <f t="shared" si="1"/>
        <v>111008.47500000001</v>
      </c>
      <c r="K24" s="4">
        <v>37604</v>
      </c>
      <c r="L24" s="4">
        <v>43444.519959999998</v>
      </c>
      <c r="M24" s="4">
        <v>44747.85557</v>
      </c>
      <c r="N24" s="5">
        <f t="shared" si="3"/>
        <v>125796.37553</v>
      </c>
      <c r="O24" s="9">
        <f t="shared" si="4"/>
        <v>1133.9890000000014</v>
      </c>
      <c r="P24" s="10">
        <f t="shared" si="5"/>
        <v>6470.9889599999951</v>
      </c>
      <c r="Q24" s="10">
        <f t="shared" si="6"/>
        <v>7182.9225700000025</v>
      </c>
      <c r="R24" s="20">
        <f t="shared" si="7"/>
        <v>14787.900529999999</v>
      </c>
      <c r="S24" s="1" t="s">
        <v>89</v>
      </c>
      <c r="T24" s="63" t="s">
        <v>90</v>
      </c>
      <c r="U24" s="65"/>
    </row>
    <row r="25" spans="2:21">
      <c r="B25" s="6" t="s">
        <v>34</v>
      </c>
      <c r="C25" s="16" t="s">
        <v>91</v>
      </c>
      <c r="D25" s="16" t="s">
        <v>13</v>
      </c>
      <c r="E25" s="16" t="s">
        <v>13</v>
      </c>
      <c r="F25" s="42" t="str">
        <f t="shared" si="0"/>
        <v>NO</v>
      </c>
      <c r="G25" s="3">
        <v>0</v>
      </c>
      <c r="H25" s="4">
        <v>0</v>
      </c>
      <c r="I25" s="4">
        <v>0</v>
      </c>
      <c r="J25" s="5">
        <f t="shared" si="1"/>
        <v>0</v>
      </c>
      <c r="K25" s="3">
        <v>0</v>
      </c>
      <c r="L25" s="4">
        <v>0</v>
      </c>
      <c r="M25" s="4">
        <v>0</v>
      </c>
      <c r="N25" s="5">
        <f t="shared" si="3"/>
        <v>0</v>
      </c>
      <c r="O25" s="9">
        <f t="shared" si="4"/>
        <v>0</v>
      </c>
      <c r="P25" s="10">
        <f t="shared" si="5"/>
        <v>0</v>
      </c>
      <c r="Q25" s="10">
        <f t="shared" si="6"/>
        <v>0</v>
      </c>
      <c r="R25" s="20">
        <f t="shared" si="7"/>
        <v>0</v>
      </c>
    </row>
    <row r="26" spans="2:21">
      <c r="B26" s="6" t="s">
        <v>36</v>
      </c>
      <c r="C26" s="16" t="s">
        <v>92</v>
      </c>
      <c r="D26" s="16" t="s">
        <v>13</v>
      </c>
      <c r="E26" s="16" t="s">
        <v>13</v>
      </c>
      <c r="F26" s="42" t="str">
        <f t="shared" si="0"/>
        <v>NO</v>
      </c>
      <c r="G26" s="3">
        <v>0</v>
      </c>
      <c r="H26" s="4">
        <v>0</v>
      </c>
      <c r="I26" s="4">
        <v>0</v>
      </c>
      <c r="J26" s="5">
        <f t="shared" si="1"/>
        <v>0</v>
      </c>
      <c r="K26" s="3">
        <v>0</v>
      </c>
      <c r="L26" s="4">
        <v>0</v>
      </c>
      <c r="M26" s="4">
        <v>0</v>
      </c>
      <c r="N26" s="5">
        <f t="shared" si="3"/>
        <v>0</v>
      </c>
      <c r="O26" s="9">
        <f t="shared" si="4"/>
        <v>0</v>
      </c>
      <c r="P26" s="10">
        <f t="shared" si="5"/>
        <v>0</v>
      </c>
      <c r="Q26" s="10">
        <f t="shared" si="6"/>
        <v>0</v>
      </c>
      <c r="R26" s="20">
        <f t="shared" si="7"/>
        <v>0</v>
      </c>
    </row>
    <row r="27" spans="2:21" ht="96.6" customHeight="1">
      <c r="B27" s="6" t="s">
        <v>38</v>
      </c>
      <c r="C27" s="130" t="s">
        <v>39</v>
      </c>
      <c r="D27" s="16" t="s">
        <v>28</v>
      </c>
      <c r="E27" s="16" t="s">
        <v>28</v>
      </c>
      <c r="F27" s="42" t="str">
        <f t="shared" si="0"/>
        <v>NO</v>
      </c>
      <c r="G27" s="3">
        <v>1660</v>
      </c>
      <c r="H27" s="4">
        <v>150</v>
      </c>
      <c r="I27" s="4">
        <v>50</v>
      </c>
      <c r="J27" s="5">
        <f t="shared" si="1"/>
        <v>1860</v>
      </c>
      <c r="K27" s="3">
        <v>1055.6305199999999</v>
      </c>
      <c r="L27" s="4">
        <v>4152.1774137199782</v>
      </c>
      <c r="M27" s="4">
        <v>4690.5012245605667</v>
      </c>
      <c r="N27" s="5">
        <f t="shared" si="3"/>
        <v>9898.3091582805446</v>
      </c>
      <c r="O27" s="9">
        <f>K27-G27</f>
        <v>-604.36948000000007</v>
      </c>
      <c r="P27" s="10">
        <f t="shared" si="5"/>
        <v>4002.1774137199782</v>
      </c>
      <c r="Q27" s="10">
        <f t="shared" si="6"/>
        <v>4640.5012245605667</v>
      </c>
      <c r="R27" s="20">
        <f t="shared" si="7"/>
        <v>8038.3091582805446</v>
      </c>
      <c r="S27" s="41" t="s">
        <v>93</v>
      </c>
      <c r="T27" s="46" t="s">
        <v>94</v>
      </c>
    </row>
    <row r="28" spans="2:21" ht="84.95" customHeight="1">
      <c r="B28" s="23" t="s">
        <v>95</v>
      </c>
      <c r="C28" s="129" t="s">
        <v>96</v>
      </c>
      <c r="D28" s="16" t="s">
        <v>28</v>
      </c>
      <c r="E28" s="16" t="s">
        <v>28</v>
      </c>
      <c r="F28" s="42" t="str">
        <f t="shared" si="0"/>
        <v>NO</v>
      </c>
      <c r="G28" s="3">
        <v>76281.452000000005</v>
      </c>
      <c r="H28" s="4">
        <v>64169.652000000002</v>
      </c>
      <c r="I28" s="4">
        <v>60868.686999999998</v>
      </c>
      <c r="J28" s="5">
        <f t="shared" si="1"/>
        <v>201319.791</v>
      </c>
      <c r="K28" s="70">
        <f>+'7.3.5.20. Line Clearing HFRA'!C7*1000</f>
        <v>233584.72847592863</v>
      </c>
      <c r="L28" s="71">
        <f>+'7.3.5.20. Line Clearing HFRA'!E7*1000</f>
        <v>187239.99364535621</v>
      </c>
      <c r="M28" s="71">
        <f>+'7.3.5.20. Line Clearing HFRA'!G7*1000</f>
        <v>192594.27547957958</v>
      </c>
      <c r="N28" s="5">
        <f t="shared" si="3"/>
        <v>613418.99760086439</v>
      </c>
      <c r="O28" s="9">
        <f t="shared" si="4"/>
        <v>157303.27647592861</v>
      </c>
      <c r="P28" s="10">
        <f t="shared" si="5"/>
        <v>123070.34164535621</v>
      </c>
      <c r="Q28" s="10">
        <f t="shared" si="6"/>
        <v>131725.58847957957</v>
      </c>
      <c r="R28" s="20">
        <f t="shared" si="7"/>
        <v>412099.20660086442</v>
      </c>
      <c r="S28" s="1" t="s">
        <v>97</v>
      </c>
      <c r="T28" s="1" t="s">
        <v>98</v>
      </c>
      <c r="U28" s="65"/>
    </row>
    <row r="29" spans="2:21">
      <c r="B29" s="34" t="s">
        <v>42</v>
      </c>
      <c r="C29" s="21"/>
      <c r="D29" s="21"/>
      <c r="E29" s="21"/>
      <c r="F29" s="43"/>
      <c r="G29" s="36">
        <f>+G6+G7+G10+G11+G14+G17+G18+G19+G20+G23+G24+G27+G28</f>
        <v>198482.7875515013</v>
      </c>
      <c r="H29" s="36">
        <f t="shared" ref="H29:I29" si="8">+H6+H7+H10+H11+H14+H17+H18+H19+H20+H23+H24+H27+H28</f>
        <v>184424.25040543027</v>
      </c>
      <c r="I29" s="36">
        <f t="shared" si="8"/>
        <v>194282.72726076251</v>
      </c>
      <c r="J29" s="36">
        <f>SUM(G29:I29)</f>
        <v>577189.7652176941</v>
      </c>
      <c r="K29" s="36">
        <f>SUM(K10,K11,K14,K19,K23,K24,K28,K27)</f>
        <v>334446.46989592863</v>
      </c>
      <c r="L29" s="36">
        <f t="shared" ref="L29" si="9">SUM(L10,L11,L14,L19,L23,L24,L28,L27)</f>
        <v>331762.61269816506</v>
      </c>
      <c r="M29" s="36">
        <f>SUM(M10,M11,M14,M19,M23,M24,M28,M27)</f>
        <v>346732.03520625056</v>
      </c>
      <c r="N29" s="36">
        <f>SUM(K29:M29)</f>
        <v>1012941.1178003442</v>
      </c>
      <c r="O29" s="36">
        <f t="shared" ref="O29:Q29" si="10">SUM(O10,O11,O14,O19,O23,O24,O28,O27)</f>
        <v>155095.90334442732</v>
      </c>
      <c r="P29" s="36">
        <f t="shared" si="10"/>
        <v>159244.0652927348</v>
      </c>
      <c r="Q29" s="36">
        <f t="shared" si="10"/>
        <v>164365.70894548806</v>
      </c>
      <c r="R29" s="36">
        <f>SUM(O29:Q29)</f>
        <v>478705.67758265021</v>
      </c>
    </row>
    <row r="30" spans="2:21">
      <c r="B30" s="35" t="s">
        <v>43</v>
      </c>
      <c r="C30" s="127"/>
      <c r="D30" s="127"/>
      <c r="E30" s="127"/>
      <c r="F30" s="44"/>
      <c r="G30" s="36">
        <f>+G5+G8+G9+G12+G13+G15+G16+G21+G22+G25+G26</f>
        <v>0</v>
      </c>
      <c r="H30" s="36">
        <f t="shared" ref="H30:I30" si="11">+H5+H8+H9+H12+H13+H15+H16+H21+H22+H25+H26</f>
        <v>0</v>
      </c>
      <c r="I30" s="36">
        <f t="shared" si="11"/>
        <v>0</v>
      </c>
      <c r="J30" s="36">
        <f>SUM(G30:I30)</f>
        <v>0</v>
      </c>
      <c r="K30" s="36">
        <f>SUM(K5,K6,K7,K8,K9,K12,K13,K15,K16,K17,K18,K20,K21,K22,K25,K26)</f>
        <v>27529.4771</v>
      </c>
      <c r="L30" s="36">
        <f t="shared" ref="L30" si="12">SUM(L5,L6,L7,L8,L9,L12,L13,L15,L16,L17,L18,L20,L21,L22,L25,L26)</f>
        <v>17773.07</v>
      </c>
      <c r="M30" s="36">
        <f>SUM(M5,M6,M7,M8,M9,M12,M13,M15,M16,M17,M18,M20,M21,M22,M25,M26)</f>
        <v>18306.264999999999</v>
      </c>
      <c r="N30" s="36">
        <f>SUM(K30:M30)</f>
        <v>63608.812099999996</v>
      </c>
      <c r="O30" s="36">
        <f t="shared" ref="O30:Q30" si="13">SUM(O5,O6,O7,O8,O9,O12,O13,O15,O16,O17,O18,O20,O21,O22,O25,O26)</f>
        <v>8397.2561000000005</v>
      </c>
      <c r="P30" s="36">
        <f t="shared" si="13"/>
        <v>5867.3670000000002</v>
      </c>
      <c r="Q30" s="36">
        <f t="shared" si="13"/>
        <v>6389.8640000000005</v>
      </c>
      <c r="R30" s="36">
        <f>SUM(O30:Q30)</f>
        <v>20654.487100000002</v>
      </c>
    </row>
    <row r="31" spans="2:21">
      <c r="B31" s="17" t="s">
        <v>8</v>
      </c>
      <c r="C31" s="18"/>
      <c r="D31" s="18"/>
      <c r="E31" s="18"/>
      <c r="F31" s="45"/>
      <c r="G31" s="37">
        <f>SUM(G5:G28)</f>
        <v>198482.7875515013</v>
      </c>
      <c r="H31" s="38">
        <f>SUM(H5:H28)</f>
        <v>184424.25040543027</v>
      </c>
      <c r="I31" s="38">
        <f>SUM(I5:I28)</f>
        <v>194282.72726076251</v>
      </c>
      <c r="J31" s="39">
        <f>SUM(G31:I31)</f>
        <v>577189.7652176941</v>
      </c>
      <c r="K31" s="37">
        <f>SUM(K5:K28)</f>
        <v>361975.94699592865</v>
      </c>
      <c r="L31" s="38">
        <f>SUM(L5:L28)</f>
        <v>349535.68269816507</v>
      </c>
      <c r="M31" s="38">
        <f>SUM(M5:M28)</f>
        <v>365038.30020625063</v>
      </c>
      <c r="N31" s="39">
        <f>SUM(K31:M31)</f>
        <v>1076549.9299003445</v>
      </c>
      <c r="O31" s="37">
        <f>SUM(O5:O28)</f>
        <v>163493.15944442732</v>
      </c>
      <c r="P31" s="38">
        <f>SUM(P5:P28)</f>
        <v>165111.4322927348</v>
      </c>
      <c r="Q31" s="38">
        <f>SUM(Q5:Q28)</f>
        <v>170755.57294548806</v>
      </c>
      <c r="R31" s="39">
        <f>SUM(O31:Q31)</f>
        <v>499360.16468265012</v>
      </c>
    </row>
    <row r="32" spans="2:21">
      <c r="G32" s="32">
        <f>+G31-SUM(G29:G30)</f>
        <v>0</v>
      </c>
      <c r="H32" s="32">
        <f t="shared" ref="H32:K32" si="14">+H31-SUM(H29:H30)</f>
        <v>0</v>
      </c>
      <c r="I32" s="32">
        <f t="shared" si="14"/>
        <v>0</v>
      </c>
      <c r="J32" s="32">
        <f t="shared" si="14"/>
        <v>0</v>
      </c>
      <c r="K32" s="32">
        <f t="shared" si="14"/>
        <v>0</v>
      </c>
      <c r="L32" s="32">
        <f t="shared" ref="L32" si="15">+L31-SUM(L29:L30)</f>
        <v>0</v>
      </c>
      <c r="M32" s="32">
        <f t="shared" ref="M32" si="16">+M31-SUM(M29:M30)</f>
        <v>0</v>
      </c>
      <c r="N32" s="32">
        <f t="shared" ref="N32:O32" si="17">+N31-SUM(N29:N30)</f>
        <v>0</v>
      </c>
      <c r="O32" s="32">
        <f t="shared" si="17"/>
        <v>0</v>
      </c>
      <c r="P32" s="32">
        <f t="shared" ref="P32" si="18">+P31-SUM(P29:P30)</f>
        <v>0</v>
      </c>
      <c r="Q32" s="32">
        <f t="shared" ref="Q32" si="19">+Q31-SUM(Q29:Q30)</f>
        <v>0</v>
      </c>
      <c r="R32" s="32">
        <f t="shared" ref="R32" si="20">+R31-SUM(R29:R30)</f>
        <v>0</v>
      </c>
    </row>
    <row r="35" spans="10:10">
      <c r="J35" s="33"/>
    </row>
    <row r="37" spans="10:10">
      <c r="J37" s="32"/>
    </row>
  </sheetData>
  <mergeCells count="8">
    <mergeCell ref="O3:R3"/>
    <mergeCell ref="D3:D4"/>
    <mergeCell ref="E3:E4"/>
    <mergeCell ref="B3:B4"/>
    <mergeCell ref="C3:C4"/>
    <mergeCell ref="F3:F4"/>
    <mergeCell ref="G3:J3"/>
    <mergeCell ref="K3:N3"/>
  </mergeCells>
  <phoneticPr fontId="3" type="noConversion"/>
  <pageMargins left="0.7" right="0.7" top="0.75" bottom="0.75" header="0.3" footer="0.3"/>
  <pageSetup orientation="portrait" r:id="rId1"/>
  <ignoredErrors>
    <ignoredError sqref="N29:N30"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E9D55-DC5D-494C-8BBE-1782170CD3F5}">
  <sheetPr>
    <pageSetUpPr fitToPage="1"/>
  </sheetPr>
  <dimension ref="A1:M34"/>
  <sheetViews>
    <sheetView showGridLines="0" tabSelected="1" zoomScale="70" zoomScaleNormal="70" workbookViewId="0">
      <pane xSplit="1" ySplit="2" topLeftCell="B4" activePane="bottomRight" state="frozen"/>
      <selection pane="bottomRight" activeCell="I22" sqref="I22"/>
      <selection pane="bottomLeft" activeCell="A3" sqref="A3"/>
      <selection pane="topRight" activeCell="B1" sqref="B1"/>
    </sheetView>
  </sheetViews>
  <sheetFormatPr defaultColWidth="8.85546875" defaultRowHeight="13.15"/>
  <cols>
    <col min="1" max="1" width="65.140625" style="72" customWidth="1"/>
    <col min="2" max="6" width="14.140625" style="72" customWidth="1"/>
    <col min="7" max="7" width="12.140625" style="72" customWidth="1"/>
    <col min="8" max="8" width="13.28515625" style="72" customWidth="1"/>
    <col min="9" max="9" width="106.28515625" style="72" customWidth="1"/>
    <col min="10" max="10" width="7.5703125" style="72" bestFit="1" customWidth="1"/>
    <col min="11" max="16384" width="8.85546875" style="72"/>
  </cols>
  <sheetData>
    <row r="1" spans="1:9" ht="14.45">
      <c r="A1" s="132" t="s">
        <v>99</v>
      </c>
      <c r="B1" s="142">
        <v>2020</v>
      </c>
      <c r="C1" s="143"/>
      <c r="D1" s="142">
        <v>2021</v>
      </c>
      <c r="E1" s="143"/>
      <c r="F1" s="142">
        <v>2022</v>
      </c>
      <c r="G1" s="143"/>
      <c r="H1" s="128" t="s">
        <v>100</v>
      </c>
      <c r="I1" s="144" t="s">
        <v>101</v>
      </c>
    </row>
    <row r="2" spans="1:9" s="76" customFormat="1" ht="15.6">
      <c r="A2" s="73" t="s">
        <v>102</v>
      </c>
      <c r="B2" s="74" t="s">
        <v>5</v>
      </c>
      <c r="C2" s="74" t="s">
        <v>6</v>
      </c>
      <c r="D2" s="74" t="s">
        <v>5</v>
      </c>
      <c r="E2" s="74" t="s">
        <v>6</v>
      </c>
      <c r="F2" s="74" t="s">
        <v>5</v>
      </c>
      <c r="G2" s="74" t="s">
        <v>6</v>
      </c>
      <c r="H2" s="75" t="s">
        <v>103</v>
      </c>
      <c r="I2" s="145"/>
    </row>
    <row r="3" spans="1:9" ht="137.65" customHeight="1">
      <c r="A3" s="77" t="s">
        <v>104</v>
      </c>
      <c r="B3" s="78">
        <v>76.281000000000006</v>
      </c>
      <c r="C3" s="79">
        <f>(17.5*0.64)/1.75+96.3/1.75+66+(21/1.75)</f>
        <v>139.42857142857142</v>
      </c>
      <c r="D3" s="78">
        <v>64.17</v>
      </c>
      <c r="E3" s="79">
        <f>(94.0742307819445-40.3)+(14.68-6.3)+(9.38785566054097-4)+(24.4084929851368-10.5)+25.0418427891625</f>
        <v>106.49242221678476</v>
      </c>
      <c r="F3" s="78">
        <v>60.869</v>
      </c>
      <c r="G3" s="79">
        <f>(96.6338755594578-41.4)+(15.1201541708078-6.5)+(9.6694913303572-4.1)+(25.1407477746909-10.8)+25.851863787123</f>
        <v>109.61613262243671</v>
      </c>
      <c r="H3" s="80">
        <f t="shared" ref="H3:H7" si="0">SUM(B3,D3,F3)-SUM(C3,E3,G3)</f>
        <v>-154.21712626779291</v>
      </c>
      <c r="I3" s="81" t="s">
        <v>105</v>
      </c>
    </row>
    <row r="4" spans="1:9" ht="50.1" customHeight="1">
      <c r="A4" s="82" t="s">
        <v>106</v>
      </c>
      <c r="B4" s="83">
        <v>0</v>
      </c>
      <c r="C4" s="84">
        <v>83</v>
      </c>
      <c r="D4" s="83">
        <v>0</v>
      </c>
      <c r="E4" s="84">
        <v>66.400000000000006</v>
      </c>
      <c r="F4" s="83">
        <v>0</v>
      </c>
      <c r="G4" s="84">
        <v>68.2</v>
      </c>
      <c r="H4" s="85">
        <f t="shared" si="0"/>
        <v>-217.60000000000002</v>
      </c>
      <c r="I4" s="86" t="s">
        <v>107</v>
      </c>
    </row>
    <row r="5" spans="1:9" ht="38.25">
      <c r="A5" s="82" t="s">
        <v>108</v>
      </c>
      <c r="B5" s="83">
        <v>0</v>
      </c>
      <c r="C5" s="84">
        <f>[2]Sheet2!D31</f>
        <v>3.5492999045000526</v>
      </c>
      <c r="D5" s="83">
        <v>0</v>
      </c>
      <c r="E5" s="84">
        <f>8.207</f>
        <v>8.2070000000000007</v>
      </c>
      <c r="F5" s="83">
        <v>0</v>
      </c>
      <c r="G5" s="84">
        <f>8.453</f>
        <v>8.4529999999999994</v>
      </c>
      <c r="H5" s="87">
        <f t="shared" si="0"/>
        <v>-20.209299904500053</v>
      </c>
      <c r="I5" s="86" t="s">
        <v>109</v>
      </c>
    </row>
    <row r="6" spans="1:9">
      <c r="A6" s="88" t="s">
        <v>110</v>
      </c>
      <c r="B6" s="89">
        <v>0</v>
      </c>
      <c r="C6" s="90">
        <f>20.8*0.64/1.75</f>
        <v>7.6068571428571436</v>
      </c>
      <c r="D6" s="89">
        <v>0</v>
      </c>
      <c r="E6" s="90">
        <f>10.746/1.75</f>
        <v>6.1405714285714286</v>
      </c>
      <c r="F6" s="89">
        <v>0</v>
      </c>
      <c r="G6" s="91">
        <f>11.069/1.75</f>
        <v>6.3251428571428576</v>
      </c>
      <c r="H6" s="92">
        <f t="shared" si="0"/>
        <v>-20.072571428571429</v>
      </c>
      <c r="I6" s="93" t="s">
        <v>111</v>
      </c>
    </row>
    <row r="7" spans="1:9">
      <c r="A7" s="94" t="s">
        <v>112</v>
      </c>
      <c r="B7" s="95">
        <f>B3</f>
        <v>76.281000000000006</v>
      </c>
      <c r="C7" s="96">
        <f>SUM(C3:C6)</f>
        <v>233.58472847592861</v>
      </c>
      <c r="D7" s="95">
        <f>D3</f>
        <v>64.17</v>
      </c>
      <c r="E7" s="96">
        <f>SUM(E3:E6)</f>
        <v>187.23999364535621</v>
      </c>
      <c r="F7" s="97">
        <f>F3</f>
        <v>60.869</v>
      </c>
      <c r="G7" s="96">
        <f>SUM(G3:G6)</f>
        <v>192.59427547957958</v>
      </c>
      <c r="H7" s="95">
        <f t="shared" si="0"/>
        <v>-412.09899760086432</v>
      </c>
      <c r="I7" s="98"/>
    </row>
    <row r="8" spans="1:9">
      <c r="B8" s="99"/>
      <c r="C8" s="99"/>
      <c r="D8" s="99"/>
      <c r="E8" s="99"/>
      <c r="F8" s="99"/>
      <c r="G8" s="99"/>
      <c r="H8" s="99"/>
      <c r="I8" s="99"/>
    </row>
    <row r="10" spans="1:9">
      <c r="A10" s="72" t="s">
        <v>113</v>
      </c>
      <c r="H10" s="100">
        <f>H3+H4</f>
        <v>-371.8171262677929</v>
      </c>
    </row>
    <row r="11" spans="1:9">
      <c r="A11" s="72" t="s">
        <v>114</v>
      </c>
      <c r="C11" s="101"/>
      <c r="H11" s="102">
        <f>H7-H10</f>
        <v>-40.281871333071422</v>
      </c>
    </row>
    <row r="12" spans="1:9">
      <c r="H12" s="101">
        <f>SUM(H10:H11)</f>
        <v>-412.09899760086432</v>
      </c>
    </row>
    <row r="13" spans="1:9">
      <c r="H13" s="101"/>
    </row>
    <row r="15" spans="1:9" s="108" customFormat="1" ht="27" thickBot="1">
      <c r="A15" s="103" t="s">
        <v>104</v>
      </c>
      <c r="B15" s="104">
        <v>2020</v>
      </c>
      <c r="C15" s="104">
        <v>2021</v>
      </c>
      <c r="D15" s="104">
        <v>2022</v>
      </c>
      <c r="E15" s="105" t="s">
        <v>115</v>
      </c>
      <c r="F15" s="106" t="s">
        <v>116</v>
      </c>
      <c r="G15" s="107"/>
    </row>
    <row r="16" spans="1:9">
      <c r="A16" s="72" t="s">
        <v>117</v>
      </c>
      <c r="B16" s="109">
        <v>76</v>
      </c>
      <c r="C16" s="109">
        <v>64</v>
      </c>
      <c r="D16" s="109">
        <v>61</v>
      </c>
      <c r="E16" s="109">
        <f>SUM(B16:D16)</f>
        <v>201</v>
      </c>
      <c r="F16" s="110" t="s">
        <v>118</v>
      </c>
    </row>
    <row r="17" spans="1:6" ht="13.9">
      <c r="A17" s="72" t="s">
        <v>119</v>
      </c>
      <c r="B17" s="111">
        <v>12</v>
      </c>
      <c r="C17" s="99">
        <v>0</v>
      </c>
      <c r="D17" s="99">
        <v>0</v>
      </c>
      <c r="E17" s="99">
        <f>SUM(B17:D17)</f>
        <v>12</v>
      </c>
      <c r="F17" s="110" t="s">
        <v>120</v>
      </c>
    </row>
    <row r="18" spans="1:6" ht="13.9">
      <c r="A18" s="72" t="s">
        <v>121</v>
      </c>
      <c r="B18" s="111">
        <v>17</v>
      </c>
      <c r="C18" s="99">
        <v>0</v>
      </c>
      <c r="D18" s="99">
        <v>0</v>
      </c>
      <c r="E18" s="99">
        <f>SUM(B18:D18)</f>
        <v>17</v>
      </c>
      <c r="F18" s="110" t="s">
        <v>122</v>
      </c>
    </row>
    <row r="19" spans="1:6" ht="13.9">
      <c r="A19" s="72" t="s">
        <v>123</v>
      </c>
      <c r="B19" s="111">
        <v>12</v>
      </c>
      <c r="C19" s="99">
        <v>0</v>
      </c>
      <c r="D19" s="99">
        <v>0</v>
      </c>
      <c r="E19" s="99">
        <f>SUM(B19:D19)</f>
        <v>12</v>
      </c>
      <c r="F19" s="110" t="s">
        <v>124</v>
      </c>
    </row>
    <row r="20" spans="1:6" ht="13.9">
      <c r="A20" s="72" t="s">
        <v>125</v>
      </c>
      <c r="B20" s="111">
        <v>1</v>
      </c>
      <c r="C20" s="99">
        <f>-10+24/1.75+(9)+0.895</f>
        <v>13.609285714285713</v>
      </c>
      <c r="D20" s="99">
        <f>-6+25.1/1.75+(9*1.03)+0.922</f>
        <v>18.534857142857145</v>
      </c>
      <c r="E20" s="99">
        <f t="shared" ref="E20:E23" si="1">SUM(B20:D20)</f>
        <v>33.14414285714286</v>
      </c>
      <c r="F20" s="110" t="s">
        <v>126</v>
      </c>
    </row>
    <row r="21" spans="1:6" ht="13.9">
      <c r="A21" s="72" t="s">
        <v>127</v>
      </c>
      <c r="B21" s="111">
        <v>0</v>
      </c>
      <c r="C21" s="99">
        <f>9.388/1.75</f>
        <v>5.3645714285714288</v>
      </c>
      <c r="D21" s="99">
        <f xml:space="preserve"> 9.669/1.75</f>
        <v>5.5251428571428578</v>
      </c>
      <c r="E21" s="99">
        <f t="shared" si="1"/>
        <v>10.889714285714287</v>
      </c>
      <c r="F21" s="110" t="s">
        <v>128</v>
      </c>
    </row>
    <row r="22" spans="1:6" ht="13.9">
      <c r="A22" s="72" t="s">
        <v>129</v>
      </c>
      <c r="B22" s="111">
        <v>5</v>
      </c>
      <c r="C22" s="99">
        <v>0</v>
      </c>
      <c r="D22" s="99">
        <v>0</v>
      </c>
      <c r="E22" s="99">
        <f t="shared" si="1"/>
        <v>5</v>
      </c>
      <c r="F22" s="110" t="s">
        <v>130</v>
      </c>
    </row>
    <row r="23" spans="1:6" s="116" customFormat="1" ht="26.45">
      <c r="A23" s="112" t="s">
        <v>131</v>
      </c>
      <c r="B23" s="113">
        <v>16</v>
      </c>
      <c r="C23" s="114">
        <f>3.09-0.895+3</f>
        <v>5.1950000000000003</v>
      </c>
      <c r="D23" s="114">
        <f>3.1-0.922+5</f>
        <v>7.1779999999999999</v>
      </c>
      <c r="E23" s="114">
        <f t="shared" si="1"/>
        <v>28.373000000000001</v>
      </c>
      <c r="F23" s="115" t="s">
        <v>132</v>
      </c>
    </row>
    <row r="24" spans="1:6" ht="13.9">
      <c r="A24" s="117" t="s">
        <v>133</v>
      </c>
      <c r="B24" s="111">
        <v>0</v>
      </c>
      <c r="C24" s="99">
        <v>1.0629710365395999</v>
      </c>
      <c r="D24" s="99">
        <v>1.0948601676357901</v>
      </c>
      <c r="E24" s="99">
        <f>SUM(B24:D24)</f>
        <v>2.1578312041753902</v>
      </c>
      <c r="F24" s="110" t="s">
        <v>134</v>
      </c>
    </row>
    <row r="25" spans="1:6" ht="13.9">
      <c r="A25" s="117" t="s">
        <v>135</v>
      </c>
      <c r="B25" s="111">
        <v>0</v>
      </c>
      <c r="C25" s="99">
        <v>1.7634402994101801</v>
      </c>
      <c r="D25" s="99">
        <v>1.8163435083924799</v>
      </c>
      <c r="E25" s="99">
        <f>SUM(B25:D25)</f>
        <v>3.5797838078026603</v>
      </c>
      <c r="F25" s="110" t="s">
        <v>136</v>
      </c>
    </row>
    <row r="26" spans="1:6" ht="13.9">
      <c r="A26" s="118" t="s">
        <v>137</v>
      </c>
      <c r="B26" s="119">
        <v>0</v>
      </c>
      <c r="C26" s="120">
        <v>14.522222001916701</v>
      </c>
      <c r="D26" s="120">
        <v>14.9578886619742</v>
      </c>
      <c r="E26" s="120">
        <f>SUM(B26:D26)</f>
        <v>29.480110663890901</v>
      </c>
      <c r="F26" s="110" t="s">
        <v>138</v>
      </c>
    </row>
    <row r="27" spans="1:6" ht="13.9" thickBot="1">
      <c r="B27" s="121">
        <f>SUM(B16:B26)</f>
        <v>139</v>
      </c>
      <c r="C27" s="121">
        <f>SUM(C16:C26)</f>
        <v>105.51749048072362</v>
      </c>
      <c r="D27" s="121">
        <f>SUM(D16:D26)</f>
        <v>110.10709233800246</v>
      </c>
      <c r="E27" s="121">
        <f>SUM(E16:E26)</f>
        <v>354.62458281872608</v>
      </c>
    </row>
    <row r="28" spans="1:6" ht="13.9" thickTop="1">
      <c r="A28" s="122"/>
      <c r="B28" s="99"/>
      <c r="C28" s="99"/>
      <c r="D28" s="99"/>
      <c r="E28" s="99"/>
    </row>
    <row r="29" spans="1:6">
      <c r="A29" s="122"/>
      <c r="B29" s="99"/>
      <c r="C29" s="99"/>
      <c r="D29" s="99"/>
    </row>
    <row r="30" spans="1:6">
      <c r="A30" s="122"/>
      <c r="D30" s="99" t="s">
        <v>139</v>
      </c>
      <c r="E30" s="99">
        <f>E27-F3-D3-B3</f>
        <v>153.30458281872609</v>
      </c>
    </row>
    <row r="31" spans="1:6">
      <c r="A31" s="122"/>
    </row>
    <row r="32" spans="1:6">
      <c r="A32" s="122"/>
    </row>
    <row r="34" spans="1:13" ht="13.9">
      <c r="A34" s="123"/>
      <c r="C34" s="124"/>
      <c r="D34" s="125"/>
      <c r="L34" s="126"/>
      <c r="M34" s="126"/>
    </row>
  </sheetData>
  <mergeCells count="4">
    <mergeCell ref="B1:C1"/>
    <mergeCell ref="D1:E1"/>
    <mergeCell ref="F1:G1"/>
    <mergeCell ref="I1:I2"/>
  </mergeCells>
  <pageMargins left="0.7" right="0.7" top="0.75" bottom="0.75" header="0.3" footer="0.3"/>
  <pageSetup scale="46"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fi7y xmlns="470f3cb9-6190-467f-98b3-13287c8881c8" xsi:nil="true"/>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3BDCAA064B24A498CFD3DF224C73A0E" ma:contentTypeVersion="7" ma:contentTypeDescription="Create a new document." ma:contentTypeScope="" ma:versionID="76e8f06a99eee6bf361b61571d2ab681">
  <xsd:schema xmlns:xsd="http://www.w3.org/2001/XMLSchema" xmlns:xs="http://www.w3.org/2001/XMLSchema" xmlns:p="http://schemas.microsoft.com/office/2006/metadata/properties" xmlns:ns2="470f3cb9-6190-467f-98b3-13287c8881c8" xmlns:ns3="287e4302-86cf-4944-a309-ab111957c492" targetNamespace="http://schemas.microsoft.com/office/2006/metadata/properties" ma:root="true" ma:fieldsID="99812758fcad5f90009c75bb3d0ceb16" ns2:_="" ns3:_="">
    <xsd:import namespace="470f3cb9-6190-467f-98b3-13287c8881c8"/>
    <xsd:import namespace="287e4302-86cf-4944-a309-ab111957c49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fi7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f3cb9-6190-467f-98b3-13287c8881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fi7y" ma:index="14" nillable="true" ma:displayName="Number" ma:internalName="fi7y">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287e4302-86cf-4944-a309-ab111957c49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9E19E7-9BFA-49A3-AEFF-F17B6C631A9C}"/>
</file>

<file path=customXml/itemProps2.xml><?xml version="1.0" encoding="utf-8"?>
<ds:datastoreItem xmlns:ds="http://schemas.openxmlformats.org/officeDocument/2006/customXml" ds:itemID="{651B2934-77B8-4254-B6CD-F373E3CE76F8}"/>
</file>

<file path=customXml/itemProps3.xml><?xml version="1.0" encoding="utf-8"?>
<ds:datastoreItem xmlns:ds="http://schemas.openxmlformats.org/officeDocument/2006/customXml" ds:itemID="{E30256A5-3978-4130-8EA3-AFFF9DC53F34}"/>
</file>

<file path=customXml/itemProps4.xml><?xml version="1.0" encoding="utf-8"?>
<ds:datastoreItem xmlns:ds="http://schemas.openxmlformats.org/officeDocument/2006/customXml" ds:itemID="{12F77261-FCDF-4896-ADFB-45036A09F32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Ryan Stevenson</dc:creator>
  <cp:keywords/>
  <dc:description/>
  <cp:lastModifiedBy>Peter Van Mieghem</cp:lastModifiedBy>
  <cp:revision/>
  <dcterms:created xsi:type="dcterms:W3CDTF">2021-03-05T07:28:01Z</dcterms:created>
  <dcterms:modified xsi:type="dcterms:W3CDTF">2021-03-10T00:02:26Z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0x01010093BDCAA064B24A498CFD3DF224C73A0E</vt:lpwstr>
  </property>
  <property fmtid="{D5CDD505-2E9C-101B-9397-08002B2CF9AE}" pid="3" name="_dlc_DocIdItemGuid">
    <vt:lpwstr>6ef27554-1567-4984-a3b1-8504e8272335</vt:lpwstr>
  </property>
  <property fmtid="{D5CDD505-2E9C-101B-9397-08002B2CF9AE}" pid="4" name="_docset_NoMedatataSyncRequired">
    <vt:lpwstr>False</vt:lpwstr>
  </property>
  <property fmtid="{D5CDD505-2E9C-101B-9397-08002B2CF9AE}" pid="5" name="Review Status">
    <vt:lpwstr>https://edisonintl.sharepoint.com/teams/rcms365/_layouts/15/wrkstat.aspx?List=21149cbb-4f61-4bd7-8a64-8d38b2a0e31c&amp;WorkflowInstanceName=1221f5a6-e727-467f-9352-121ce021fa23, Completed</vt:lpwstr>
  </property>
  <property fmtid="{D5CDD505-2E9C-101B-9397-08002B2CF9AE}" pid="6" name="Reassignment">
    <vt:lpwstr>, </vt:lpwstr>
  </property>
  <property fmtid="{D5CDD505-2E9C-101B-9397-08002B2CF9AE}" pid="7" name="Start Security WF">
    <vt:lpwstr>, </vt:lpwstr>
  </property>
  <property fmtid="{D5CDD505-2E9C-101B-9397-08002B2CF9AE}" pid="9" name="Data Request Set Name1">
    <vt:lpwstr>WSD-SCE-003</vt:lpwstr>
  </property>
  <property fmtid="{D5CDD505-2E9C-101B-9397-08002B2CF9AE}" pid="10" name="Test WF">
    <vt:lpwstr>, </vt:lpwstr>
  </property>
  <property fmtid="{D5CDD505-2E9C-101B-9397-08002B2CF9AE}" pid="11" name="Manual Handling">
    <vt:lpwstr>https://edisonintl.sharepoint.com/teams/rcms365/_layouts/15/wrkstat.aspx?List=d1269d0e-3d21-492c-95ee-c4f1a377396e&amp;WorkflowInstanceName=cd603c85-86f8-4e10-95ca-15306c84157a, Completed</vt:lpwstr>
  </property>
  <property fmtid="{D5CDD505-2E9C-101B-9397-08002B2CF9AE}" pid="12" name="Document Review Status">
    <vt:lpwstr>Pending for Case Admin</vt:lpwstr>
  </property>
  <property fmtid="{D5CDD505-2E9C-101B-9397-08002B2CF9AE}" pid="13" name="Modified Date">
    <vt:filetime>2021-03-09T08:00:00Z</vt:filetime>
  </property>
</Properties>
</file>