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<sst xmlns="http://schemas.openxmlformats.org/spreadsheetml/2006/main" count="209" uniqueCount="175">
  <si>
    <r>
      <t>1</t>
    </r>
    <r>
      <rPr>
        <sz val="10"/>
        <rFont val="Arial"/>
        <family val="0"/>
      </rPr>
      <t xml:space="preserve"> Total Commitments (Inception-to-Date) are incentives to participants only.</t>
    </r>
  </si>
  <si>
    <t>Local Government Energy Action Resources</t>
  </si>
  <si>
    <t>Appliances</t>
  </si>
  <si>
    <t>Consumer Electronics</t>
  </si>
  <si>
    <t>Cooking Appliances</t>
  </si>
  <si>
    <t>Pool Pump</t>
  </si>
  <si>
    <t>Water Heating</t>
  </si>
  <si>
    <t>Office</t>
  </si>
  <si>
    <t>Single Family</t>
  </si>
  <si>
    <t>Commercial</t>
  </si>
  <si>
    <t>Santa Ana Partnership</t>
  </si>
  <si>
    <t>Business Incentives &amp; Services</t>
  </si>
  <si>
    <t>Comprehensive HVAC Program</t>
  </si>
  <si>
    <t>Industrial</t>
  </si>
  <si>
    <t>Residential</t>
  </si>
  <si>
    <t>Nonresidential</t>
  </si>
  <si>
    <t>Subtotal</t>
  </si>
  <si>
    <t>Retro-Commissioning (RCx)</t>
  </si>
  <si>
    <t>Healthcare Energy Efficiency Program</t>
  </si>
  <si>
    <t>CA Preschool Energy Efficiency Program</t>
  </si>
  <si>
    <t>Southern California Home Performance Program</t>
  </si>
  <si>
    <t>California Community Colleges</t>
  </si>
  <si>
    <t>SCE-SCG County of Los Angeles Partnership</t>
  </si>
  <si>
    <t>County of Riverside Partnership</t>
  </si>
  <si>
    <t>Home Energy Efficiency Survey</t>
  </si>
  <si>
    <t>Net Summer Peak kW</t>
  </si>
  <si>
    <t>Net Annual kWh</t>
  </si>
  <si>
    <t xml:space="preserve">Net Annual Therms </t>
  </si>
  <si>
    <t>South Bay Partnership</t>
  </si>
  <si>
    <t>Bakersfield and Kern County Partnership</t>
  </si>
  <si>
    <t>Sustainable Communities</t>
  </si>
  <si>
    <t>Partnership Programs</t>
  </si>
  <si>
    <t>Santa Barbara Partnership</t>
  </si>
  <si>
    <t>Community Energy Partnership (Non-Resource)</t>
  </si>
  <si>
    <t>Community Energy Partnership (Resource)</t>
  </si>
  <si>
    <t>Annual Program Administrators Projections
(Compliance Filing or as Revised)</t>
  </si>
  <si>
    <t>Installed Savings
(Annual, Year-to-Date)</t>
  </si>
  <si>
    <t>Installed Savings
(% of Annual Goals)</t>
  </si>
  <si>
    <t>San Gabriel Valley EE Partnership Program</t>
  </si>
  <si>
    <t>California Department of Corrections and Rehabilitation</t>
  </si>
  <si>
    <t>IDEEA / InDEE</t>
  </si>
  <si>
    <t>Future IDEEA Solicitations</t>
  </si>
  <si>
    <t>Education, Training, and Outreach</t>
  </si>
  <si>
    <t>Statewide Emerging Technologies</t>
  </si>
  <si>
    <t>Statewide Codes &amp; Standards Program</t>
  </si>
  <si>
    <t>Total Portfolio</t>
  </si>
  <si>
    <t>Total Portfolio kW Commitments (Inception-To-Date)</t>
  </si>
  <si>
    <t>Total Portfolio KWh Commitments (Inception-To-Date)</t>
  </si>
  <si>
    <t>Multifamily Energy Efficiency Program</t>
  </si>
  <si>
    <t>Agricultural Energy Efficiency Program</t>
  </si>
  <si>
    <t>Savings By Design</t>
  </si>
  <si>
    <t>Lighting</t>
  </si>
  <si>
    <t>Other</t>
  </si>
  <si>
    <t>HVAC</t>
  </si>
  <si>
    <t>Agricultural</t>
  </si>
  <si>
    <t>Portfolio Installed kW (Report Month)</t>
  </si>
  <si>
    <t>Portfolio Installed KWh (Report Month)</t>
  </si>
  <si>
    <t>Portfolio Installed Therms (Report Month)</t>
  </si>
  <si>
    <t>Net
Annual
kWh</t>
  </si>
  <si>
    <t>Net
Smr Peak
kW</t>
  </si>
  <si>
    <t>Net
Annual
Therms</t>
  </si>
  <si>
    <t>Nonresidential Direct Installation</t>
  </si>
  <si>
    <t>UC-CSU-PG&amp;E-SCE-SCG-SDG&amp;E Partnership</t>
  </si>
  <si>
    <t>Refrigeration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</si>
  <si>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</si>
  <si>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</si>
  <si>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</si>
  <si>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</si>
  <si>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Residential Energy Efficiency Incentive Program</t>
  </si>
  <si>
    <t>Process</t>
  </si>
  <si>
    <t>Table 1.1 - Monthly Summary Table</t>
  </si>
  <si>
    <t>Program ID</t>
  </si>
  <si>
    <t>Program Name</t>
  </si>
  <si>
    <t>Program Expenditures 
(Report Month)</t>
  </si>
  <si>
    <t>MAP Energy Efficiency Program</t>
  </si>
  <si>
    <t>Mammoth Lakes Partnership</t>
  </si>
  <si>
    <t>Program impacts from Table 1.6 &amp; 1.7 reflect inception-to-date activity.</t>
  </si>
  <si>
    <t>Federal Direct Install Initiative</t>
  </si>
  <si>
    <t>Codes &amp; Standards Energy Savings</t>
  </si>
  <si>
    <t>CA New Homes Program</t>
  </si>
  <si>
    <t>Industrial Energy Efficiency Program</t>
  </si>
  <si>
    <t>Table 1.2:  Portfolio Costs</t>
  </si>
  <si>
    <t>Adopted Portfolio Budget (3-Yr. Cumulative)</t>
  </si>
  <si>
    <t>Portfolio Expenditures (Inception-To-Date)</t>
  </si>
  <si>
    <t>Portfolio Expenditures (Report Month)</t>
  </si>
  <si>
    <t>Portfolio Commitments (Inception-To-Date)</t>
  </si>
  <si>
    <t>Table 1.3:  Portfolio Impacts - Monthly</t>
  </si>
  <si>
    <t>Statewide Marketing &amp; Outreach - Flex Your Power Rural Program</t>
  </si>
  <si>
    <t xml:space="preserve"> Total Energy Efficiency Portfolio</t>
  </si>
  <si>
    <t>Installed Savings 
(Report Month)</t>
  </si>
  <si>
    <t>Appliance Recycling Program</t>
  </si>
  <si>
    <t>Integrated School-Based Program</t>
  </si>
  <si>
    <t>Designed for Comfort - Efficient Affordable Housing</t>
  </si>
  <si>
    <t>Low Income Energy Efficiency</t>
  </si>
  <si>
    <t>Ventura County Partnership</t>
  </si>
  <si>
    <t>Multi Family</t>
  </si>
  <si>
    <t>Mobile Homes</t>
  </si>
  <si>
    <t>Southern California Edison</t>
  </si>
  <si>
    <t>Statewide Marketing &amp; Outreach</t>
  </si>
  <si>
    <t>Statewide Marketing &amp; Outreach - Flex Your Power</t>
  </si>
  <si>
    <t>Statewide Marketing &amp; Outreach - UTEEM</t>
  </si>
  <si>
    <t>Ridgecrest Partnership</t>
  </si>
  <si>
    <t>State of California/IOU Partnership</t>
  </si>
  <si>
    <t>Modernization and New Construction Efficiency Enhancement Program for Schools</t>
  </si>
  <si>
    <t>Energy Efficiency Program for Entertainment Centers</t>
  </si>
  <si>
    <t>San Bernardino County Partnership</t>
  </si>
  <si>
    <t>Table 1.7:  Portfolio Impacts - Market Sector</t>
  </si>
  <si>
    <t>Table 1.6:  Portfolio Impacts - Aggregated End Use</t>
  </si>
  <si>
    <t>Palm Desert Partnership</t>
  </si>
  <si>
    <t>Total Portfolio Therms Commitments (Inception-To-Date)</t>
  </si>
  <si>
    <t>Table 1.4:  Portfolio Impacts - Annual</t>
  </si>
  <si>
    <t>Annual Goals
(D.04-09-060)</t>
  </si>
  <si>
    <t>2009-2011 Bridge Funding Monthly Energy Efficiency Program Data Report</t>
  </si>
  <si>
    <t>SCE2500a</t>
  </si>
  <si>
    <t>SCE2501a</t>
  </si>
  <si>
    <t>SCE2502a</t>
  </si>
  <si>
    <t>SCE2503a</t>
  </si>
  <si>
    <t>SCE2504a</t>
  </si>
  <si>
    <t>SCE2505a</t>
  </si>
  <si>
    <t>SCE2507a</t>
  </si>
  <si>
    <t>SCE2508a</t>
  </si>
  <si>
    <t>SCE2509a</t>
  </si>
  <si>
    <t>SCE2510a</t>
  </si>
  <si>
    <t>SCE2511a</t>
  </si>
  <si>
    <t>SCE2512a</t>
  </si>
  <si>
    <t>SCE2513a</t>
  </si>
  <si>
    <t>SCE2514a</t>
  </si>
  <si>
    <t>SCE2515a</t>
  </si>
  <si>
    <t>SCE2516a</t>
  </si>
  <si>
    <t>SCE2517a</t>
  </si>
  <si>
    <t>SCE2518a</t>
  </si>
  <si>
    <t>SCE2519a</t>
  </si>
  <si>
    <t>SCE2520a</t>
  </si>
  <si>
    <t>SCE2521a</t>
  </si>
  <si>
    <t>SCE2522a</t>
  </si>
  <si>
    <t>SCE2523a</t>
  </si>
  <si>
    <t>SCE2524a</t>
  </si>
  <si>
    <t>SCE2525a</t>
  </si>
  <si>
    <t>SCE2526a</t>
  </si>
  <si>
    <t>SCE2527a</t>
  </si>
  <si>
    <t>SCE2528a</t>
  </si>
  <si>
    <t>SCE2529a</t>
  </si>
  <si>
    <t>SCE2530a</t>
  </si>
  <si>
    <t>SCE2566a</t>
  </si>
  <si>
    <t>SCE2569a</t>
  </si>
  <si>
    <t>SCE2570a</t>
  </si>
  <si>
    <t>SCE2571a</t>
  </si>
  <si>
    <t>SCE2573a</t>
  </si>
  <si>
    <t>SCE2531a</t>
  </si>
  <si>
    <t>SCE2537a</t>
  </si>
  <si>
    <t>SCE2543a</t>
  </si>
  <si>
    <t>SCE2544a</t>
  </si>
  <si>
    <t>SCE2548a</t>
  </si>
  <si>
    <t>SCE2558a</t>
  </si>
  <si>
    <t>SCE2560a</t>
  </si>
  <si>
    <t>SCE2561a</t>
  </si>
  <si>
    <t>SCE2554a</t>
  </si>
  <si>
    <t>SCE2555a</t>
  </si>
  <si>
    <t>SCE2556a</t>
  </si>
  <si>
    <t>Adopted Bridge Funding Budget 
(Assumes 2009)</t>
  </si>
  <si>
    <t>Bridge Funding Program Operating Budget 
(Assumes 2009)</t>
  </si>
  <si>
    <t>Demand Reduction (Gross Summer Peak kW)</t>
  </si>
  <si>
    <t>Energy Savings (Gross Annual kWh)</t>
  </si>
  <si>
    <t>Gas Savings (Gross Annual Therms)</t>
  </si>
  <si>
    <t>Total Commitments 
( Since Inception of 2009 Bridge Funding)</t>
  </si>
  <si>
    <t>Installed Savings
(Since Inception of 2009 Bridge Funding)</t>
  </si>
  <si>
    <t>Bridge Funding Program Projected</t>
  </si>
  <si>
    <t>Total Commitments 
(Since Inception of 2009 Bridge Funding)</t>
  </si>
  <si>
    <t>Program Expenditures 
(Since Inception of 2009 Bridge Funding)</t>
  </si>
  <si>
    <t>SCE2567a</t>
  </si>
  <si>
    <t>SCE2568a</t>
  </si>
  <si>
    <t>Table 1.5:  Portfolio Impacts - Cumulative 2009-2011 Savings</t>
  </si>
  <si>
    <t>Table 1.5a:  Portfolio Impacts - Cumulative  2004 - 2011  Savings</t>
  </si>
  <si>
    <r>
      <t xml:space="preserve">Budget &amp; Expenditures ($) </t>
    </r>
    <r>
      <rPr>
        <b/>
        <vertAlign val="superscript"/>
        <sz val="12"/>
        <rFont val="Arial"/>
        <family val="2"/>
      </rPr>
      <t>1</t>
    </r>
  </si>
  <si>
    <t>Report Month: April 2009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</si>
</sst>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mmdd"/>
    <numFmt numFmtId="165" formatCode="#,##0.00&quot; $&quot;;\-#,##0.00&quot; $&quot;"/>
    <numFmt numFmtId="166" formatCode=";;;"/>
    <numFmt numFmtId="167" formatCode="dd/mm/yy"/>
    <numFmt numFmtId="168" formatCode="0.000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0_);\(#,##0.000\)"/>
    <numFmt numFmtId="172" formatCode="[$-409]mmmm\-yy;@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ahoma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6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37" fontId="26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7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0" fillId="0" borderId="2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8" fillId="0" borderId="1" applyFill="0" applyBorder="0" applyProtection="0">
      <alignment horizontal="righ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164" fontId="5" fillId="6" borderId="3">
      <alignment horizontal="center" vertical="center"/>
      <protection/>
    </xf>
    <xf numFmtId="0" fontId="6" fillId="18" borderId="0" applyNumberFormat="0" applyBorder="0" applyAlignment="0" applyProtection="0"/>
    <xf numFmtId="0" fontId="7" fillId="28" borderId="4" applyNumberFormat="0" applyAlignment="0" applyProtection="0"/>
    <xf numFmtId="0" fontId="8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38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6" fillId="0" borderId="0" applyNumberFormat="0" applyFont="0" applyFill="0" applyBorder="0" applyProtection="0">
      <alignment/>
    </xf>
    <xf numFmtId="0" fontId="15" fillId="0" borderId="0" applyNumberFormat="0" applyFont="0" applyFill="0" applyBorder="0" applyProtection="0">
      <alignment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>
      <alignment/>
      <protection locked="0"/>
    </xf>
    <xf numFmtId="165" fontId="0" fillId="0" borderId="0">
      <alignment/>
      <protection locked="0"/>
    </xf>
    <xf numFmtId="16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10" fontId="13" fillId="4" borderId="10" applyNumberFormat="0" applyBorder="0" applyAlignment="0" applyProtection="0"/>
    <xf numFmtId="0" fontId="21" fillId="0" borderId="11" applyNumberFormat="0" applyFill="0" applyAlignment="0" applyProtection="0"/>
    <xf numFmtId="0" fontId="22" fillId="27" borderId="0" applyNumberFormat="0" applyBorder="0" applyAlignment="0" applyProtection="0"/>
    <xf numFmtId="37" fontId="23" fillId="0" borderId="0">
      <alignment/>
      <protection/>
    </xf>
    <xf numFmtId="167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26" borderId="12" applyNumberFormat="0" applyFont="0" applyAlignment="0" applyProtection="0"/>
    <xf numFmtId="0" fontId="25" fillId="28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33" borderId="14" applyNumberFormat="0" applyProtection="0">
      <alignment vertical="center"/>
    </xf>
    <xf numFmtId="4" fontId="30" fillId="33" borderId="14" applyNumberFormat="0" applyProtection="0">
      <alignment vertical="center"/>
    </xf>
    <xf numFmtId="4" fontId="29" fillId="33" borderId="14" applyNumberFormat="0" applyProtection="0">
      <alignment horizontal="left" vertical="center" indent="1"/>
    </xf>
    <xf numFmtId="0" fontId="29" fillId="33" borderId="14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4" borderId="14" applyNumberFormat="0" applyProtection="0">
      <alignment horizontal="right" vertical="center"/>
    </xf>
    <xf numFmtId="4" fontId="1" fillId="35" borderId="14" applyNumberFormat="0" applyProtection="0">
      <alignment horizontal="right" vertical="center"/>
    </xf>
    <xf numFmtId="4" fontId="1" fillId="36" borderId="14" applyNumberFormat="0" applyProtection="0">
      <alignment horizontal="right" vertical="center"/>
    </xf>
    <xf numFmtId="4" fontId="1" fillId="37" borderId="14" applyNumberFormat="0" applyProtection="0">
      <alignment horizontal="right" vertical="center"/>
    </xf>
    <xf numFmtId="4" fontId="1" fillId="9" borderId="14" applyNumberFormat="0" applyProtection="0">
      <alignment horizontal="right" vertical="center"/>
    </xf>
    <xf numFmtId="4" fontId="1" fillId="38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29" fillId="40" borderId="15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6" borderId="14" applyNumberFormat="0" applyProtection="0">
      <alignment horizontal="left" vertical="center" indent="1"/>
    </xf>
    <xf numFmtId="0" fontId="0" fillId="6" borderId="14" applyNumberFormat="0" applyProtection="0">
      <alignment horizontal="left" vertical="top" indent="1"/>
    </xf>
    <xf numFmtId="0" fontId="0" fillId="41" borderId="14" applyNumberFormat="0" applyProtection="0">
      <alignment horizontal="left" vertical="center" indent="1"/>
    </xf>
    <xf numFmtId="0" fontId="0" fillId="41" borderId="14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4" fontId="1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1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6" applyNumberFormat="0" applyFill="0" applyBorder="0" applyAlignment="0" applyProtection="0"/>
    <xf numFmtId="37" fontId="13" fillId="33" borderId="0" applyNumberFormat="0" applyBorder="0" applyAlignment="0" applyProtection="0"/>
    <xf numFmtId="37" fontId="13" fillId="0" borderId="0">
      <alignment/>
      <protection/>
    </xf>
    <xf numFmtId="3" fontId="37" fillId="0" borderId="9" applyProtection="0">
      <alignment/>
    </xf>
    <xf numFmtId="0" fontId="3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8" fontId="13" fillId="0" borderId="0" xfId="64" applyNumberFormat="1" applyFont="1" applyFill="1" applyBorder="1" applyAlignment="1">
      <alignment/>
    </xf>
    <xf numFmtId="168" fontId="13" fillId="0" borderId="0" xfId="61" applyNumberFormat="1" applyFont="1" applyFill="1" applyBorder="1" applyAlignment="1">
      <alignment/>
    </xf>
    <xf numFmtId="0" fontId="41" fillId="10" borderId="17" xfId="0" applyFont="1" applyFill="1" applyBorder="1" applyAlignment="1">
      <alignment horizontal="left" wrapText="1"/>
    </xf>
    <xf numFmtId="0" fontId="15" fillId="10" borderId="18" xfId="0" applyFont="1" applyFill="1" applyBorder="1" applyAlignment="1">
      <alignment horizontal="center" wrapText="1"/>
    </xf>
    <xf numFmtId="0" fontId="41" fillId="10" borderId="18" xfId="0" applyFont="1" applyFill="1" applyBorder="1" applyAlignment="1">
      <alignment horizontal="left" textRotation="90"/>
    </xf>
    <xf numFmtId="0" fontId="41" fillId="43" borderId="19" xfId="0" applyFont="1" applyFill="1" applyBorder="1" applyAlignment="1">
      <alignment horizontal="center" textRotation="90" wrapText="1"/>
    </xf>
    <xf numFmtId="0" fontId="41" fillId="43" borderId="20" xfId="0" applyFont="1" applyFill="1" applyBorder="1" applyAlignment="1">
      <alignment horizontal="center" textRotation="90" wrapText="1"/>
    </xf>
    <xf numFmtId="0" fontId="41" fillId="43" borderId="21" xfId="0" applyFont="1" applyFill="1" applyBorder="1" applyAlignment="1">
      <alignment horizontal="center" textRotation="90" wrapText="1"/>
    </xf>
    <xf numFmtId="0" fontId="43" fillId="10" borderId="18" xfId="0" applyFont="1" applyFill="1" applyBorder="1" applyAlignment="1">
      <alignment textRotation="90"/>
    </xf>
    <xf numFmtId="0" fontId="41" fillId="43" borderId="22" xfId="0" applyFont="1" applyFill="1" applyBorder="1" applyAlignment="1">
      <alignment horizontal="center" textRotation="90" wrapText="1"/>
    </xf>
    <xf numFmtId="0" fontId="41" fillId="10" borderId="18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10" borderId="25" xfId="0" applyFill="1" applyBorder="1" applyAlignment="1">
      <alignment horizontal="left"/>
    </xf>
    <xf numFmtId="169" fontId="0" fillId="0" borderId="26" xfId="64" applyNumberFormat="1" applyFont="1" applyFill="1" applyBorder="1" applyAlignment="1">
      <alignment/>
    </xf>
    <xf numFmtId="169" fontId="0" fillId="0" borderId="10" xfId="64" applyNumberFormat="1" applyFill="1" applyBorder="1" applyAlignment="1">
      <alignment/>
    </xf>
    <xf numFmtId="169" fontId="0" fillId="0" borderId="24" xfId="64" applyNumberFormat="1" applyBorder="1" applyAlignment="1">
      <alignment/>
    </xf>
    <xf numFmtId="169" fontId="0" fillId="10" borderId="25" xfId="0" applyNumberFormat="1" applyFill="1" applyBorder="1" applyAlignment="1">
      <alignment/>
    </xf>
    <xf numFmtId="170" fontId="0" fillId="0" borderId="26" xfId="61" applyNumberFormat="1" applyBorder="1" applyAlignment="1">
      <alignment/>
    </xf>
    <xf numFmtId="170" fontId="0" fillId="0" borderId="27" xfId="61" applyNumberFormat="1" applyFill="1" applyBorder="1" applyAlignment="1">
      <alignment/>
    </xf>
    <xf numFmtId="170" fontId="0" fillId="0" borderId="24" xfId="61" applyNumberFormat="1" applyFill="1" applyBorder="1" applyAlignment="1">
      <alignment/>
    </xf>
    <xf numFmtId="0" fontId="0" fillId="10" borderId="25" xfId="0" applyFill="1" applyBorder="1" applyAlignment="1">
      <alignment/>
    </xf>
    <xf numFmtId="170" fontId="0" fillId="0" borderId="10" xfId="61" applyNumberFormat="1" applyFont="1" applyFill="1" applyBorder="1" applyAlignment="1">
      <alignment/>
    </xf>
    <xf numFmtId="170" fontId="0" fillId="0" borderId="10" xfId="61" applyNumberFormat="1" applyFill="1" applyBorder="1" applyAlignment="1">
      <alignment/>
    </xf>
    <xf numFmtId="170" fontId="0" fillId="0" borderId="24" xfId="61" applyNumberFormat="1" applyFont="1" applyFill="1" applyBorder="1" applyAlignment="1">
      <alignment/>
    </xf>
    <xf numFmtId="170" fontId="0" fillId="0" borderId="28" xfId="61" applyNumberFormat="1" applyBorder="1" applyAlignment="1">
      <alignment/>
    </xf>
    <xf numFmtId="170" fontId="0" fillId="0" borderId="27" xfId="61" applyNumberFormat="1" applyBorder="1" applyAlignment="1">
      <alignment/>
    </xf>
    <xf numFmtId="170" fontId="0" fillId="0" borderId="29" xfId="61" applyNumberFormat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0" borderId="32" xfId="0" applyFill="1" applyBorder="1" applyAlignment="1">
      <alignment horizontal="left"/>
    </xf>
    <xf numFmtId="44" fontId="0" fillId="0" borderId="33" xfId="64" applyBorder="1" applyAlignment="1">
      <alignment/>
    </xf>
    <xf numFmtId="44" fontId="0" fillId="0" borderId="34" xfId="64" applyBorder="1" applyAlignment="1">
      <alignment/>
    </xf>
    <xf numFmtId="169" fontId="0" fillId="0" borderId="34" xfId="64" applyNumberFormat="1" applyFill="1" applyBorder="1" applyAlignment="1">
      <alignment/>
    </xf>
    <xf numFmtId="169" fontId="0" fillId="0" borderId="31" xfId="64" applyNumberFormat="1" applyBorder="1" applyAlignment="1">
      <alignment/>
    </xf>
    <xf numFmtId="0" fontId="0" fillId="10" borderId="32" xfId="0" applyFill="1" applyBorder="1" applyAlignment="1">
      <alignment/>
    </xf>
    <xf numFmtId="170" fontId="0" fillId="0" borderId="33" xfId="61" applyNumberFormat="1" applyBorder="1" applyAlignment="1">
      <alignment/>
    </xf>
    <xf numFmtId="170" fontId="0" fillId="0" borderId="34" xfId="61" applyNumberFormat="1" applyFill="1" applyBorder="1" applyAlignment="1">
      <alignment/>
    </xf>
    <xf numFmtId="170" fontId="0" fillId="0" borderId="31" xfId="61" applyNumberFormat="1" applyFill="1" applyBorder="1" applyAlignment="1">
      <alignment/>
    </xf>
    <xf numFmtId="170" fontId="0" fillId="0" borderId="30" xfId="61" applyNumberFormat="1" applyBorder="1" applyAlignment="1">
      <alignment/>
    </xf>
    <xf numFmtId="170" fontId="0" fillId="0" borderId="34" xfId="61" applyNumberFormat="1" applyBorder="1" applyAlignment="1">
      <alignment/>
    </xf>
    <xf numFmtId="170" fontId="0" fillId="0" borderId="35" xfId="61" applyNumberFormat="1" applyBorder="1" applyAlignment="1">
      <alignment/>
    </xf>
    <xf numFmtId="0" fontId="40" fillId="10" borderId="36" xfId="0" applyFont="1" applyFill="1" applyBorder="1" applyAlignment="1">
      <alignment horizontal="left"/>
    </xf>
    <xf numFmtId="169" fontId="0" fillId="0" borderId="37" xfId="64" applyNumberFormat="1" applyBorder="1" applyAlignment="1">
      <alignment/>
    </xf>
    <xf numFmtId="169" fontId="0" fillId="0" borderId="38" xfId="64" applyNumberFormat="1" applyBorder="1" applyAlignment="1">
      <alignment/>
    </xf>
    <xf numFmtId="169" fontId="0" fillId="0" borderId="38" xfId="64" applyNumberForma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39" xfId="64" applyNumberFormat="1" applyFill="1" applyBorder="1" applyAlignment="1">
      <alignment/>
    </xf>
    <xf numFmtId="0" fontId="40" fillId="10" borderId="36" xfId="0" applyFont="1" applyFill="1" applyBorder="1" applyAlignment="1">
      <alignment/>
    </xf>
    <xf numFmtId="170" fontId="0" fillId="0" borderId="37" xfId="61" applyNumberFormat="1" applyBorder="1" applyAlignment="1">
      <alignment/>
    </xf>
    <xf numFmtId="170" fontId="0" fillId="0" borderId="38" xfId="61" applyNumberFormat="1" applyFill="1" applyBorder="1" applyAlignment="1">
      <alignment/>
    </xf>
    <xf numFmtId="170" fontId="0" fillId="0" borderId="39" xfId="61" applyNumberFormat="1" applyFill="1" applyBorder="1" applyAlignment="1">
      <alignment/>
    </xf>
    <xf numFmtId="170" fontId="0" fillId="0" borderId="38" xfId="61" applyNumberFormat="1" applyBorder="1" applyAlignment="1">
      <alignment/>
    </xf>
    <xf numFmtId="170" fontId="0" fillId="0" borderId="40" xfId="61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64" applyNumberFormat="1" applyFill="1" applyAlignment="1">
      <alignment/>
    </xf>
    <xf numFmtId="170" fontId="0" fillId="0" borderId="0" xfId="61" applyNumberFormat="1" applyAlignment="1">
      <alignment/>
    </xf>
    <xf numFmtId="170" fontId="0" fillId="0" borderId="0" xfId="61" applyNumberFormat="1" applyFill="1" applyAlignment="1">
      <alignment/>
    </xf>
    <xf numFmtId="0" fontId="0" fillId="0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0" borderId="18" xfId="0" applyFill="1" applyBorder="1" applyAlignment="1">
      <alignment horizontal="left"/>
    </xf>
    <xf numFmtId="169" fontId="0" fillId="0" borderId="22" xfId="64" applyNumberFormat="1" applyBorder="1" applyAlignment="1">
      <alignment/>
    </xf>
    <xf numFmtId="169" fontId="0" fillId="0" borderId="20" xfId="64" applyNumberFormat="1" applyBorder="1" applyAlignment="1">
      <alignment/>
    </xf>
    <xf numFmtId="169" fontId="0" fillId="0" borderId="20" xfId="64" applyNumberFormat="1" applyFill="1" applyBorder="1" applyAlignment="1">
      <alignment/>
    </xf>
    <xf numFmtId="169" fontId="0" fillId="0" borderId="42" xfId="64" applyNumberFormat="1" applyBorder="1" applyAlignment="1">
      <alignment/>
    </xf>
    <xf numFmtId="169" fontId="0" fillId="10" borderId="18" xfId="0" applyNumberFormat="1" applyFill="1" applyBorder="1" applyAlignment="1">
      <alignment/>
    </xf>
    <xf numFmtId="170" fontId="0" fillId="0" borderId="22" xfId="61" applyNumberFormat="1" applyBorder="1" applyAlignment="1">
      <alignment/>
    </xf>
    <xf numFmtId="170" fontId="0" fillId="0" borderId="20" xfId="61" applyNumberFormat="1" applyFill="1" applyBorder="1" applyAlignment="1">
      <alignment/>
    </xf>
    <xf numFmtId="170" fontId="0" fillId="0" borderId="42" xfId="61" applyNumberFormat="1" applyFill="1" applyBorder="1" applyAlignment="1">
      <alignment/>
    </xf>
    <xf numFmtId="0" fontId="0" fillId="10" borderId="18" xfId="0" applyFill="1" applyBorder="1" applyAlignment="1">
      <alignment/>
    </xf>
    <xf numFmtId="170" fontId="0" fillId="0" borderId="20" xfId="61" applyNumberFormat="1" applyBorder="1" applyAlignment="1">
      <alignment/>
    </xf>
    <xf numFmtId="170" fontId="0" fillId="0" borderId="21" xfId="61" applyNumberFormat="1" applyBorder="1" applyAlignment="1">
      <alignment/>
    </xf>
    <xf numFmtId="169" fontId="0" fillId="0" borderId="0" xfId="64" applyNumberFormat="1" applyAlignment="1">
      <alignment/>
    </xf>
    <xf numFmtId="0" fontId="40" fillId="10" borderId="18" xfId="0" applyFont="1" applyFill="1" applyBorder="1" applyAlignment="1">
      <alignment horizontal="left"/>
    </xf>
    <xf numFmtId="169" fontId="0" fillId="0" borderId="22" xfId="64" applyNumberFormat="1" applyFill="1" applyBorder="1" applyAlignment="1">
      <alignment/>
    </xf>
    <xf numFmtId="169" fontId="0" fillId="0" borderId="20" xfId="64" applyNumberFormat="1" applyFont="1" applyFill="1" applyBorder="1" applyAlignment="1">
      <alignment/>
    </xf>
    <xf numFmtId="169" fontId="0" fillId="0" borderId="42" xfId="64" applyNumberFormat="1" applyFill="1" applyBorder="1" applyAlignment="1">
      <alignment/>
    </xf>
    <xf numFmtId="0" fontId="40" fillId="10" borderId="18" xfId="0" applyFont="1" applyFill="1" applyBorder="1" applyAlignment="1">
      <alignment/>
    </xf>
    <xf numFmtId="170" fontId="0" fillId="0" borderId="22" xfId="61" applyNumberFormat="1" applyFill="1" applyBorder="1" applyAlignment="1">
      <alignment/>
    </xf>
    <xf numFmtId="0" fontId="44" fillId="0" borderId="0" xfId="0" applyFon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61" applyNumberFormat="1" applyFill="1" applyBorder="1" applyAlignment="1">
      <alignment/>
    </xf>
    <xf numFmtId="0" fontId="39" fillId="0" borderId="0" xfId="94" applyFont="1" applyFill="1" applyAlignment="1">
      <alignment/>
      <protection/>
    </xf>
    <xf numFmtId="0" fontId="46" fillId="0" borderId="0" xfId="94" applyFont="1" applyFill="1">
      <alignment/>
      <protection/>
    </xf>
    <xf numFmtId="0" fontId="15" fillId="0" borderId="0" xfId="94" applyFont="1" applyFill="1" applyAlignment="1">
      <alignment/>
      <protection/>
    </xf>
    <xf numFmtId="0" fontId="24" fillId="0" borderId="0" xfId="94" applyFont="1" applyFill="1">
      <alignment/>
      <protection/>
    </xf>
    <xf numFmtId="0" fontId="24" fillId="43" borderId="43" xfId="94" applyFont="1" applyFill="1" applyBorder="1" applyAlignment="1">
      <alignment/>
      <protection/>
    </xf>
    <xf numFmtId="169" fontId="24" fillId="0" borderId="44" xfId="64" applyNumberFormat="1" applyFont="1" applyFill="1" applyBorder="1" applyAlignment="1">
      <alignment/>
    </xf>
    <xf numFmtId="0" fontId="24" fillId="43" borderId="23" xfId="94" applyFont="1" applyFill="1" applyBorder="1" applyAlignment="1">
      <alignment/>
      <protection/>
    </xf>
    <xf numFmtId="169" fontId="24" fillId="0" borderId="45" xfId="64" applyNumberFormat="1" applyFont="1" applyFill="1" applyBorder="1" applyAlignment="1">
      <alignment/>
    </xf>
    <xf numFmtId="0" fontId="24" fillId="43" borderId="30" xfId="94" applyFont="1" applyFill="1" applyBorder="1" applyAlignment="1">
      <alignment/>
      <protection/>
    </xf>
    <xf numFmtId="169" fontId="24" fillId="0" borderId="35" xfId="64" applyNumberFormat="1" applyFont="1" applyFill="1" applyBorder="1" applyAlignment="1">
      <alignment/>
    </xf>
    <xf numFmtId="172" fontId="24" fillId="43" borderId="43" xfId="95" applyNumberFormat="1" applyFont="1" applyFill="1" applyBorder="1" applyAlignment="1" applyProtection="1">
      <alignment horizontal="left" wrapText="1"/>
      <protection/>
    </xf>
    <xf numFmtId="170" fontId="24" fillId="0" borderId="46" xfId="61" applyNumberFormat="1" applyFont="1" applyFill="1" applyBorder="1" applyAlignment="1">
      <alignment/>
    </xf>
    <xf numFmtId="172" fontId="24" fillId="43" borderId="47" xfId="95" applyNumberFormat="1" applyFont="1" applyFill="1" applyBorder="1" applyAlignment="1" applyProtection="1">
      <alignment horizontal="left" wrapText="1"/>
      <protection/>
    </xf>
    <xf numFmtId="170" fontId="24" fillId="0" borderId="48" xfId="61" applyNumberFormat="1" applyFont="1" applyFill="1" applyBorder="1" applyAlignment="1">
      <alignment/>
    </xf>
    <xf numFmtId="0" fontId="24" fillId="43" borderId="23" xfId="95" applyFont="1" applyFill="1" applyBorder="1" applyAlignment="1">
      <alignment horizontal="left" wrapText="1"/>
      <protection/>
    </xf>
    <xf numFmtId="170" fontId="24" fillId="0" borderId="49" xfId="61" applyNumberFormat="1" applyFont="1" applyFill="1" applyBorder="1" applyAlignment="1">
      <alignment/>
    </xf>
    <xf numFmtId="0" fontId="24" fillId="43" borderId="30" xfId="95" applyFont="1" applyFill="1" applyBorder="1" applyAlignment="1">
      <alignment horizontal="left" wrapText="1"/>
      <protection/>
    </xf>
    <xf numFmtId="170" fontId="24" fillId="0" borderId="50" xfId="61" applyNumberFormat="1" applyFont="1" applyFill="1" applyBorder="1" applyAlignment="1">
      <alignment/>
    </xf>
    <xf numFmtId="0" fontId="24" fillId="0" borderId="0" xfId="95" applyFont="1" applyFill="1" applyBorder="1" applyAlignment="1">
      <alignment horizontal="left" wrapText="1"/>
      <protection/>
    </xf>
    <xf numFmtId="170" fontId="24" fillId="0" borderId="0" xfId="61" applyNumberFormat="1" applyFont="1" applyFill="1" applyBorder="1" applyAlignment="1">
      <alignment/>
    </xf>
    <xf numFmtId="172" fontId="24" fillId="43" borderId="51" xfId="95" applyNumberFormat="1" applyFont="1" applyFill="1" applyBorder="1" applyAlignment="1" applyProtection="1">
      <alignment horizontal="center" wrapText="1"/>
      <protection/>
    </xf>
    <xf numFmtId="0" fontId="24" fillId="43" borderId="52" xfId="94" applyFont="1" applyFill="1" applyBorder="1" applyAlignment="1">
      <alignment horizontal="center"/>
      <protection/>
    </xf>
    <xf numFmtId="0" fontId="24" fillId="43" borderId="10" xfId="94" applyFont="1" applyFill="1" applyBorder="1" applyAlignment="1">
      <alignment horizontal="center"/>
      <protection/>
    </xf>
    <xf numFmtId="0" fontId="24" fillId="43" borderId="26" xfId="94" applyFont="1" applyFill="1" applyBorder="1" applyAlignment="1">
      <alignment horizontal="center"/>
      <protection/>
    </xf>
    <xf numFmtId="0" fontId="24" fillId="43" borderId="45" xfId="94" applyFont="1" applyFill="1" applyBorder="1" applyAlignment="1">
      <alignment horizontal="center"/>
      <protection/>
    </xf>
    <xf numFmtId="0" fontId="24" fillId="0" borderId="52" xfId="95" applyFont="1" applyFill="1" applyBorder="1" applyAlignment="1">
      <alignment horizontal="left" wrapText="1"/>
      <protection/>
    </xf>
    <xf numFmtId="170" fontId="24" fillId="0" borderId="10" xfId="61" applyNumberFormat="1" applyFont="1" applyFill="1" applyBorder="1" applyAlignment="1">
      <alignment/>
    </xf>
    <xf numFmtId="9" fontId="24" fillId="0" borderId="10" xfId="98" applyFont="1" applyFill="1" applyBorder="1" applyAlignment="1">
      <alignment/>
    </xf>
    <xf numFmtId="170" fontId="24" fillId="0" borderId="45" xfId="61" applyNumberFormat="1" applyFont="1" applyFill="1" applyBorder="1" applyAlignment="1">
      <alignment/>
    </xf>
    <xf numFmtId="0" fontId="24" fillId="0" borderId="53" xfId="95" applyFont="1" applyFill="1" applyBorder="1" applyAlignment="1">
      <alignment horizontal="left" wrapText="1"/>
      <protection/>
    </xf>
    <xf numFmtId="0" fontId="24" fillId="0" borderId="54" xfId="95" applyFont="1" applyFill="1" applyBorder="1" applyAlignment="1">
      <alignment horizontal="left" wrapText="1"/>
      <protection/>
    </xf>
    <xf numFmtId="170" fontId="24" fillId="0" borderId="34" xfId="61" applyNumberFormat="1" applyFont="1" applyFill="1" applyBorder="1" applyAlignment="1">
      <alignment/>
    </xf>
    <xf numFmtId="9" fontId="24" fillId="0" borderId="34" xfId="98" applyFont="1" applyFill="1" applyBorder="1" applyAlignment="1">
      <alignment/>
    </xf>
    <xf numFmtId="170" fontId="24" fillId="0" borderId="35" xfId="61" applyNumberFormat="1" applyFont="1" applyFill="1" applyBorder="1" applyAlignment="1">
      <alignment/>
    </xf>
    <xf numFmtId="0" fontId="24" fillId="0" borderId="0" xfId="94" applyFont="1" applyFill="1" applyAlignment="1">
      <alignment/>
      <protection/>
    </xf>
    <xf numFmtId="173" fontId="24" fillId="0" borderId="0" xfId="94" applyNumberFormat="1" applyFont="1" applyFill="1">
      <alignment/>
      <protection/>
    </xf>
    <xf numFmtId="172" fontId="24" fillId="43" borderId="55" xfId="95" applyNumberFormat="1" applyFont="1" applyFill="1" applyBorder="1" applyAlignment="1" applyProtection="1">
      <alignment horizontal="center" wrapText="1"/>
      <protection/>
    </xf>
    <xf numFmtId="0" fontId="24" fillId="43" borderId="47" xfId="94" applyFont="1" applyFill="1" applyBorder="1" applyAlignment="1">
      <alignment horizontal="center"/>
      <protection/>
    </xf>
    <xf numFmtId="0" fontId="24" fillId="0" borderId="30" xfId="95" applyFont="1" applyFill="1" applyBorder="1" applyAlignment="1">
      <alignment horizontal="left" wrapText="1"/>
      <protection/>
    </xf>
    <xf numFmtId="0" fontId="24" fillId="0" borderId="47" xfId="95" applyFont="1" applyFill="1" applyBorder="1" applyAlignment="1">
      <alignment horizontal="left" wrapText="1"/>
      <protection/>
    </xf>
    <xf numFmtId="0" fontId="24" fillId="0" borderId="23" xfId="95" applyFont="1" applyFill="1" applyBorder="1" applyAlignment="1">
      <alignment horizontal="left" wrapText="1"/>
      <protection/>
    </xf>
    <xf numFmtId="0" fontId="24" fillId="0" borderId="0" xfId="94" applyFont="1" applyFill="1" applyAlignment="1">
      <alignment horizontal="centerContinuous" vertical="top"/>
      <protection/>
    </xf>
    <xf numFmtId="172" fontId="24" fillId="43" borderId="41" xfId="95" applyNumberFormat="1" applyFont="1" applyFill="1" applyBorder="1" applyAlignment="1" applyProtection="1">
      <alignment horizontal="centerContinuous" vertical="center"/>
      <protection/>
    </xf>
    <xf numFmtId="0" fontId="24" fillId="43" borderId="20" xfId="95" applyFont="1" applyFill="1" applyBorder="1" applyAlignment="1">
      <alignment horizontal="center" wrapText="1"/>
      <protection/>
    </xf>
    <xf numFmtId="0" fontId="24" fillId="43" borderId="21" xfId="95" applyFont="1" applyFill="1" applyBorder="1" applyAlignment="1">
      <alignment horizontal="center" wrapText="1"/>
      <protection/>
    </xf>
    <xf numFmtId="170" fontId="24" fillId="0" borderId="0" xfId="94" applyNumberFormat="1" applyFont="1" applyFill="1">
      <alignment/>
      <protection/>
    </xf>
    <xf numFmtId="0" fontId="15" fillId="0" borderId="43" xfId="95" applyFont="1" applyFill="1" applyBorder="1" applyAlignment="1" applyProtection="1">
      <alignment horizontal="left"/>
      <protection locked="0"/>
    </xf>
    <xf numFmtId="170" fontId="24" fillId="0" borderId="56" xfId="61" applyNumberFormat="1" applyFont="1" applyFill="1" applyBorder="1" applyAlignment="1" applyProtection="1">
      <alignment horizontal="left"/>
      <protection/>
    </xf>
    <xf numFmtId="170" fontId="24" fillId="0" borderId="44" xfId="61" applyNumberFormat="1" applyFont="1" applyFill="1" applyBorder="1" applyAlignment="1" applyProtection="1">
      <alignment horizontal="left"/>
      <protection/>
    </xf>
    <xf numFmtId="0" fontId="24" fillId="0" borderId="23" xfId="95" applyFont="1" applyFill="1" applyBorder="1" applyAlignment="1" applyProtection="1">
      <alignment horizontal="left" indent="1"/>
      <protection locked="0"/>
    </xf>
    <xf numFmtId="170" fontId="24" fillId="0" borderId="10" xfId="61" applyNumberFormat="1" applyFont="1" applyFill="1" applyBorder="1" applyAlignment="1" applyProtection="1">
      <alignment/>
      <protection/>
    </xf>
    <xf numFmtId="170" fontId="24" fillId="0" borderId="45" xfId="61" applyNumberFormat="1" applyFont="1" applyFill="1" applyBorder="1" applyAlignment="1" applyProtection="1">
      <alignment/>
      <protection/>
    </xf>
    <xf numFmtId="43" fontId="24" fillId="0" borderId="0" xfId="94" applyNumberFormat="1" applyFont="1" applyFill="1">
      <alignment/>
      <protection/>
    </xf>
    <xf numFmtId="0" fontId="15" fillId="0" borderId="23" xfId="95" applyFont="1" applyFill="1" applyBorder="1" applyAlignment="1" applyProtection="1">
      <alignment horizontal="left"/>
      <protection locked="0"/>
    </xf>
    <xf numFmtId="170" fontId="24" fillId="0" borderId="10" xfId="61" applyNumberFormat="1" applyFont="1" applyFill="1" applyBorder="1" applyAlignment="1" applyProtection="1">
      <alignment horizontal="left"/>
      <protection/>
    </xf>
    <xf numFmtId="170" fontId="24" fillId="0" borderId="45" xfId="61" applyNumberFormat="1" applyFont="1" applyFill="1" applyBorder="1" applyAlignment="1" applyProtection="1">
      <alignment horizontal="left"/>
      <protection/>
    </xf>
    <xf numFmtId="0" fontId="24" fillId="0" borderId="52" xfId="95" applyFont="1" applyFill="1" applyBorder="1" applyAlignment="1" applyProtection="1">
      <alignment horizontal="left" indent="1"/>
      <protection locked="0"/>
    </xf>
    <xf numFmtId="170" fontId="24" fillId="0" borderId="27" xfId="61" applyNumberFormat="1" applyFont="1" applyFill="1" applyBorder="1" applyAlignment="1" applyProtection="1">
      <alignment/>
      <protection/>
    </xf>
    <xf numFmtId="170" fontId="24" fillId="0" borderId="29" xfId="61" applyNumberFormat="1" applyFont="1" applyFill="1" applyBorder="1" applyAlignment="1" applyProtection="1">
      <alignment/>
      <protection/>
    </xf>
    <xf numFmtId="0" fontId="24" fillId="0" borderId="53" xfId="95" applyFont="1" applyFill="1" applyBorder="1" applyAlignment="1" applyProtection="1">
      <alignment horizontal="left" indent="1"/>
      <protection locked="0"/>
    </xf>
    <xf numFmtId="0" fontId="15" fillId="0" borderId="53" xfId="95" applyFont="1" applyFill="1" applyBorder="1" applyAlignment="1" applyProtection="1">
      <alignment horizontal="left"/>
      <protection locked="0"/>
    </xf>
    <xf numFmtId="170" fontId="24" fillId="0" borderId="57" xfId="61" applyNumberFormat="1" applyFont="1" applyFill="1" applyBorder="1" applyAlignment="1" applyProtection="1">
      <alignment/>
      <protection/>
    </xf>
    <xf numFmtId="174" fontId="24" fillId="0" borderId="0" xfId="94" applyNumberFormat="1" applyFont="1" applyFill="1">
      <alignment/>
      <protection/>
    </xf>
    <xf numFmtId="0" fontId="15" fillId="41" borderId="58" xfId="95" applyFont="1" applyFill="1" applyBorder="1" applyAlignment="1" applyProtection="1">
      <alignment horizontal="left"/>
      <protection locked="0"/>
    </xf>
    <xf numFmtId="170" fontId="15" fillId="41" borderId="31" xfId="61" applyNumberFormat="1" applyFont="1" applyFill="1" applyBorder="1" applyAlignment="1" applyProtection="1">
      <alignment/>
      <protection/>
    </xf>
    <xf numFmtId="170" fontId="15" fillId="41" borderId="35" xfId="61" applyNumberFormat="1" applyFont="1" applyFill="1" applyBorder="1" applyAlignment="1" applyProtection="1">
      <alignment/>
      <protection/>
    </xf>
    <xf numFmtId="0" fontId="15" fillId="0" borderId="53" xfId="95" applyFont="1" applyFill="1" applyBorder="1" applyAlignment="1" applyProtection="1">
      <alignment/>
      <protection locked="0"/>
    </xf>
    <xf numFmtId="170" fontId="24" fillId="0" borderId="59" xfId="61" applyNumberFormat="1" applyFont="1" applyFill="1" applyBorder="1" applyAlignment="1" applyProtection="1">
      <alignment/>
      <protection/>
    </xf>
    <xf numFmtId="170" fontId="15" fillId="41" borderId="4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/>
      <protection locked="0"/>
    </xf>
    <xf numFmtId="170" fontId="24" fillId="0" borderId="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 indent="1"/>
      <protection locked="0"/>
    </xf>
    <xf numFmtId="0" fontId="44" fillId="0" borderId="0" xfId="94" applyFont="1" applyFill="1" applyAlignment="1">
      <alignment/>
      <protection/>
    </xf>
    <xf numFmtId="0" fontId="40" fillId="0" borderId="19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5" fillId="43" borderId="6" xfId="0" applyFont="1" applyFill="1" applyBorder="1" applyAlignment="1">
      <alignment horizontal="center" wrapText="1"/>
    </xf>
    <xf numFmtId="0" fontId="15" fillId="43" borderId="60" xfId="0" applyFont="1" applyFill="1" applyBorder="1" applyAlignment="1">
      <alignment horizontal="center" wrapText="1"/>
    </xf>
    <xf numFmtId="0" fontId="41" fillId="43" borderId="61" xfId="0" applyFont="1" applyFill="1" applyBorder="1" applyAlignment="1">
      <alignment horizontal="left"/>
    </xf>
    <xf numFmtId="0" fontId="41" fillId="43" borderId="40" xfId="0" applyFont="1" applyFill="1" applyBorder="1" applyAlignment="1">
      <alignment horizontal="left"/>
    </xf>
    <xf numFmtId="0" fontId="41" fillId="43" borderId="55" xfId="0" applyFont="1" applyFill="1" applyBorder="1" applyAlignment="1">
      <alignment horizontal="left"/>
    </xf>
    <xf numFmtId="0" fontId="41" fillId="43" borderId="62" xfId="0" applyFont="1" applyFill="1" applyBorder="1" applyAlignment="1">
      <alignment horizontal="left"/>
    </xf>
    <xf numFmtId="0" fontId="24" fillId="43" borderId="63" xfId="95" applyFont="1" applyFill="1" applyBorder="1" applyAlignment="1" applyProtection="1">
      <alignment horizontal="center" wrapText="1"/>
      <protection/>
    </xf>
    <xf numFmtId="0" fontId="24" fillId="43" borderId="64" xfId="95" applyFont="1" applyFill="1" applyBorder="1" applyAlignment="1" applyProtection="1">
      <alignment horizontal="center" wrapText="1"/>
      <protection/>
    </xf>
    <xf numFmtId="0" fontId="24" fillId="43" borderId="65" xfId="95" applyFont="1" applyFill="1" applyBorder="1" applyAlignment="1" applyProtection="1">
      <alignment horizontal="center" wrapText="1"/>
      <protection/>
    </xf>
    <xf numFmtId="0" fontId="24" fillId="43" borderId="46" xfId="95" applyFont="1" applyFill="1" applyBorder="1" applyAlignment="1" applyProtection="1">
      <alignment horizontal="center" wrapText="1"/>
      <protection/>
    </xf>
    <xf numFmtId="9" fontId="24" fillId="0" borderId="0" xfId="98" applyFont="1" applyFill="1" applyAlignment="1">
      <alignment/>
    </xf>
  </cellXfs>
  <cellStyles count="137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ctual Date" xfId="57"/>
    <cellStyle name="Bad" xfId="58"/>
    <cellStyle name="Calculation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mphasis 1" xfId="68"/>
    <cellStyle name="Emphasis 2" xfId="69"/>
    <cellStyle name="Emphasis 3" xfId="70"/>
    <cellStyle name="Explanatory Text" xfId="71"/>
    <cellStyle name="Fixed" xfId="72"/>
    <cellStyle name="Followed Hyperlink" xfId="73"/>
    <cellStyle name="Good" xfId="74"/>
    <cellStyle name="Grey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idden" xfId="85"/>
    <cellStyle name="HIGHLIGHT" xfId="86"/>
    <cellStyle name="Hyperlink" xfId="87"/>
    <cellStyle name="Input" xfId="88"/>
    <cellStyle name="Input [yellow]" xfId="89"/>
    <cellStyle name="Linked Cell" xfId="90"/>
    <cellStyle name="Neutral" xfId="91"/>
    <cellStyle name="no dec" xfId="92"/>
    <cellStyle name="Normal - Style1" xfId="93"/>
    <cellStyle name="Normal_2006-2008 Monthly Report" xfId="94"/>
    <cellStyle name="Normal_DRAFT_June1Filing_v05_zap041705" xfId="95"/>
    <cellStyle name="Note" xfId="96"/>
    <cellStyle name="Output" xfId="97"/>
    <cellStyle name="Percent" xfId="98"/>
    <cellStyle name="Percent [2]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heet Title" xfId="139"/>
    <cellStyle name="Style 26" xfId="140"/>
    <cellStyle name="Title" xfId="141"/>
    <cellStyle name="Total" xfId="142"/>
    <cellStyle name="Unprot" xfId="143"/>
    <cellStyle name="Unprot$" xfId="144"/>
    <cellStyle name="Unprotect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UC%20EE%20Monthly%20Report%20SCE%20-%20March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Costs &amp; Impacts"/>
      <sheetName val="Portfolio Costs &amp; Impac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3.28125" style="0" customWidth="1"/>
    <col min="2" max="2" width="71.421875" style="0" bestFit="1" customWidth="1"/>
    <col min="3" max="3" width="3.140625" style="0" customWidth="1"/>
    <col min="4" max="8" width="13.7109375" style="0" customWidth="1"/>
    <col min="9" max="9" width="3.28125" style="0" customWidth="1"/>
    <col min="10" max="13" width="13.7109375" style="0" customWidth="1"/>
    <col min="14" max="14" width="3.421875" style="0" customWidth="1"/>
    <col min="15" max="18" width="13.7109375" style="0" customWidth="1"/>
    <col min="19" max="19" width="3.8515625" style="0" customWidth="1"/>
    <col min="20" max="23" width="13.7109375" style="0" customWidth="1"/>
    <col min="24" max="24" width="16.8515625" style="0" customWidth="1"/>
    <col min="25" max="31" width="15.7109375" style="0" customWidth="1"/>
    <col min="32" max="16384" width="76.28125" style="0" customWidth="1"/>
  </cols>
  <sheetData>
    <row r="1" spans="1:8" ht="20.25">
      <c r="A1" s="1" t="s">
        <v>97</v>
      </c>
      <c r="B1" s="2"/>
      <c r="C1" s="3"/>
      <c r="D1" s="2"/>
      <c r="E1" s="2"/>
      <c r="F1" s="2"/>
      <c r="G1" s="2"/>
      <c r="H1" s="2"/>
    </row>
    <row r="2" spans="1:8" ht="20.25">
      <c r="A2" s="1" t="s">
        <v>112</v>
      </c>
      <c r="B2" s="2"/>
      <c r="C2" s="3"/>
      <c r="D2" s="2"/>
      <c r="E2" s="2"/>
      <c r="F2" s="2"/>
      <c r="G2" s="2"/>
      <c r="H2" s="2"/>
    </row>
    <row r="3" spans="1:23" ht="15.75">
      <c r="A3" s="4" t="s">
        <v>174</v>
      </c>
      <c r="B3" s="4"/>
      <c r="C3" s="5"/>
      <c r="D3" s="4"/>
      <c r="E3" s="4"/>
      <c r="F3" s="4"/>
      <c r="G3" s="4"/>
      <c r="H3" s="4"/>
      <c r="I3" s="6"/>
      <c r="J3" s="7"/>
      <c r="K3" s="8"/>
      <c r="L3" s="8"/>
      <c r="M3" s="6"/>
      <c r="N3" s="6"/>
      <c r="O3" s="6"/>
      <c r="P3" s="6"/>
      <c r="Q3" s="8"/>
      <c r="R3" s="6"/>
      <c r="S3" s="6"/>
      <c r="T3" s="6"/>
      <c r="U3" s="6"/>
      <c r="V3" s="6"/>
      <c r="W3" s="6"/>
    </row>
    <row r="4" spans="1:23" ht="15.75">
      <c r="A4" s="4"/>
      <c r="B4" s="4"/>
      <c r="C4" s="5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6.5" thickBot="1">
      <c r="A5" s="4" t="s">
        <v>70</v>
      </c>
      <c r="B5" s="4"/>
      <c r="C5" s="5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173" t="s">
        <v>71</v>
      </c>
      <c r="B6" s="171" t="s">
        <v>72</v>
      </c>
      <c r="C6" s="9"/>
      <c r="D6" s="169" t="s">
        <v>173</v>
      </c>
      <c r="E6" s="169"/>
      <c r="F6" s="169"/>
      <c r="G6" s="169"/>
      <c r="H6" s="169"/>
      <c r="I6" s="10"/>
      <c r="J6" s="169" t="s">
        <v>161</v>
      </c>
      <c r="K6" s="169"/>
      <c r="L6" s="169"/>
      <c r="M6" s="169"/>
      <c r="N6" s="10"/>
      <c r="O6" s="169" t="s">
        <v>162</v>
      </c>
      <c r="P6" s="169"/>
      <c r="Q6" s="169"/>
      <c r="R6" s="169"/>
      <c r="S6" s="10"/>
      <c r="T6" s="169" t="s">
        <v>163</v>
      </c>
      <c r="U6" s="169"/>
      <c r="V6" s="169"/>
      <c r="W6" s="170"/>
    </row>
    <row r="7" spans="1:23" ht="154.5" customHeight="1" thickBot="1">
      <c r="A7" s="174"/>
      <c r="B7" s="172"/>
      <c r="C7" s="11"/>
      <c r="D7" s="12" t="s">
        <v>159</v>
      </c>
      <c r="E7" s="13" t="s">
        <v>160</v>
      </c>
      <c r="F7" s="13" t="s">
        <v>168</v>
      </c>
      <c r="G7" s="13" t="s">
        <v>73</v>
      </c>
      <c r="H7" s="14" t="s">
        <v>167</v>
      </c>
      <c r="I7" s="15"/>
      <c r="J7" s="16" t="s">
        <v>166</v>
      </c>
      <c r="K7" s="13" t="s">
        <v>165</v>
      </c>
      <c r="L7" s="13" t="s">
        <v>89</v>
      </c>
      <c r="M7" s="13" t="s">
        <v>164</v>
      </c>
      <c r="N7" s="17"/>
      <c r="O7" s="16" t="s">
        <v>166</v>
      </c>
      <c r="P7" s="13" t="s">
        <v>165</v>
      </c>
      <c r="Q7" s="13" t="s">
        <v>89</v>
      </c>
      <c r="R7" s="13" t="s">
        <v>164</v>
      </c>
      <c r="S7" s="17"/>
      <c r="T7" s="16" t="s">
        <v>166</v>
      </c>
      <c r="U7" s="13" t="s">
        <v>165</v>
      </c>
      <c r="V7" s="13" t="s">
        <v>89</v>
      </c>
      <c r="W7" s="13" t="s">
        <v>164</v>
      </c>
    </row>
    <row r="8" spans="1:23" ht="12.75">
      <c r="A8" s="18" t="s">
        <v>113</v>
      </c>
      <c r="B8" s="19" t="s">
        <v>90</v>
      </c>
      <c r="C8" s="20"/>
      <c r="D8" s="21">
        <v>11512980</v>
      </c>
      <c r="E8" s="22">
        <v>11512980</v>
      </c>
      <c r="F8" s="22">
        <v>2884490.153578702</v>
      </c>
      <c r="G8" s="22">
        <v>371629.7311186744</v>
      </c>
      <c r="H8" s="23">
        <v>238700</v>
      </c>
      <c r="I8" s="24"/>
      <c r="J8" s="25"/>
      <c r="K8" s="26">
        <v>5874.875999999999</v>
      </c>
      <c r="L8" s="26">
        <v>1075.768</v>
      </c>
      <c r="M8" s="27">
        <v>1413.28</v>
      </c>
      <c r="N8" s="28"/>
      <c r="O8" s="25"/>
      <c r="P8" s="29">
        <v>32170698</v>
      </c>
      <c r="Q8" s="30">
        <v>5889656</v>
      </c>
      <c r="R8" s="31">
        <v>7737614</v>
      </c>
      <c r="S8" s="28"/>
      <c r="T8" s="32">
        <v>0</v>
      </c>
      <c r="U8" s="33">
        <v>0</v>
      </c>
      <c r="V8" s="33">
        <v>0</v>
      </c>
      <c r="W8" s="34">
        <v>0</v>
      </c>
    </row>
    <row r="9" spans="1:23" ht="12.75">
      <c r="A9" s="18" t="s">
        <v>114</v>
      </c>
      <c r="B9" s="19" t="s">
        <v>68</v>
      </c>
      <c r="C9" s="20"/>
      <c r="D9" s="21">
        <v>41897004</v>
      </c>
      <c r="E9" s="22">
        <v>41897004</v>
      </c>
      <c r="F9" s="22">
        <v>1512138.6409200947</v>
      </c>
      <c r="G9" s="22">
        <v>373819.4136623747</v>
      </c>
      <c r="H9" s="23">
        <v>0</v>
      </c>
      <c r="I9" s="24"/>
      <c r="J9" s="25"/>
      <c r="K9" s="26">
        <v>6150.035264801799</v>
      </c>
      <c r="L9" s="26">
        <v>4573.8838627432515</v>
      </c>
      <c r="M9" s="27">
        <v>0</v>
      </c>
      <c r="N9" s="28"/>
      <c r="O9" s="25"/>
      <c r="P9" s="29">
        <v>41111071.70207702</v>
      </c>
      <c r="Q9" s="30">
        <v>31923813.250302017</v>
      </c>
      <c r="R9" s="31">
        <v>0</v>
      </c>
      <c r="S9" s="28"/>
      <c r="T9" s="32">
        <v>0</v>
      </c>
      <c r="U9" s="33">
        <v>0</v>
      </c>
      <c r="V9" s="33">
        <v>0</v>
      </c>
      <c r="W9" s="34">
        <v>0</v>
      </c>
    </row>
    <row r="10" spans="1:23" ht="12.75">
      <c r="A10" s="18" t="s">
        <v>115</v>
      </c>
      <c r="B10" s="19" t="s">
        <v>48</v>
      </c>
      <c r="C10" s="20"/>
      <c r="D10" s="21">
        <v>19236576</v>
      </c>
      <c r="E10" s="22">
        <v>19236576</v>
      </c>
      <c r="F10" s="22">
        <v>1805509.228122627</v>
      </c>
      <c r="G10" s="22">
        <v>933817.9226798923</v>
      </c>
      <c r="H10" s="23">
        <v>1258642.5</v>
      </c>
      <c r="I10" s="24"/>
      <c r="J10" s="25"/>
      <c r="K10" s="26">
        <v>284.0463510999999</v>
      </c>
      <c r="L10" s="26">
        <v>163.8152145999999</v>
      </c>
      <c r="M10" s="27">
        <v>958.6185579083848</v>
      </c>
      <c r="N10" s="28"/>
      <c r="O10" s="25"/>
      <c r="P10" s="29">
        <v>5904038.396410001</v>
      </c>
      <c r="Q10" s="30">
        <v>3413584.1416600016</v>
      </c>
      <c r="R10" s="31">
        <v>2843612.9076700006</v>
      </c>
      <c r="S10" s="28"/>
      <c r="T10" s="32">
        <v>0</v>
      </c>
      <c r="U10" s="33">
        <v>0</v>
      </c>
      <c r="V10" s="33">
        <v>0</v>
      </c>
      <c r="W10" s="34">
        <v>0</v>
      </c>
    </row>
    <row r="11" spans="1:23" ht="12.75">
      <c r="A11" s="18" t="s">
        <v>116</v>
      </c>
      <c r="B11" s="19" t="s">
        <v>24</v>
      </c>
      <c r="C11" s="20"/>
      <c r="D11" s="21">
        <v>2777916</v>
      </c>
      <c r="E11" s="22">
        <v>2777916</v>
      </c>
      <c r="F11" s="22">
        <v>438544.56620044465</v>
      </c>
      <c r="G11" s="22">
        <v>114741.43336046481</v>
      </c>
      <c r="H11" s="23">
        <v>0</v>
      </c>
      <c r="I11" s="24"/>
      <c r="J11" s="25"/>
      <c r="K11" s="26">
        <v>322.584775</v>
      </c>
      <c r="L11" s="26">
        <v>0</v>
      </c>
      <c r="M11" s="27">
        <v>0</v>
      </c>
      <c r="N11" s="28"/>
      <c r="O11" s="25"/>
      <c r="P11" s="29">
        <v>927372.2857</v>
      </c>
      <c r="Q11" s="30">
        <v>0</v>
      </c>
      <c r="R11" s="31">
        <v>0</v>
      </c>
      <c r="S11" s="28"/>
      <c r="T11" s="32">
        <v>0</v>
      </c>
      <c r="U11" s="33">
        <v>0</v>
      </c>
      <c r="V11" s="33">
        <v>0</v>
      </c>
      <c r="W11" s="34">
        <v>0</v>
      </c>
    </row>
    <row r="12" spans="1:23" ht="12.75">
      <c r="A12" s="18" t="s">
        <v>117</v>
      </c>
      <c r="B12" s="19" t="s">
        <v>91</v>
      </c>
      <c r="C12" s="20"/>
      <c r="D12" s="21">
        <v>2371572</v>
      </c>
      <c r="E12" s="22">
        <v>2371572</v>
      </c>
      <c r="F12" s="22">
        <v>542004.2637631309</v>
      </c>
      <c r="G12" s="22">
        <v>484074.13318178867</v>
      </c>
      <c r="H12" s="23">
        <v>0</v>
      </c>
      <c r="I12" s="24"/>
      <c r="J12" s="25"/>
      <c r="K12" s="26">
        <v>0.2673099</v>
      </c>
      <c r="L12" s="26">
        <v>0</v>
      </c>
      <c r="M12" s="27">
        <v>0</v>
      </c>
      <c r="N12" s="28"/>
      <c r="O12" s="25"/>
      <c r="P12" s="29">
        <v>3044.1251412</v>
      </c>
      <c r="Q12" s="30">
        <v>0</v>
      </c>
      <c r="R12" s="31">
        <v>0</v>
      </c>
      <c r="S12" s="28"/>
      <c r="T12" s="32">
        <v>0</v>
      </c>
      <c r="U12" s="33">
        <v>0</v>
      </c>
      <c r="V12" s="33">
        <v>0</v>
      </c>
      <c r="W12" s="34">
        <v>0</v>
      </c>
    </row>
    <row r="13" spans="1:23" ht="12.75">
      <c r="A13" s="18" t="s">
        <v>118</v>
      </c>
      <c r="B13" s="19" t="s">
        <v>79</v>
      </c>
      <c r="C13" s="20"/>
      <c r="D13" s="21">
        <v>2424480</v>
      </c>
      <c r="E13" s="22">
        <v>2424480</v>
      </c>
      <c r="F13" s="22">
        <v>498702.7471720371</v>
      </c>
      <c r="G13" s="22">
        <v>203468.12338029005</v>
      </c>
      <c r="H13" s="23">
        <v>5071662.445848376</v>
      </c>
      <c r="I13" s="24"/>
      <c r="J13" s="25"/>
      <c r="K13" s="26">
        <v>147.0625</v>
      </c>
      <c r="L13" s="26">
        <v>55.213061797752815</v>
      </c>
      <c r="M13" s="27">
        <v>4218.52848</v>
      </c>
      <c r="N13" s="28"/>
      <c r="O13" s="25"/>
      <c r="P13" s="29">
        <v>141443.5</v>
      </c>
      <c r="Q13" s="30">
        <v>38765.41011235955</v>
      </c>
      <c r="R13" s="31">
        <v>3058245</v>
      </c>
      <c r="S13" s="28"/>
      <c r="T13" s="32">
        <v>0</v>
      </c>
      <c r="U13" s="33">
        <v>0</v>
      </c>
      <c r="V13" s="33">
        <v>0</v>
      </c>
      <c r="W13" s="34">
        <v>0</v>
      </c>
    </row>
    <row r="14" spans="1:23" ht="12.75">
      <c r="A14" s="18" t="s">
        <v>119</v>
      </c>
      <c r="B14" s="19" t="s">
        <v>12</v>
      </c>
      <c r="C14" s="20"/>
      <c r="D14" s="21">
        <v>23643324</v>
      </c>
      <c r="E14" s="22">
        <v>23643324</v>
      </c>
      <c r="F14" s="22">
        <v>655360.7933103426</v>
      </c>
      <c r="G14" s="22">
        <v>231753.74474154436</v>
      </c>
      <c r="H14" s="23">
        <v>0</v>
      </c>
      <c r="I14" s="24"/>
      <c r="J14" s="25"/>
      <c r="K14" s="26">
        <v>7543.700455233367</v>
      </c>
      <c r="L14" s="26">
        <v>242.58400963492568</v>
      </c>
      <c r="M14" s="27">
        <v>0</v>
      </c>
      <c r="N14" s="28"/>
      <c r="O14" s="25"/>
      <c r="P14" s="29">
        <v>11399590.333745208</v>
      </c>
      <c r="Q14" s="30">
        <v>1267325.7382951975</v>
      </c>
      <c r="R14" s="31">
        <v>0</v>
      </c>
      <c r="S14" s="28"/>
      <c r="T14" s="32">
        <v>0</v>
      </c>
      <c r="U14" s="33">
        <v>0</v>
      </c>
      <c r="V14" s="33">
        <v>0</v>
      </c>
      <c r="W14" s="34">
        <v>0</v>
      </c>
    </row>
    <row r="15" spans="1:23" ht="12.75">
      <c r="A15" s="18" t="s">
        <v>120</v>
      </c>
      <c r="B15" s="19" t="s">
        <v>17</v>
      </c>
      <c r="C15" s="20"/>
      <c r="D15" s="21">
        <v>2514432</v>
      </c>
      <c r="E15" s="22">
        <v>2514432</v>
      </c>
      <c r="F15" s="22">
        <v>515357.07899308484</v>
      </c>
      <c r="G15" s="22">
        <v>313691.8254297184</v>
      </c>
      <c r="H15" s="23">
        <v>115710.0001</v>
      </c>
      <c r="I15" s="24"/>
      <c r="J15" s="25"/>
      <c r="K15" s="26">
        <v>611.225</v>
      </c>
      <c r="L15" s="26">
        <v>0</v>
      </c>
      <c r="M15" s="27">
        <v>169.52671852199998</v>
      </c>
      <c r="N15" s="28"/>
      <c r="O15" s="25"/>
      <c r="P15" s="29">
        <v>5499795.174999999</v>
      </c>
      <c r="Q15" s="30">
        <v>288406.1124999989</v>
      </c>
      <c r="R15" s="31">
        <v>768938.812836</v>
      </c>
      <c r="S15" s="28"/>
      <c r="T15" s="32">
        <v>0</v>
      </c>
      <c r="U15" s="33">
        <v>0</v>
      </c>
      <c r="V15" s="33">
        <v>0</v>
      </c>
      <c r="W15" s="34">
        <v>0</v>
      </c>
    </row>
    <row r="16" spans="1:23" ht="12.75">
      <c r="A16" s="18" t="s">
        <v>121</v>
      </c>
      <c r="B16" s="19" t="s">
        <v>80</v>
      </c>
      <c r="C16" s="20"/>
      <c r="D16" s="21">
        <v>14175252</v>
      </c>
      <c r="E16" s="22">
        <v>14175252</v>
      </c>
      <c r="F16" s="22">
        <v>3052239.0653998805</v>
      </c>
      <c r="G16" s="22">
        <v>1126655.4068047833</v>
      </c>
      <c r="H16" s="23">
        <v>12993347.6</v>
      </c>
      <c r="I16" s="24"/>
      <c r="J16" s="25"/>
      <c r="K16" s="26">
        <v>4349.7191011235955</v>
      </c>
      <c r="L16" s="26">
        <v>1119.7191011235955</v>
      </c>
      <c r="M16" s="27">
        <v>32483.369000000002</v>
      </c>
      <c r="N16" s="28"/>
      <c r="O16" s="25"/>
      <c r="P16" s="29">
        <v>34758134.83146068</v>
      </c>
      <c r="Q16" s="30">
        <v>10690037.83146068</v>
      </c>
      <c r="R16" s="31">
        <v>162416845</v>
      </c>
      <c r="S16" s="28"/>
      <c r="T16" s="32">
        <v>0</v>
      </c>
      <c r="U16" s="33">
        <v>0</v>
      </c>
      <c r="V16" s="33">
        <v>0</v>
      </c>
      <c r="W16" s="34">
        <v>0</v>
      </c>
    </row>
    <row r="17" spans="1:23" ht="12.75">
      <c r="A17" s="18" t="s">
        <v>122</v>
      </c>
      <c r="B17" s="19" t="s">
        <v>49</v>
      </c>
      <c r="C17" s="20"/>
      <c r="D17" s="21">
        <v>5504856</v>
      </c>
      <c r="E17" s="22">
        <v>5504856</v>
      </c>
      <c r="F17" s="22">
        <v>1183007.833840921</v>
      </c>
      <c r="G17" s="22">
        <v>401297.10416642705</v>
      </c>
      <c r="H17" s="23">
        <v>3153444.9045999995</v>
      </c>
      <c r="I17" s="24"/>
      <c r="J17" s="25"/>
      <c r="K17" s="26">
        <v>2171.7685999999594</v>
      </c>
      <c r="L17" s="26">
        <v>919.8767999999748</v>
      </c>
      <c r="M17" s="27">
        <v>8532.345888048267</v>
      </c>
      <c r="N17" s="28"/>
      <c r="O17" s="25"/>
      <c r="P17" s="29">
        <v>7677690.01720004</v>
      </c>
      <c r="Q17" s="30">
        <v>4690873.408451403</v>
      </c>
      <c r="R17" s="31">
        <v>35941188.17360408</v>
      </c>
      <c r="S17" s="28"/>
      <c r="T17" s="32">
        <v>0</v>
      </c>
      <c r="U17" s="33">
        <v>0</v>
      </c>
      <c r="V17" s="33">
        <v>0</v>
      </c>
      <c r="W17" s="34">
        <v>0</v>
      </c>
    </row>
    <row r="18" spans="1:23" ht="12.75">
      <c r="A18" s="18" t="s">
        <v>123</v>
      </c>
      <c r="B18" s="19" t="s">
        <v>61</v>
      </c>
      <c r="C18" s="20"/>
      <c r="D18" s="21">
        <v>14849124</v>
      </c>
      <c r="E18" s="22">
        <v>14849124</v>
      </c>
      <c r="F18" s="22">
        <v>3140315.57</v>
      </c>
      <c r="G18" s="22">
        <v>2847012.7</v>
      </c>
      <c r="H18" s="23">
        <v>0</v>
      </c>
      <c r="I18" s="24"/>
      <c r="J18" s="25"/>
      <c r="K18" s="26">
        <v>36.79166666666667</v>
      </c>
      <c r="L18" s="26">
        <v>0</v>
      </c>
      <c r="M18" s="27">
        <v>0</v>
      </c>
      <c r="N18" s="28"/>
      <c r="O18" s="25"/>
      <c r="P18" s="29">
        <v>788257.2916666667</v>
      </c>
      <c r="Q18" s="30">
        <v>31530.291666666744</v>
      </c>
      <c r="R18" s="31">
        <v>0</v>
      </c>
      <c r="S18" s="28"/>
      <c r="T18" s="32">
        <v>0</v>
      </c>
      <c r="U18" s="33">
        <v>0</v>
      </c>
      <c r="V18" s="33">
        <v>0</v>
      </c>
      <c r="W18" s="34">
        <v>0</v>
      </c>
    </row>
    <row r="19" spans="1:23" ht="12.75">
      <c r="A19" s="18" t="s">
        <v>124</v>
      </c>
      <c r="B19" s="19" t="s">
        <v>50</v>
      </c>
      <c r="C19" s="20"/>
      <c r="D19" s="21">
        <v>10109196</v>
      </c>
      <c r="E19" s="22">
        <v>10109196</v>
      </c>
      <c r="F19" s="22">
        <v>2490441.15</v>
      </c>
      <c r="G19" s="22">
        <v>729013.79</v>
      </c>
      <c r="H19" s="23">
        <v>0</v>
      </c>
      <c r="I19" s="24"/>
      <c r="J19" s="25"/>
      <c r="K19" s="26">
        <v>4116.5</v>
      </c>
      <c r="L19" s="26">
        <v>155.6</v>
      </c>
      <c r="M19" s="27">
        <v>0</v>
      </c>
      <c r="N19" s="28"/>
      <c r="O19" s="25"/>
      <c r="P19" s="29">
        <v>23450626</v>
      </c>
      <c r="Q19" s="30">
        <v>3167194.9999999925</v>
      </c>
      <c r="R19" s="31">
        <v>0</v>
      </c>
      <c r="S19" s="28"/>
      <c r="T19" s="32">
        <v>0</v>
      </c>
      <c r="U19" s="33">
        <v>0</v>
      </c>
      <c r="V19" s="33">
        <v>0</v>
      </c>
      <c r="W19" s="34">
        <v>0</v>
      </c>
    </row>
    <row r="20" spans="1:23" ht="12.75">
      <c r="A20" s="18" t="s">
        <v>125</v>
      </c>
      <c r="B20" s="19" t="s">
        <v>42</v>
      </c>
      <c r="C20" s="20"/>
      <c r="D20" s="21">
        <v>7637580</v>
      </c>
      <c r="E20" s="22">
        <v>7637580</v>
      </c>
      <c r="F20" s="22">
        <v>1506399.988994726</v>
      </c>
      <c r="G20" s="22">
        <v>542861.5200879843</v>
      </c>
      <c r="H20" s="23">
        <v>0</v>
      </c>
      <c r="I20" s="24"/>
      <c r="J20" s="25"/>
      <c r="K20" s="26">
        <v>0</v>
      </c>
      <c r="L20" s="26">
        <v>0</v>
      </c>
      <c r="M20" s="27">
        <v>0</v>
      </c>
      <c r="N20" s="28"/>
      <c r="O20" s="25"/>
      <c r="P20" s="29">
        <v>0</v>
      </c>
      <c r="Q20" s="30">
        <v>0</v>
      </c>
      <c r="R20" s="31">
        <v>0</v>
      </c>
      <c r="S20" s="28"/>
      <c r="T20" s="32">
        <v>0</v>
      </c>
      <c r="U20" s="33">
        <v>0</v>
      </c>
      <c r="V20" s="33">
        <v>0</v>
      </c>
      <c r="W20" s="34">
        <v>0</v>
      </c>
    </row>
    <row r="21" spans="1:23" ht="12.75">
      <c r="A21" s="18" t="s">
        <v>126</v>
      </c>
      <c r="B21" s="19" t="s">
        <v>30</v>
      </c>
      <c r="C21" s="20"/>
      <c r="D21" s="21">
        <v>487068</v>
      </c>
      <c r="E21" s="22">
        <v>487068</v>
      </c>
      <c r="F21" s="22">
        <v>141466.7</v>
      </c>
      <c r="G21" s="22">
        <v>58432.06</v>
      </c>
      <c r="H21" s="23">
        <v>0</v>
      </c>
      <c r="I21" s="24"/>
      <c r="J21" s="25"/>
      <c r="K21" s="26">
        <v>0</v>
      </c>
      <c r="L21" s="26">
        <v>0</v>
      </c>
      <c r="M21" s="27">
        <v>0</v>
      </c>
      <c r="N21" s="28"/>
      <c r="O21" s="25"/>
      <c r="P21" s="29">
        <v>0</v>
      </c>
      <c r="Q21" s="30">
        <v>0</v>
      </c>
      <c r="R21" s="31">
        <v>0</v>
      </c>
      <c r="S21" s="28"/>
      <c r="T21" s="32">
        <v>0</v>
      </c>
      <c r="U21" s="33">
        <v>0</v>
      </c>
      <c r="V21" s="33">
        <v>0</v>
      </c>
      <c r="W21" s="34">
        <v>0</v>
      </c>
    </row>
    <row r="22" spans="1:23" ht="12.75">
      <c r="A22" s="18" t="s">
        <v>127</v>
      </c>
      <c r="B22" s="19" t="s">
        <v>43</v>
      </c>
      <c r="C22" s="20"/>
      <c r="D22" s="21">
        <v>1665876</v>
      </c>
      <c r="E22" s="22">
        <v>1665876</v>
      </c>
      <c r="F22" s="22">
        <v>290121.5389257481</v>
      </c>
      <c r="G22" s="22">
        <v>116126.99787282938</v>
      </c>
      <c r="H22" s="23">
        <v>0</v>
      </c>
      <c r="I22" s="24"/>
      <c r="J22" s="25"/>
      <c r="K22" s="26">
        <v>0</v>
      </c>
      <c r="L22" s="26">
        <v>0</v>
      </c>
      <c r="M22" s="27">
        <v>0</v>
      </c>
      <c r="N22" s="28"/>
      <c r="O22" s="25"/>
      <c r="P22" s="29">
        <v>0</v>
      </c>
      <c r="Q22" s="30">
        <v>0</v>
      </c>
      <c r="R22" s="31">
        <v>0</v>
      </c>
      <c r="S22" s="28"/>
      <c r="T22" s="32">
        <v>0</v>
      </c>
      <c r="U22" s="33">
        <v>0</v>
      </c>
      <c r="V22" s="33">
        <v>0</v>
      </c>
      <c r="W22" s="34">
        <v>0</v>
      </c>
    </row>
    <row r="23" spans="1:23" ht="12.75">
      <c r="A23" s="18" t="s">
        <v>128</v>
      </c>
      <c r="B23" s="19" t="s">
        <v>44</v>
      </c>
      <c r="C23" s="20"/>
      <c r="D23" s="21">
        <v>2122404</v>
      </c>
      <c r="E23" s="22">
        <v>2122404</v>
      </c>
      <c r="F23" s="22">
        <v>177519.48588993042</v>
      </c>
      <c r="G23" s="22">
        <v>114064.12267338143</v>
      </c>
      <c r="H23" s="23">
        <v>0</v>
      </c>
      <c r="I23" s="24"/>
      <c r="J23" s="25"/>
      <c r="K23" s="26">
        <f>11446.9398810231*4/12</f>
        <v>3815.6466270077</v>
      </c>
      <c r="L23" s="26">
        <f>11446.9398810231*1/12</f>
        <v>953.911656751925</v>
      </c>
      <c r="M23" s="26">
        <f>11446.9398810231*8/12</f>
        <v>7631.2932540154</v>
      </c>
      <c r="N23" s="28"/>
      <c r="O23" s="25"/>
      <c r="P23" s="30">
        <f>55266198.2756874*4/12</f>
        <v>18422066.0918958</v>
      </c>
      <c r="Q23" s="30">
        <f>55266198.2756874*1/12</f>
        <v>4605516.52297395</v>
      </c>
      <c r="R23" s="30">
        <f>55266198.2756874*8/12</f>
        <v>36844132.1837916</v>
      </c>
      <c r="S23" s="28"/>
      <c r="T23" s="32">
        <v>0</v>
      </c>
      <c r="U23" s="33">
        <v>0</v>
      </c>
      <c r="V23" s="33">
        <v>0</v>
      </c>
      <c r="W23" s="34">
        <v>0</v>
      </c>
    </row>
    <row r="24" spans="1:23" ht="12.75">
      <c r="A24" s="18" t="s">
        <v>129</v>
      </c>
      <c r="B24" s="19" t="s">
        <v>11</v>
      </c>
      <c r="C24" s="20"/>
      <c r="D24" s="21">
        <v>50177496</v>
      </c>
      <c r="E24" s="22">
        <v>50177496</v>
      </c>
      <c r="F24" s="22">
        <v>9853792.23638502</v>
      </c>
      <c r="G24" s="22">
        <v>4374358.989963074</v>
      </c>
      <c r="H24" s="23">
        <v>8412686.407340003</v>
      </c>
      <c r="I24" s="24"/>
      <c r="J24" s="25"/>
      <c r="K24" s="26">
        <v>12530.386467262644</v>
      </c>
      <c r="L24" s="26">
        <v>3912.1947887635797</v>
      </c>
      <c r="M24" s="27">
        <v>14271.144119927505</v>
      </c>
      <c r="N24" s="28"/>
      <c r="O24" s="25"/>
      <c r="P24" s="29">
        <v>72063835.63426173</v>
      </c>
      <c r="Q24" s="30">
        <v>28081217.345306903</v>
      </c>
      <c r="R24" s="31">
        <v>87460641.30834799</v>
      </c>
      <c r="S24" s="28"/>
      <c r="T24" s="32">
        <v>0</v>
      </c>
      <c r="U24" s="33">
        <v>0</v>
      </c>
      <c r="V24" s="33">
        <v>0</v>
      </c>
      <c r="W24" s="34">
        <v>0</v>
      </c>
    </row>
    <row r="25" spans="1:23" ht="12.75">
      <c r="A25" s="35" t="s">
        <v>31</v>
      </c>
      <c r="B25" s="19"/>
      <c r="C25" s="20"/>
      <c r="D25" s="21"/>
      <c r="E25" s="22"/>
      <c r="F25" s="22"/>
      <c r="G25" s="22"/>
      <c r="H25" s="23"/>
      <c r="I25" s="28"/>
      <c r="J25" s="25"/>
      <c r="K25" s="26"/>
      <c r="L25" s="26"/>
      <c r="M25" s="27"/>
      <c r="N25" s="28"/>
      <c r="O25" s="25"/>
      <c r="P25" s="29"/>
      <c r="Q25" s="30"/>
      <c r="R25" s="31"/>
      <c r="S25" s="28"/>
      <c r="T25" s="32"/>
      <c r="U25" s="33"/>
      <c r="V25" s="33"/>
      <c r="W25" s="34"/>
    </row>
    <row r="26" spans="1:23" ht="12.75">
      <c r="A26" s="18" t="s">
        <v>130</v>
      </c>
      <c r="B26" s="19" t="s">
        <v>1</v>
      </c>
      <c r="C26" s="20"/>
      <c r="D26" s="21">
        <v>2208719.134195264</v>
      </c>
      <c r="E26" s="22">
        <v>2208719.134195264</v>
      </c>
      <c r="F26" s="22">
        <f>29054.6910034656*(D26/SUM($D$26:$D$45))+148263.486897844</f>
        <v>151314.25502572907</v>
      </c>
      <c r="G26" s="22">
        <v>61960.59037551463</v>
      </c>
      <c r="H26" s="23">
        <v>0</v>
      </c>
      <c r="I26" s="24"/>
      <c r="J26" s="25"/>
      <c r="K26" s="26">
        <v>0</v>
      </c>
      <c r="L26" s="26">
        <v>0</v>
      </c>
      <c r="M26" s="27">
        <v>0</v>
      </c>
      <c r="N26" s="28"/>
      <c r="O26" s="25"/>
      <c r="P26" s="29">
        <v>0</v>
      </c>
      <c r="Q26" s="30">
        <v>0</v>
      </c>
      <c r="R26" s="31">
        <v>0</v>
      </c>
      <c r="S26" s="28"/>
      <c r="T26" s="32">
        <v>0</v>
      </c>
      <c r="U26" s="33">
        <v>0</v>
      </c>
      <c r="V26" s="33">
        <v>0</v>
      </c>
      <c r="W26" s="34">
        <v>0</v>
      </c>
    </row>
    <row r="27" spans="1:23" ht="12.75">
      <c r="A27" s="18" t="s">
        <v>131</v>
      </c>
      <c r="B27" s="19" t="s">
        <v>94</v>
      </c>
      <c r="C27" s="20"/>
      <c r="D27" s="21">
        <v>993164.7719898829</v>
      </c>
      <c r="E27" s="22">
        <v>993164.7719898829</v>
      </c>
      <c r="F27" s="22">
        <f>29054.6910034656*(D27/SUM($D$26:$D$45))+145067.38921109</f>
        <v>146439.18673175073</v>
      </c>
      <c r="G27" s="22">
        <v>23434.849295597043</v>
      </c>
      <c r="H27" s="23">
        <v>0</v>
      </c>
      <c r="I27" s="24"/>
      <c r="J27" s="25"/>
      <c r="K27" s="26">
        <v>56.18</v>
      </c>
      <c r="L27" s="26">
        <v>14.83</v>
      </c>
      <c r="M27" s="27">
        <v>0</v>
      </c>
      <c r="N27" s="28"/>
      <c r="O27" s="25"/>
      <c r="P27" s="29">
        <v>264547.62</v>
      </c>
      <c r="Q27" s="30">
        <v>42468.1</v>
      </c>
      <c r="R27" s="31">
        <v>0</v>
      </c>
      <c r="S27" s="28"/>
      <c r="T27" s="32">
        <v>0</v>
      </c>
      <c r="U27" s="33">
        <v>0</v>
      </c>
      <c r="V27" s="33">
        <v>0</v>
      </c>
      <c r="W27" s="34">
        <v>0</v>
      </c>
    </row>
    <row r="28" spans="1:23" ht="12.75">
      <c r="A28" s="18" t="s">
        <v>132</v>
      </c>
      <c r="B28" s="19" t="s">
        <v>28</v>
      </c>
      <c r="C28" s="20"/>
      <c r="D28" s="21">
        <v>524682.5494644975</v>
      </c>
      <c r="E28" s="22">
        <v>524682.5494644975</v>
      </c>
      <c r="F28" s="22">
        <f>29054.6910034656*(D28/SUM($D$26:$D$45))+101620.609605545</f>
        <v>102345.32139636623</v>
      </c>
      <c r="G28" s="22">
        <v>76271.22590729623</v>
      </c>
      <c r="H28" s="23">
        <v>0</v>
      </c>
      <c r="I28" s="24"/>
      <c r="J28" s="25"/>
      <c r="K28" s="26">
        <v>0</v>
      </c>
      <c r="L28" s="26">
        <v>0</v>
      </c>
      <c r="M28" s="27">
        <v>0</v>
      </c>
      <c r="N28" s="28"/>
      <c r="O28" s="25"/>
      <c r="P28" s="29">
        <v>0</v>
      </c>
      <c r="Q28" s="30">
        <v>0</v>
      </c>
      <c r="R28" s="31">
        <v>0</v>
      </c>
      <c r="S28" s="28"/>
      <c r="T28" s="32">
        <v>0</v>
      </c>
      <c r="U28" s="33">
        <v>0</v>
      </c>
      <c r="V28" s="33">
        <v>0</v>
      </c>
      <c r="W28" s="34">
        <v>0</v>
      </c>
    </row>
    <row r="29" spans="1:23" ht="12.75">
      <c r="A29" s="18" t="s">
        <v>133</v>
      </c>
      <c r="B29" s="19" t="s">
        <v>29</v>
      </c>
      <c r="C29" s="20"/>
      <c r="D29" s="21">
        <v>607143.8007384005</v>
      </c>
      <c r="E29" s="22">
        <v>607143.8007384005</v>
      </c>
      <c r="F29" s="22">
        <f>29054.6910034656*(D29/SUM($D$26:$D$45))+31749.731526654</f>
        <v>32588.34198085762</v>
      </c>
      <c r="G29" s="22">
        <v>8122.961203178846</v>
      </c>
      <c r="H29" s="23">
        <v>0</v>
      </c>
      <c r="I29" s="24"/>
      <c r="J29" s="25"/>
      <c r="K29" s="26">
        <v>0</v>
      </c>
      <c r="L29" s="26">
        <v>0</v>
      </c>
      <c r="M29" s="27">
        <v>0</v>
      </c>
      <c r="N29" s="28"/>
      <c r="O29" s="25"/>
      <c r="P29" s="29">
        <v>0</v>
      </c>
      <c r="Q29" s="30">
        <v>0</v>
      </c>
      <c r="R29" s="31">
        <v>0</v>
      </c>
      <c r="S29" s="28"/>
      <c r="T29" s="32">
        <v>0</v>
      </c>
      <c r="U29" s="33">
        <v>0</v>
      </c>
      <c r="V29" s="33">
        <v>0</v>
      </c>
      <c r="W29" s="34">
        <v>0</v>
      </c>
    </row>
    <row r="30" spans="1:23" ht="12.75">
      <c r="A30" s="18" t="s">
        <v>134</v>
      </c>
      <c r="B30" s="19" t="s">
        <v>32</v>
      </c>
      <c r="C30" s="20"/>
      <c r="D30" s="21">
        <v>140537.35852264304</v>
      </c>
      <c r="E30" s="22">
        <v>140537.35852264304</v>
      </c>
      <c r="F30" s="22">
        <f>29054.6910034656*(D30/SUM($D$26:$D$45))+44098.5924013863</f>
        <v>44292.70802592189</v>
      </c>
      <c r="G30" s="22">
        <v>8763.041063323377</v>
      </c>
      <c r="H30" s="23">
        <v>0</v>
      </c>
      <c r="I30" s="24"/>
      <c r="J30" s="25"/>
      <c r="K30" s="26">
        <v>0</v>
      </c>
      <c r="L30" s="26">
        <v>0</v>
      </c>
      <c r="M30" s="27">
        <v>0</v>
      </c>
      <c r="N30" s="28"/>
      <c r="O30" s="25"/>
      <c r="P30" s="29">
        <v>0</v>
      </c>
      <c r="Q30" s="30">
        <v>0</v>
      </c>
      <c r="R30" s="31">
        <v>0</v>
      </c>
      <c r="S30" s="28"/>
      <c r="T30" s="32">
        <v>0</v>
      </c>
      <c r="U30" s="33">
        <v>0</v>
      </c>
      <c r="V30" s="33">
        <v>0</v>
      </c>
      <c r="W30" s="34">
        <v>0</v>
      </c>
    </row>
    <row r="31" spans="1:23" ht="12.75">
      <c r="A31" s="18" t="s">
        <v>135</v>
      </c>
      <c r="B31" s="19" t="s">
        <v>33</v>
      </c>
      <c r="C31" s="20"/>
      <c r="D31" s="21">
        <v>1355742.5495015564</v>
      </c>
      <c r="E31" s="22">
        <v>1355742.5495015564</v>
      </c>
      <c r="F31" s="22">
        <f>29054.6910034656*(D31/SUM($D$26:$D$45))+(42822.9584221801*(2/3))</f>
        <v>30421.242891103488</v>
      </c>
      <c r="G31" s="22">
        <v>7941.478540457916</v>
      </c>
      <c r="H31" s="23">
        <v>0</v>
      </c>
      <c r="I31" s="24"/>
      <c r="J31" s="25"/>
      <c r="K31" s="26">
        <v>0</v>
      </c>
      <c r="L31" s="26">
        <v>0</v>
      </c>
      <c r="M31" s="27">
        <v>0</v>
      </c>
      <c r="N31" s="28"/>
      <c r="O31" s="25"/>
      <c r="P31" s="29">
        <v>0</v>
      </c>
      <c r="Q31" s="30">
        <v>0</v>
      </c>
      <c r="R31" s="31">
        <v>0</v>
      </c>
      <c r="S31" s="28"/>
      <c r="T31" s="32">
        <v>0</v>
      </c>
      <c r="U31" s="33">
        <v>0</v>
      </c>
      <c r="V31" s="33">
        <v>0</v>
      </c>
      <c r="W31" s="34">
        <v>0</v>
      </c>
    </row>
    <row r="32" spans="1:23" ht="12.75">
      <c r="A32" s="18" t="s">
        <v>136</v>
      </c>
      <c r="B32" s="19" t="s">
        <v>34</v>
      </c>
      <c r="C32" s="20"/>
      <c r="D32" s="21">
        <v>677871.2747507782</v>
      </c>
      <c r="E32" s="22">
        <v>677871.2747507782</v>
      </c>
      <c r="F32" s="22">
        <f>29054.6910034656*(D32/SUM($D$26:$D$45))+(42822.9584221801*(1/3))</f>
        <v>15210.621445551744</v>
      </c>
      <c r="G32" s="22">
        <v>3970.739270228958</v>
      </c>
      <c r="H32" s="23">
        <v>0</v>
      </c>
      <c r="I32" s="24"/>
      <c r="J32" s="25"/>
      <c r="K32" s="26">
        <v>0</v>
      </c>
      <c r="L32" s="26">
        <v>0</v>
      </c>
      <c r="M32" s="27">
        <v>0</v>
      </c>
      <c r="N32" s="28"/>
      <c r="O32" s="25"/>
      <c r="P32" s="29">
        <v>0</v>
      </c>
      <c r="Q32" s="30">
        <v>0</v>
      </c>
      <c r="R32" s="31">
        <v>0</v>
      </c>
      <c r="S32" s="28"/>
      <c r="T32" s="32">
        <v>0</v>
      </c>
      <c r="U32" s="33">
        <v>0</v>
      </c>
      <c r="V32" s="33">
        <v>0</v>
      </c>
      <c r="W32" s="34">
        <v>0</v>
      </c>
    </row>
    <row r="33" spans="1:23" ht="12.75">
      <c r="A33" s="18" t="s">
        <v>137</v>
      </c>
      <c r="B33" s="19" t="s">
        <v>38</v>
      </c>
      <c r="C33" s="20"/>
      <c r="D33" s="21">
        <v>493768.7155304996</v>
      </c>
      <c r="E33" s="22">
        <v>493768.7155304996</v>
      </c>
      <c r="F33" s="22">
        <f>29054.6910034656*(D33/SUM($D$26:$D$45))+86015.689605545</f>
        <v>86697.70201561815</v>
      </c>
      <c r="G33" s="22">
        <v>58088.58668033246</v>
      </c>
      <c r="H33" s="23">
        <v>0</v>
      </c>
      <c r="I33" s="24"/>
      <c r="J33" s="25"/>
      <c r="K33" s="26">
        <v>0</v>
      </c>
      <c r="L33" s="26">
        <v>0</v>
      </c>
      <c r="M33" s="27">
        <v>0</v>
      </c>
      <c r="N33" s="28"/>
      <c r="O33" s="25"/>
      <c r="P33" s="29">
        <v>0</v>
      </c>
      <c r="Q33" s="30">
        <v>0</v>
      </c>
      <c r="R33" s="31">
        <v>0</v>
      </c>
      <c r="S33" s="28"/>
      <c r="T33" s="32">
        <v>0</v>
      </c>
      <c r="U33" s="33">
        <v>0</v>
      </c>
      <c r="V33" s="33">
        <v>0</v>
      </c>
      <c r="W33" s="34">
        <v>0</v>
      </c>
    </row>
    <row r="34" spans="1:23" ht="12.75">
      <c r="A34" s="18" t="s">
        <v>138</v>
      </c>
      <c r="B34" s="19" t="s">
        <v>21</v>
      </c>
      <c r="C34" s="20"/>
      <c r="D34" s="21">
        <v>1401256.6128585457</v>
      </c>
      <c r="E34" s="22">
        <v>1401256.6128585457</v>
      </c>
      <c r="F34" s="22">
        <f>29054.6910034656*(D34/SUM($D$26:$D$45))+129255.766358023</f>
        <v>131191.2360822234</v>
      </c>
      <c r="G34" s="22">
        <v>29603.848967881073</v>
      </c>
      <c r="H34" s="23">
        <v>0</v>
      </c>
      <c r="I34" s="24"/>
      <c r="J34" s="25"/>
      <c r="K34" s="26">
        <v>20.2</v>
      </c>
      <c r="L34" s="26">
        <v>0</v>
      </c>
      <c r="M34" s="27">
        <v>0</v>
      </c>
      <c r="N34" s="28"/>
      <c r="O34" s="25"/>
      <c r="P34" s="29">
        <v>345468</v>
      </c>
      <c r="Q34" s="30">
        <v>0</v>
      </c>
      <c r="R34" s="31">
        <v>0</v>
      </c>
      <c r="S34" s="28"/>
      <c r="T34" s="32">
        <v>0</v>
      </c>
      <c r="U34" s="33">
        <v>0</v>
      </c>
      <c r="V34" s="33">
        <v>0</v>
      </c>
      <c r="W34" s="34">
        <v>0</v>
      </c>
    </row>
    <row r="35" spans="1:23" ht="12.75">
      <c r="A35" s="18" t="s">
        <v>139</v>
      </c>
      <c r="B35" s="19" t="s">
        <v>39</v>
      </c>
      <c r="C35" s="20"/>
      <c r="D35" s="21">
        <v>891702.1097872814</v>
      </c>
      <c r="E35" s="22">
        <v>891702.1097872814</v>
      </c>
      <c r="F35" s="22">
        <f>29054.6910034656*(D35/SUM($D$26:$D$45))+60870.2513187417</f>
        <v>62101.904693763536</v>
      </c>
      <c r="G35" s="22">
        <v>21904.992358621967</v>
      </c>
      <c r="H35" s="23">
        <v>264958.99505598564</v>
      </c>
      <c r="I35" s="24"/>
      <c r="J35" s="25"/>
      <c r="K35" s="26">
        <v>0</v>
      </c>
      <c r="L35" s="26">
        <v>0</v>
      </c>
      <c r="M35" s="27">
        <v>207.4</v>
      </c>
      <c r="N35" s="28"/>
      <c r="O35" s="25"/>
      <c r="P35" s="29">
        <v>0</v>
      </c>
      <c r="Q35" s="30">
        <v>0</v>
      </c>
      <c r="R35" s="31">
        <v>1137088</v>
      </c>
      <c r="S35" s="28"/>
      <c r="T35" s="32">
        <v>0</v>
      </c>
      <c r="U35" s="33">
        <v>0</v>
      </c>
      <c r="V35" s="33">
        <v>0</v>
      </c>
      <c r="W35" s="34">
        <v>0</v>
      </c>
    </row>
    <row r="36" spans="1:23" ht="12.75">
      <c r="A36" s="18" t="s">
        <v>140</v>
      </c>
      <c r="B36" s="19" t="s">
        <v>22</v>
      </c>
      <c r="C36" s="20"/>
      <c r="D36" s="21">
        <v>1337553.164680922</v>
      </c>
      <c r="E36" s="22">
        <v>1337553.164680922</v>
      </c>
      <c r="F36" s="22">
        <f>29054.6910034656*(D36/SUM($D$26:$D$45))+60186.6419781126</f>
        <v>62034.12204064536</v>
      </c>
      <c r="G36" s="22">
        <v>14981.713537932956</v>
      </c>
      <c r="H36" s="23">
        <v>0</v>
      </c>
      <c r="I36" s="24"/>
      <c r="J36" s="25"/>
      <c r="K36" s="26">
        <v>0</v>
      </c>
      <c r="L36" s="26">
        <v>0</v>
      </c>
      <c r="M36" s="27">
        <v>0</v>
      </c>
      <c r="N36" s="28"/>
      <c r="O36" s="25"/>
      <c r="P36" s="29">
        <v>0</v>
      </c>
      <c r="Q36" s="30">
        <v>0</v>
      </c>
      <c r="R36" s="31">
        <v>0</v>
      </c>
      <c r="S36" s="28"/>
      <c r="T36" s="32">
        <v>0</v>
      </c>
      <c r="U36" s="33">
        <v>0</v>
      </c>
      <c r="V36" s="33">
        <v>0</v>
      </c>
      <c r="W36" s="34">
        <v>0</v>
      </c>
    </row>
    <row r="37" spans="1:23" ht="12.75">
      <c r="A37" s="18" t="s">
        <v>141</v>
      </c>
      <c r="B37" s="19" t="s">
        <v>23</v>
      </c>
      <c r="C37" s="20"/>
      <c r="D37" s="21">
        <v>700628.3064292729</v>
      </c>
      <c r="E37" s="22">
        <v>700628.3064292729</v>
      </c>
      <c r="F37" s="22">
        <f>29054.6910034656*(D37/SUM($D$26:$D$45))+51222.5981790113</f>
        <v>52190.333041111495</v>
      </c>
      <c r="G37" s="22">
        <v>13183.514483940387</v>
      </c>
      <c r="H37" s="23">
        <v>0</v>
      </c>
      <c r="I37" s="24"/>
      <c r="J37" s="25"/>
      <c r="K37" s="26">
        <v>0</v>
      </c>
      <c r="L37" s="26">
        <v>0</v>
      </c>
      <c r="M37" s="27">
        <v>0</v>
      </c>
      <c r="N37" s="28"/>
      <c r="O37" s="25"/>
      <c r="P37" s="29">
        <v>0</v>
      </c>
      <c r="Q37" s="30">
        <v>0</v>
      </c>
      <c r="R37" s="31">
        <v>0</v>
      </c>
      <c r="S37" s="28"/>
      <c r="T37" s="32">
        <v>0</v>
      </c>
      <c r="U37" s="33">
        <v>0</v>
      </c>
      <c r="V37" s="33">
        <v>0</v>
      </c>
      <c r="W37" s="34">
        <v>0</v>
      </c>
    </row>
    <row r="38" spans="1:23" ht="12.75">
      <c r="A38" s="18" t="s">
        <v>142</v>
      </c>
      <c r="B38" s="19" t="s">
        <v>62</v>
      </c>
      <c r="C38" s="20"/>
      <c r="D38" s="21">
        <v>3184660.8324331087</v>
      </c>
      <c r="E38" s="22">
        <v>3184660.8324331087</v>
      </c>
      <c r="F38" s="22">
        <f>29054.6910034656*(D38/SUM($D$26:$D$45))+445421.028995506</f>
        <v>449819.8054697501</v>
      </c>
      <c r="G38" s="22">
        <v>139655.60368512472</v>
      </c>
      <c r="H38" s="23">
        <v>0</v>
      </c>
      <c r="I38" s="24"/>
      <c r="J38" s="25"/>
      <c r="K38" s="26">
        <v>0</v>
      </c>
      <c r="L38" s="26">
        <v>0</v>
      </c>
      <c r="M38" s="27">
        <v>0</v>
      </c>
      <c r="N38" s="28"/>
      <c r="O38" s="25"/>
      <c r="P38" s="29">
        <v>184430</v>
      </c>
      <c r="Q38" s="30">
        <v>0</v>
      </c>
      <c r="R38" s="31">
        <v>0</v>
      </c>
      <c r="S38" s="28"/>
      <c r="T38" s="32">
        <v>0</v>
      </c>
      <c r="U38" s="33">
        <v>0</v>
      </c>
      <c r="V38" s="33">
        <v>0</v>
      </c>
      <c r="W38" s="34">
        <v>0</v>
      </c>
    </row>
    <row r="39" spans="1:23" ht="12.75">
      <c r="A39" s="18" t="s">
        <v>143</v>
      </c>
      <c r="B39" s="19" t="s">
        <v>108</v>
      </c>
      <c r="C39" s="20"/>
      <c r="D39" s="21">
        <v>5317398.68369682</v>
      </c>
      <c r="E39" s="22">
        <v>5317398.68369682</v>
      </c>
      <c r="F39" s="22">
        <f>29054.6910034656*(D39/SUM($D$26:$D$45))+2751103.8272914</f>
        <v>2758448.4236125574</v>
      </c>
      <c r="G39" s="22">
        <v>1076434.2651633932</v>
      </c>
      <c r="H39" s="23">
        <v>0</v>
      </c>
      <c r="I39" s="24"/>
      <c r="J39" s="25"/>
      <c r="K39" s="26">
        <v>1620.91221875</v>
      </c>
      <c r="L39" s="26">
        <v>427.52595772152085</v>
      </c>
      <c r="M39" s="27">
        <v>0</v>
      </c>
      <c r="N39" s="28"/>
      <c r="O39" s="25"/>
      <c r="P39" s="29">
        <v>7600871.7</v>
      </c>
      <c r="Q39" s="30">
        <v>2968488.8319736533</v>
      </c>
      <c r="R39" s="31">
        <v>0</v>
      </c>
      <c r="S39" s="28"/>
      <c r="T39" s="32">
        <v>0</v>
      </c>
      <c r="U39" s="33">
        <v>0</v>
      </c>
      <c r="V39" s="33">
        <v>0</v>
      </c>
      <c r="W39" s="34">
        <v>0</v>
      </c>
    </row>
    <row r="40" spans="1:23" ht="12.75">
      <c r="A40" s="18" t="s">
        <v>144</v>
      </c>
      <c r="B40" s="19" t="s">
        <v>102</v>
      </c>
      <c r="C40" s="20"/>
      <c r="D40" s="21">
        <v>509542.3226796435</v>
      </c>
      <c r="E40" s="22">
        <v>509542.3226796435</v>
      </c>
      <c r="F40" s="22">
        <f>29054.6910034656*(D40/SUM($D$26:$D$45))+57206.575039281</f>
        <v>57910.374564432466</v>
      </c>
      <c r="G40" s="22">
        <v>15458.283804204948</v>
      </c>
      <c r="H40" s="23">
        <v>0</v>
      </c>
      <c r="I40" s="24"/>
      <c r="J40" s="25"/>
      <c r="K40" s="26">
        <v>0</v>
      </c>
      <c r="L40" s="26">
        <v>0</v>
      </c>
      <c r="M40" s="27">
        <v>0</v>
      </c>
      <c r="N40" s="28"/>
      <c r="O40" s="25"/>
      <c r="P40" s="29">
        <v>0</v>
      </c>
      <c r="Q40" s="30">
        <v>0</v>
      </c>
      <c r="R40" s="31">
        <v>0</v>
      </c>
      <c r="S40" s="28"/>
      <c r="T40" s="32">
        <v>0</v>
      </c>
      <c r="U40" s="33">
        <v>0</v>
      </c>
      <c r="V40" s="33">
        <v>0</v>
      </c>
      <c r="W40" s="34">
        <v>0</v>
      </c>
    </row>
    <row r="41" spans="1:24" ht="12.75">
      <c r="A41" s="18" t="s">
        <v>145</v>
      </c>
      <c r="B41" s="19" t="s">
        <v>77</v>
      </c>
      <c r="C41" s="20"/>
      <c r="D41" s="21">
        <v>0</v>
      </c>
      <c r="E41" s="22">
        <v>0</v>
      </c>
      <c r="F41" s="22">
        <f>29054.6910034656*(D41/SUM($D$26:$D$45))+8924.31</f>
        <v>8924.31</v>
      </c>
      <c r="G41" s="22">
        <v>3043.24</v>
      </c>
      <c r="H41" s="23">
        <v>0</v>
      </c>
      <c r="I41" s="24"/>
      <c r="J41" s="25"/>
      <c r="K41" s="26">
        <v>48.45600000000002</v>
      </c>
      <c r="L41" s="26">
        <v>39.46377777777779</v>
      </c>
      <c r="M41" s="27">
        <v>0</v>
      </c>
      <c r="N41" s="28"/>
      <c r="O41" s="25"/>
      <c r="P41" s="29">
        <v>165753.22</v>
      </c>
      <c r="Q41" s="30">
        <v>29061.584999999992</v>
      </c>
      <c r="R41" s="31">
        <v>0</v>
      </c>
      <c r="S41" s="28"/>
      <c r="T41" s="32">
        <v>0</v>
      </c>
      <c r="U41" s="33">
        <v>0</v>
      </c>
      <c r="V41" s="33">
        <v>0</v>
      </c>
      <c r="W41" s="34">
        <v>0</v>
      </c>
      <c r="X41" s="93"/>
    </row>
    <row r="42" spans="1:24" ht="12.75">
      <c r="A42" s="18" t="s">
        <v>146</v>
      </c>
      <c r="B42" s="19" t="s">
        <v>10</v>
      </c>
      <c r="C42" s="20"/>
      <c r="D42" s="21">
        <v>382159.78710763785</v>
      </c>
      <c r="E42" s="22">
        <v>382159.78710763785</v>
      </c>
      <c r="F42" s="22">
        <f>29054.6910034656*(D42/SUM($D$26:$D$45))+40076.5562794607</f>
        <v>40604.410129331074</v>
      </c>
      <c r="G42" s="22">
        <v>18473.43855441713</v>
      </c>
      <c r="H42" s="23">
        <v>0</v>
      </c>
      <c r="I42" s="24"/>
      <c r="J42" s="25"/>
      <c r="K42" s="26">
        <v>0</v>
      </c>
      <c r="L42" s="26">
        <v>0</v>
      </c>
      <c r="M42" s="27">
        <v>0</v>
      </c>
      <c r="N42" s="28"/>
      <c r="O42" s="25"/>
      <c r="P42" s="29">
        <v>0</v>
      </c>
      <c r="Q42" s="30">
        <v>0</v>
      </c>
      <c r="R42" s="31">
        <v>0</v>
      </c>
      <c r="S42" s="28"/>
      <c r="T42" s="32">
        <v>0</v>
      </c>
      <c r="U42" s="33">
        <v>0</v>
      </c>
      <c r="V42" s="33">
        <v>0</v>
      </c>
      <c r="W42" s="34">
        <v>0</v>
      </c>
      <c r="X42" s="93"/>
    </row>
    <row r="43" spans="1:24" ht="12.75">
      <c r="A43" s="18" t="s">
        <v>147</v>
      </c>
      <c r="B43" s="19" t="s">
        <v>105</v>
      </c>
      <c r="C43" s="20"/>
      <c r="D43" s="21">
        <v>0</v>
      </c>
      <c r="E43" s="22">
        <v>0</v>
      </c>
      <c r="F43" s="22">
        <f>29054.6910034656*(D43/SUM($D$26:$D$45))+157126.68</f>
        <v>157126.68</v>
      </c>
      <c r="G43" s="22">
        <v>12016.28</v>
      </c>
      <c r="H43" s="23">
        <v>171777.6</v>
      </c>
      <c r="I43" s="24"/>
      <c r="J43" s="25"/>
      <c r="K43" s="26">
        <v>92.7</v>
      </c>
      <c r="L43" s="26">
        <v>0</v>
      </c>
      <c r="M43" s="27">
        <v>41384.89</v>
      </c>
      <c r="N43" s="28"/>
      <c r="O43" s="25"/>
      <c r="P43" s="29">
        <v>664847</v>
      </c>
      <c r="Q43" s="30">
        <v>0</v>
      </c>
      <c r="R43" s="31">
        <v>1145204.6</v>
      </c>
      <c r="S43" s="28"/>
      <c r="T43" s="32">
        <v>0</v>
      </c>
      <c r="U43" s="33">
        <v>0</v>
      </c>
      <c r="V43" s="33">
        <v>0</v>
      </c>
      <c r="W43" s="34">
        <v>0</v>
      </c>
      <c r="X43" s="93"/>
    </row>
    <row r="44" spans="1:24" ht="12.75">
      <c r="A44" s="18" t="s">
        <v>169</v>
      </c>
      <c r="B44" s="19" t="s">
        <v>75</v>
      </c>
      <c r="C44" s="20"/>
      <c r="D44" s="21">
        <v>172864.1178846724</v>
      </c>
      <c r="E44" s="22">
        <v>172864.1178846724</v>
      </c>
      <c r="F44" s="22">
        <f>29054.6910034656*(D44/SUM($D$26:$D$45))+62675.4433619408</f>
        <v>62914.209954366626</v>
      </c>
      <c r="G44" s="22">
        <v>15963.608216816043</v>
      </c>
      <c r="H44" s="23">
        <v>0</v>
      </c>
      <c r="I44" s="24"/>
      <c r="J44" s="25"/>
      <c r="K44" s="26">
        <v>0</v>
      </c>
      <c r="L44" s="26">
        <v>0</v>
      </c>
      <c r="M44" s="27">
        <v>0</v>
      </c>
      <c r="N44" s="28"/>
      <c r="O44" s="25"/>
      <c r="P44" s="29">
        <v>0</v>
      </c>
      <c r="Q44" s="30">
        <v>0</v>
      </c>
      <c r="R44" s="31">
        <v>0</v>
      </c>
      <c r="S44" s="28"/>
      <c r="T44" s="32">
        <v>0</v>
      </c>
      <c r="U44" s="33">
        <v>0</v>
      </c>
      <c r="V44" s="33">
        <v>0</v>
      </c>
      <c r="W44" s="34">
        <v>0</v>
      </c>
      <c r="X44" s="93"/>
    </row>
    <row r="45" spans="1:24" ht="12.75">
      <c r="A45" s="18" t="s">
        <v>170</v>
      </c>
      <c r="B45" s="19" t="s">
        <v>101</v>
      </c>
      <c r="C45" s="20"/>
      <c r="D45" s="21">
        <v>135847.90774857323</v>
      </c>
      <c r="E45" s="22">
        <v>135847.90774857323</v>
      </c>
      <c r="F45" s="22">
        <f>29054.6910034656*(D45/SUM($D$26:$D$45))+26035.4262006931</f>
        <v>26223.064574800006</v>
      </c>
      <c r="G45" s="22">
        <v>5996.8629422104605</v>
      </c>
      <c r="H45" s="23">
        <v>0</v>
      </c>
      <c r="I45" s="24"/>
      <c r="J45" s="25"/>
      <c r="K45" s="26">
        <v>0</v>
      </c>
      <c r="L45" s="26">
        <v>0</v>
      </c>
      <c r="M45" s="27">
        <v>0</v>
      </c>
      <c r="N45" s="28"/>
      <c r="O45" s="25"/>
      <c r="P45" s="29">
        <v>0</v>
      </c>
      <c r="Q45" s="30">
        <v>0</v>
      </c>
      <c r="R45" s="31">
        <v>0</v>
      </c>
      <c r="S45" s="28"/>
      <c r="T45" s="32">
        <v>0</v>
      </c>
      <c r="U45" s="33">
        <v>0</v>
      </c>
      <c r="V45" s="33">
        <v>0</v>
      </c>
      <c r="W45" s="34">
        <v>0</v>
      </c>
      <c r="X45" s="93"/>
    </row>
    <row r="46" spans="1:23" ht="12.75">
      <c r="A46" s="35" t="s">
        <v>40</v>
      </c>
      <c r="B46" s="19"/>
      <c r="C46" s="20"/>
      <c r="D46" s="21"/>
      <c r="E46" s="22"/>
      <c r="F46" s="22"/>
      <c r="G46" s="22"/>
      <c r="H46" s="23"/>
      <c r="I46" s="28"/>
      <c r="J46" s="25"/>
      <c r="K46" s="26"/>
      <c r="L46" s="26"/>
      <c r="M46" s="27"/>
      <c r="N46" s="28"/>
      <c r="O46" s="25"/>
      <c r="P46" s="29"/>
      <c r="Q46" s="30"/>
      <c r="R46" s="31"/>
      <c r="S46" s="28"/>
      <c r="T46" s="32"/>
      <c r="U46" s="33"/>
      <c r="V46" s="33"/>
      <c r="W46" s="34"/>
    </row>
    <row r="47" spans="1:23" ht="12.75">
      <c r="A47" s="18" t="s">
        <v>148</v>
      </c>
      <c r="B47" s="36" t="s">
        <v>41</v>
      </c>
      <c r="C47" s="20"/>
      <c r="D47" s="21">
        <v>1265004</v>
      </c>
      <c r="E47" s="22">
        <v>1265004</v>
      </c>
      <c r="F47" s="22">
        <v>41165.73</v>
      </c>
      <c r="G47" s="22">
        <v>19668.69</v>
      </c>
      <c r="H47" s="23">
        <v>0</v>
      </c>
      <c r="I47" s="24"/>
      <c r="J47" s="25"/>
      <c r="K47" s="26">
        <v>0</v>
      </c>
      <c r="L47" s="26">
        <v>0</v>
      </c>
      <c r="M47" s="27">
        <v>0</v>
      </c>
      <c r="N47" s="28"/>
      <c r="O47" s="25"/>
      <c r="P47" s="29">
        <v>0</v>
      </c>
      <c r="Q47" s="30">
        <v>0</v>
      </c>
      <c r="R47" s="31">
        <v>0</v>
      </c>
      <c r="S47" s="28"/>
      <c r="T47" s="32">
        <v>0</v>
      </c>
      <c r="U47" s="33">
        <v>0</v>
      </c>
      <c r="V47" s="33">
        <v>0</v>
      </c>
      <c r="W47" s="34">
        <v>0</v>
      </c>
    </row>
    <row r="48" spans="1:23" ht="12.75">
      <c r="A48" s="18" t="s">
        <v>149</v>
      </c>
      <c r="B48" s="36" t="s">
        <v>74</v>
      </c>
      <c r="C48" s="20"/>
      <c r="D48" s="21">
        <v>1705404</v>
      </c>
      <c r="E48" s="22">
        <v>1705404</v>
      </c>
      <c r="F48" s="22">
        <v>594052.27</v>
      </c>
      <c r="G48" s="22">
        <v>175061.27</v>
      </c>
      <c r="H48" s="23">
        <v>0</v>
      </c>
      <c r="I48" s="24"/>
      <c r="J48" s="25"/>
      <c r="K48" s="26">
        <v>0</v>
      </c>
      <c r="L48" s="26">
        <v>0</v>
      </c>
      <c r="M48" s="27">
        <v>0</v>
      </c>
      <c r="N48" s="28"/>
      <c r="O48" s="25"/>
      <c r="P48" s="29">
        <v>0</v>
      </c>
      <c r="Q48" s="30">
        <v>0</v>
      </c>
      <c r="R48" s="31">
        <v>0</v>
      </c>
      <c r="S48" s="28"/>
      <c r="T48" s="32">
        <v>0</v>
      </c>
      <c r="U48" s="33">
        <v>0</v>
      </c>
      <c r="V48" s="33">
        <v>0</v>
      </c>
      <c r="W48" s="34">
        <v>0</v>
      </c>
    </row>
    <row r="49" spans="1:23" ht="12.75">
      <c r="A49" s="18" t="s">
        <v>150</v>
      </c>
      <c r="B49" s="36" t="s">
        <v>92</v>
      </c>
      <c r="C49" s="20"/>
      <c r="D49" s="21">
        <v>236652</v>
      </c>
      <c r="E49" s="22">
        <v>236652</v>
      </c>
      <c r="F49" s="22">
        <v>10001.425159664796</v>
      </c>
      <c r="G49" s="22">
        <v>2484.994812259096</v>
      </c>
      <c r="H49" s="23">
        <v>0</v>
      </c>
      <c r="I49" s="24"/>
      <c r="J49" s="25"/>
      <c r="K49" s="26">
        <v>0</v>
      </c>
      <c r="L49" s="26">
        <v>0</v>
      </c>
      <c r="M49" s="27">
        <v>0</v>
      </c>
      <c r="N49" s="28"/>
      <c r="O49" s="25"/>
      <c r="P49" s="29">
        <v>0</v>
      </c>
      <c r="Q49" s="30">
        <v>0</v>
      </c>
      <c r="R49" s="31">
        <v>0</v>
      </c>
      <c r="S49" s="28"/>
      <c r="T49" s="32">
        <v>0</v>
      </c>
      <c r="U49" s="33">
        <v>0</v>
      </c>
      <c r="V49" s="33">
        <v>0</v>
      </c>
      <c r="W49" s="34">
        <v>0</v>
      </c>
    </row>
    <row r="50" spans="1:23" ht="12.75">
      <c r="A50" s="18" t="s">
        <v>151</v>
      </c>
      <c r="B50" s="36" t="s">
        <v>19</v>
      </c>
      <c r="C50" s="20"/>
      <c r="D50" s="21">
        <v>1329036</v>
      </c>
      <c r="E50" s="22">
        <v>1329036</v>
      </c>
      <c r="F50" s="22">
        <v>43253.59</v>
      </c>
      <c r="G50" s="22">
        <v>31031.43</v>
      </c>
      <c r="H50" s="23">
        <v>0</v>
      </c>
      <c r="I50" s="24"/>
      <c r="J50" s="25"/>
      <c r="K50" s="26">
        <v>0</v>
      </c>
      <c r="L50" s="26">
        <v>0</v>
      </c>
      <c r="M50" s="27">
        <v>0</v>
      </c>
      <c r="N50" s="28"/>
      <c r="O50" s="25"/>
      <c r="P50" s="29">
        <v>0</v>
      </c>
      <c r="Q50" s="30">
        <v>0</v>
      </c>
      <c r="R50" s="31">
        <v>0</v>
      </c>
      <c r="S50" s="28"/>
      <c r="T50" s="32">
        <v>0</v>
      </c>
      <c r="U50" s="33">
        <v>0</v>
      </c>
      <c r="V50" s="33">
        <v>0</v>
      </c>
      <c r="W50" s="34">
        <v>0</v>
      </c>
    </row>
    <row r="51" spans="1:23" ht="12.75">
      <c r="A51" s="18" t="s">
        <v>152</v>
      </c>
      <c r="B51" s="36" t="s">
        <v>20</v>
      </c>
      <c r="C51" s="20"/>
      <c r="D51" s="21">
        <v>489348</v>
      </c>
      <c r="E51" s="22">
        <v>489348</v>
      </c>
      <c r="F51" s="22">
        <v>9530.137456420243</v>
      </c>
      <c r="G51" s="22">
        <v>2347.301538234028</v>
      </c>
      <c r="H51" s="23">
        <v>0</v>
      </c>
      <c r="I51" s="24"/>
      <c r="J51" s="25"/>
      <c r="K51" s="26">
        <v>0</v>
      </c>
      <c r="L51" s="26">
        <v>0</v>
      </c>
      <c r="M51" s="27">
        <v>0</v>
      </c>
      <c r="N51" s="28"/>
      <c r="O51" s="25"/>
      <c r="P51" s="29">
        <v>0</v>
      </c>
      <c r="Q51" s="30">
        <v>0</v>
      </c>
      <c r="R51" s="31">
        <v>0</v>
      </c>
      <c r="S51" s="28"/>
      <c r="T51" s="32">
        <v>0</v>
      </c>
      <c r="U51" s="33">
        <v>0</v>
      </c>
      <c r="V51" s="33">
        <v>0</v>
      </c>
      <c r="W51" s="34">
        <v>0</v>
      </c>
    </row>
    <row r="52" spans="1:23" ht="12.75">
      <c r="A52" s="18" t="s">
        <v>153</v>
      </c>
      <c r="B52" s="36" t="s">
        <v>103</v>
      </c>
      <c r="C52" s="20"/>
      <c r="D52" s="21">
        <v>331320</v>
      </c>
      <c r="E52" s="22">
        <v>331320</v>
      </c>
      <c r="F52" s="22">
        <v>98777.14</v>
      </c>
      <c r="G52" s="22">
        <v>7248.37</v>
      </c>
      <c r="H52" s="23">
        <v>13150</v>
      </c>
      <c r="I52" s="24"/>
      <c r="J52" s="25"/>
      <c r="K52" s="26">
        <v>0</v>
      </c>
      <c r="L52" s="26">
        <v>0</v>
      </c>
      <c r="M52" s="27">
        <v>60.70400000000001</v>
      </c>
      <c r="N52" s="28"/>
      <c r="O52" s="25"/>
      <c r="P52" s="29">
        <v>0</v>
      </c>
      <c r="Q52" s="30">
        <v>0</v>
      </c>
      <c r="R52" s="31">
        <v>28428</v>
      </c>
      <c r="S52" s="28"/>
      <c r="T52" s="32">
        <v>0</v>
      </c>
      <c r="U52" s="33">
        <v>0</v>
      </c>
      <c r="V52" s="33">
        <v>0</v>
      </c>
      <c r="W52" s="34">
        <v>0</v>
      </c>
    </row>
    <row r="53" spans="1:23" ht="12.75">
      <c r="A53" s="18" t="s">
        <v>154</v>
      </c>
      <c r="B53" s="36" t="s">
        <v>18</v>
      </c>
      <c r="C53" s="20"/>
      <c r="D53" s="21">
        <v>28224</v>
      </c>
      <c r="E53" s="22">
        <v>28224</v>
      </c>
      <c r="F53" s="22">
        <v>44926.57</v>
      </c>
      <c r="G53" s="22">
        <v>32840.58</v>
      </c>
      <c r="H53" s="23">
        <v>204953.44</v>
      </c>
      <c r="I53" s="24"/>
      <c r="J53" s="25"/>
      <c r="K53" s="26">
        <v>0</v>
      </c>
      <c r="L53" s="26">
        <v>0</v>
      </c>
      <c r="M53" s="27">
        <v>242</v>
      </c>
      <c r="N53" s="28"/>
      <c r="O53" s="25"/>
      <c r="P53" s="29">
        <v>0</v>
      </c>
      <c r="Q53" s="30">
        <v>0</v>
      </c>
      <c r="R53" s="31">
        <v>2561918</v>
      </c>
      <c r="S53" s="28"/>
      <c r="T53" s="32">
        <v>0</v>
      </c>
      <c r="U53" s="33">
        <v>0</v>
      </c>
      <c r="V53" s="33">
        <v>0</v>
      </c>
      <c r="W53" s="34">
        <v>0</v>
      </c>
    </row>
    <row r="54" spans="1:23" ht="12.75">
      <c r="A54" s="18" t="s">
        <v>155</v>
      </c>
      <c r="B54" s="36" t="s">
        <v>104</v>
      </c>
      <c r="C54" s="20"/>
      <c r="D54" s="21">
        <v>615900</v>
      </c>
      <c r="E54" s="22">
        <v>615900</v>
      </c>
      <c r="F54" s="22">
        <v>6446.26</v>
      </c>
      <c r="G54" s="22">
        <v>3762.02</v>
      </c>
      <c r="H54" s="23">
        <v>0</v>
      </c>
      <c r="I54" s="24"/>
      <c r="J54" s="25"/>
      <c r="K54" s="26">
        <v>166.9875</v>
      </c>
      <c r="L54" s="26">
        <v>0</v>
      </c>
      <c r="M54" s="27">
        <v>0</v>
      </c>
      <c r="N54" s="28"/>
      <c r="O54" s="25"/>
      <c r="P54" s="29">
        <v>320531</v>
      </c>
      <c r="Q54" s="30">
        <v>0</v>
      </c>
      <c r="R54" s="31">
        <v>0</v>
      </c>
      <c r="S54" s="28"/>
      <c r="T54" s="32">
        <v>0</v>
      </c>
      <c r="U54" s="33">
        <v>0</v>
      </c>
      <c r="V54" s="33">
        <v>0</v>
      </c>
      <c r="W54" s="34">
        <v>0</v>
      </c>
    </row>
    <row r="55" spans="1:23" ht="12.75">
      <c r="A55" s="35" t="s">
        <v>98</v>
      </c>
      <c r="B55" s="19"/>
      <c r="C55" s="20"/>
      <c r="D55" s="21"/>
      <c r="E55" s="22"/>
      <c r="F55" s="22"/>
      <c r="G55" s="22"/>
      <c r="H55" s="23"/>
      <c r="I55" s="28"/>
      <c r="J55" s="25"/>
      <c r="K55" s="26"/>
      <c r="L55" s="26"/>
      <c r="M55" s="27"/>
      <c r="N55" s="28"/>
      <c r="O55" s="25"/>
      <c r="P55" s="29"/>
      <c r="Q55" s="30"/>
      <c r="R55" s="31"/>
      <c r="S55" s="28"/>
      <c r="T55" s="32">
        <v>0</v>
      </c>
      <c r="U55" s="33">
        <v>0</v>
      </c>
      <c r="V55" s="33">
        <v>0</v>
      </c>
      <c r="W55" s="34">
        <v>0</v>
      </c>
    </row>
    <row r="56" spans="1:23" ht="12.75">
      <c r="A56" s="18" t="s">
        <v>156</v>
      </c>
      <c r="B56" s="19" t="s">
        <v>99</v>
      </c>
      <c r="C56" s="20"/>
      <c r="D56" s="21">
        <v>4197775.123480262</v>
      </c>
      <c r="E56" s="22">
        <v>4197775.123480262</v>
      </c>
      <c r="F56" s="22">
        <f>1793.11*(D56/SUM($D$56:$D$58))</f>
        <v>1308.3370793900556</v>
      </c>
      <c r="G56" s="22">
        <v>375.6805747758651</v>
      </c>
      <c r="H56" s="23">
        <v>0</v>
      </c>
      <c r="I56" s="24"/>
      <c r="J56" s="25"/>
      <c r="K56" s="26">
        <v>0</v>
      </c>
      <c r="L56" s="26">
        <v>0</v>
      </c>
      <c r="M56" s="27">
        <v>0</v>
      </c>
      <c r="N56" s="28"/>
      <c r="O56" s="25"/>
      <c r="P56" s="29">
        <v>0</v>
      </c>
      <c r="Q56" s="30">
        <v>0</v>
      </c>
      <c r="R56" s="31">
        <v>0</v>
      </c>
      <c r="S56" s="28"/>
      <c r="T56" s="32">
        <v>0</v>
      </c>
      <c r="U56" s="33">
        <v>0</v>
      </c>
      <c r="V56" s="33">
        <v>0</v>
      </c>
      <c r="W56" s="34">
        <v>0</v>
      </c>
    </row>
    <row r="57" spans="1:23" ht="12.75">
      <c r="A57" s="18" t="s">
        <v>157</v>
      </c>
      <c r="B57" s="19" t="s">
        <v>100</v>
      </c>
      <c r="C57" s="20"/>
      <c r="D57" s="21">
        <v>851011.9837075335</v>
      </c>
      <c r="E57" s="22">
        <v>851011.9837075335</v>
      </c>
      <c r="F57" s="22">
        <f>1793.11*(D57/SUM($D$56:$D$58))</f>
        <v>265.2382513446202</v>
      </c>
      <c r="G57" s="22">
        <v>76.16145738539078</v>
      </c>
      <c r="H57" s="23">
        <v>0</v>
      </c>
      <c r="I57" s="24"/>
      <c r="J57" s="25"/>
      <c r="K57" s="26">
        <v>0</v>
      </c>
      <c r="L57" s="26">
        <v>0</v>
      </c>
      <c r="M57" s="27">
        <v>0</v>
      </c>
      <c r="N57" s="28"/>
      <c r="O57" s="25"/>
      <c r="P57" s="29">
        <v>0</v>
      </c>
      <c r="Q57" s="30">
        <v>0</v>
      </c>
      <c r="R57" s="31">
        <v>0</v>
      </c>
      <c r="S57" s="28"/>
      <c r="T57" s="32">
        <v>0</v>
      </c>
      <c r="U57" s="33">
        <v>0</v>
      </c>
      <c r="V57" s="33">
        <v>0</v>
      </c>
      <c r="W57" s="34">
        <v>0</v>
      </c>
    </row>
    <row r="58" spans="1:23" ht="12.75">
      <c r="A58" s="18" t="s">
        <v>158</v>
      </c>
      <c r="B58" s="19" t="s">
        <v>87</v>
      </c>
      <c r="C58" s="20"/>
      <c r="D58" s="21">
        <v>704372.8928122048</v>
      </c>
      <c r="E58" s="22">
        <v>704372.8928122048</v>
      </c>
      <c r="F58" s="22">
        <f>1793.11*(D58/SUM($D$56:$D$58))</f>
        <v>219.5346692653242</v>
      </c>
      <c r="G58" s="22">
        <v>63.037967838743924</v>
      </c>
      <c r="H58" s="23">
        <v>0</v>
      </c>
      <c r="I58" s="24"/>
      <c r="J58" s="25"/>
      <c r="K58" s="26">
        <v>0</v>
      </c>
      <c r="L58" s="26">
        <v>0</v>
      </c>
      <c r="M58" s="27">
        <v>0</v>
      </c>
      <c r="N58" s="28"/>
      <c r="O58" s="25"/>
      <c r="P58" s="29">
        <v>0</v>
      </c>
      <c r="Q58" s="30">
        <v>0</v>
      </c>
      <c r="R58" s="31">
        <v>0</v>
      </c>
      <c r="S58" s="28"/>
      <c r="T58" s="32">
        <v>0</v>
      </c>
      <c r="U58" s="33">
        <v>0</v>
      </c>
      <c r="V58" s="33">
        <v>0</v>
      </c>
      <c r="W58" s="34">
        <v>0</v>
      </c>
    </row>
    <row r="59" spans="1:23" ht="13.5" thickBot="1">
      <c r="A59" s="37"/>
      <c r="B59" s="38"/>
      <c r="C59" s="39"/>
      <c r="D59" s="40"/>
      <c r="E59" s="41"/>
      <c r="F59" s="42"/>
      <c r="G59" s="42"/>
      <c r="H59" s="43"/>
      <c r="I59" s="44"/>
      <c r="J59" s="45"/>
      <c r="K59" s="46"/>
      <c r="L59" s="46"/>
      <c r="M59" s="47"/>
      <c r="N59" s="44"/>
      <c r="O59" s="45"/>
      <c r="P59" s="46"/>
      <c r="Q59" s="46"/>
      <c r="R59" s="47"/>
      <c r="S59" s="44"/>
      <c r="T59" s="48"/>
      <c r="U59" s="49"/>
      <c r="V59" s="49"/>
      <c r="W59" s="50"/>
    </row>
    <row r="60" spans="1:23" ht="13.5" thickBot="1">
      <c r="A60" s="167" t="s">
        <v>16</v>
      </c>
      <c r="B60" s="168"/>
      <c r="C60" s="51"/>
      <c r="D60" s="52">
        <f>SUM(D8:D58)</f>
        <v>245896427.99999997</v>
      </c>
      <c r="E60" s="53">
        <f>SUM(E8:E58)</f>
        <v>245896427.99999997</v>
      </c>
      <c r="F60" s="54">
        <f>SUM(F8:F58)</f>
        <v>36016155.527788654</v>
      </c>
      <c r="G60" s="55">
        <f>SUM(G8:G58)</f>
        <v>15227047.67952419</v>
      </c>
      <c r="H60" s="56">
        <f>SUM(H8:H58)</f>
        <v>31899033.892944366</v>
      </c>
      <c r="I60" s="57"/>
      <c r="J60" s="58">
        <f>SUM(J8:J58)</f>
        <v>0</v>
      </c>
      <c r="K60" s="59">
        <f>SUM(K8:K58)</f>
        <v>49960.045836845726</v>
      </c>
      <c r="L60" s="59">
        <f>SUM(L8:L58)</f>
        <v>13654.386230914302</v>
      </c>
      <c r="M60" s="60">
        <f>SUM(M8:M58)</f>
        <v>111573.10001842155</v>
      </c>
      <c r="N60" s="57"/>
      <c r="O60" s="58">
        <f>SUM(O8:O58)</f>
        <v>0</v>
      </c>
      <c r="P60" s="59">
        <f>SUM(P8:P58)</f>
        <v>263864111.92455834</v>
      </c>
      <c r="Q60" s="59">
        <f>SUM(Q8:Q58)</f>
        <v>97127939.5697028</v>
      </c>
      <c r="R60" s="60">
        <f>SUM(R8:R58)</f>
        <v>341943855.9862497</v>
      </c>
      <c r="S60" s="57"/>
      <c r="T60" s="58">
        <v>0</v>
      </c>
      <c r="U60" s="61">
        <v>0</v>
      </c>
      <c r="V60" s="61">
        <v>0</v>
      </c>
      <c r="W60" s="62">
        <v>0</v>
      </c>
    </row>
    <row r="61" spans="3:18" ht="13.5" thickBot="1">
      <c r="C61" s="63"/>
      <c r="F61" s="64"/>
      <c r="G61" s="64"/>
      <c r="J61" s="65"/>
      <c r="K61" s="66"/>
      <c r="L61" s="66"/>
      <c r="M61" s="66"/>
      <c r="P61" s="66"/>
      <c r="Q61" s="67"/>
      <c r="R61" s="66"/>
    </row>
    <row r="62" spans="1:23" ht="13.5" thickBot="1">
      <c r="A62" s="68"/>
      <c r="B62" s="69" t="s">
        <v>93</v>
      </c>
      <c r="C62" s="70"/>
      <c r="D62" s="71">
        <v>55742000</v>
      </c>
      <c r="E62" s="72">
        <v>55742000</v>
      </c>
      <c r="F62" s="73">
        <v>11374438.109999998</v>
      </c>
      <c r="G62" s="73">
        <v>3979920.99</v>
      </c>
      <c r="H62" s="74">
        <v>0</v>
      </c>
      <c r="I62" s="75"/>
      <c r="J62" s="76"/>
      <c r="K62" s="77">
        <v>1794.95556994</v>
      </c>
      <c r="L62" s="77">
        <v>574.22009437</v>
      </c>
      <c r="M62" s="78">
        <v>270.88396698</v>
      </c>
      <c r="N62" s="79"/>
      <c r="O62" s="76"/>
      <c r="P62" s="77">
        <v>6446579.054</v>
      </c>
      <c r="Q62" s="77">
        <v>2170694.5320000015</v>
      </c>
      <c r="R62" s="78">
        <v>1007696.2289999998</v>
      </c>
      <c r="S62" s="79"/>
      <c r="T62" s="76">
        <v>0</v>
      </c>
      <c r="U62" s="80">
        <v>0</v>
      </c>
      <c r="V62" s="80">
        <v>0</v>
      </c>
      <c r="W62" s="81">
        <v>0</v>
      </c>
    </row>
    <row r="63" spans="3:18" ht="13.5" thickBot="1">
      <c r="C63" s="63"/>
      <c r="G63" s="82"/>
      <c r="J63" s="65"/>
      <c r="K63" s="66"/>
      <c r="L63" s="66"/>
      <c r="M63" s="66"/>
      <c r="P63" s="66"/>
      <c r="Q63" s="67"/>
      <c r="R63" s="66"/>
    </row>
    <row r="64" spans="1:23" ht="13.5" thickBot="1">
      <c r="A64" s="167" t="s">
        <v>88</v>
      </c>
      <c r="B64" s="168"/>
      <c r="C64" s="83"/>
      <c r="D64" s="84">
        <f>SUM(D60:D62)</f>
        <v>301638428</v>
      </c>
      <c r="E64" s="73">
        <f>SUM(E60:E62)</f>
        <v>301638428</v>
      </c>
      <c r="F64" s="85">
        <f>SUM(F60:F62)</f>
        <v>47390593.63778865</v>
      </c>
      <c r="G64" s="73">
        <f>SUM(G60:G62)</f>
        <v>19206968.669524193</v>
      </c>
      <c r="H64" s="86">
        <f>SUM(H60:H62)</f>
        <v>31899033.892944366</v>
      </c>
      <c r="I64" s="87"/>
      <c r="J64" s="88">
        <f>SUM(J60:J62)</f>
        <v>0</v>
      </c>
      <c r="K64" s="77">
        <f>SUM(K60:K62)</f>
        <v>51755.00140678573</v>
      </c>
      <c r="L64" s="77">
        <f>SUM(L60:L62)</f>
        <v>14228.606325284301</v>
      </c>
      <c r="M64" s="78">
        <f>SUM(M60:M62)</f>
        <v>111843.98398540156</v>
      </c>
      <c r="N64" s="87"/>
      <c r="O64" s="88">
        <f>SUM(O60:O62)</f>
        <v>0</v>
      </c>
      <c r="P64" s="77">
        <f>SUM(P60:P62)</f>
        <v>270310690.97855836</v>
      </c>
      <c r="Q64" s="77">
        <f>SUM(Q60:Q62)</f>
        <v>99298634.10170281</v>
      </c>
      <c r="R64" s="78">
        <f>SUM(R60:R62)</f>
        <v>342951552.21524966</v>
      </c>
      <c r="S64" s="87"/>
      <c r="T64" s="76">
        <v>0</v>
      </c>
      <c r="U64" s="80">
        <v>0</v>
      </c>
      <c r="V64" s="80">
        <v>0</v>
      </c>
      <c r="W64" s="81">
        <v>0</v>
      </c>
    </row>
    <row r="65" spans="1:18" ht="14.25">
      <c r="A65" s="89" t="s">
        <v>0</v>
      </c>
      <c r="C65" s="63"/>
      <c r="H65" s="65"/>
      <c r="K65" s="90"/>
      <c r="L65" s="90"/>
      <c r="P65" s="91"/>
      <c r="R65" s="92"/>
    </row>
  </sheetData>
  <mergeCells count="8">
    <mergeCell ref="A64:B64"/>
    <mergeCell ref="J6:M6"/>
    <mergeCell ref="O6:R6"/>
    <mergeCell ref="T6:W6"/>
    <mergeCell ref="A60:B60"/>
    <mergeCell ref="B6:B7"/>
    <mergeCell ref="A6:A7"/>
    <mergeCell ref="D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17.140625" style="0" customWidth="1"/>
    <col min="3" max="13" width="17.7109375" style="0" customWidth="1"/>
  </cols>
  <sheetData>
    <row r="1" spans="1:2" ht="20.25">
      <c r="A1" s="94" t="s">
        <v>97</v>
      </c>
      <c r="B1" s="95"/>
    </row>
    <row r="2" spans="1:2" ht="20.25">
      <c r="A2" s="94" t="s">
        <v>112</v>
      </c>
      <c r="B2" s="95"/>
    </row>
    <row r="3" spans="1:2" ht="15.75">
      <c r="A3" s="96" t="s">
        <v>174</v>
      </c>
      <c r="B3" s="97"/>
    </row>
    <row r="5" spans="1:2" ht="16.5" thickBot="1">
      <c r="A5" s="96" t="s">
        <v>81</v>
      </c>
      <c r="B5" s="97"/>
    </row>
    <row r="6" spans="1:2" ht="15">
      <c r="A6" s="98" t="s">
        <v>82</v>
      </c>
      <c r="B6" s="99">
        <f>'Program Costs &amp; Impacts'!D60</f>
        <v>245896427.99999997</v>
      </c>
    </row>
    <row r="7" spans="1:2" ht="15">
      <c r="A7" s="100" t="s">
        <v>83</v>
      </c>
      <c r="B7" s="101">
        <f>'Program Costs &amp; Impacts'!F60</f>
        <v>36016155.527788654</v>
      </c>
    </row>
    <row r="8" spans="1:2" ht="15">
      <c r="A8" s="100" t="s">
        <v>84</v>
      </c>
      <c r="B8" s="101">
        <f>'Program Costs &amp; Impacts'!G60</f>
        <v>15227047.67952419</v>
      </c>
    </row>
    <row r="9" spans="1:2" ht="15.75" thickBot="1">
      <c r="A9" s="102" t="s">
        <v>85</v>
      </c>
      <c r="B9" s="103">
        <f>'Program Costs &amp; Impacts'!H60</f>
        <v>31899033.892944366</v>
      </c>
    </row>
    <row r="12" spans="1:2" ht="16.5" thickBot="1">
      <c r="A12" s="96" t="s">
        <v>86</v>
      </c>
      <c r="B12" s="97"/>
    </row>
    <row r="13" spans="1:2" ht="15">
      <c r="A13" s="104" t="s">
        <v>55</v>
      </c>
      <c r="B13" s="105">
        <f>'Program Costs &amp; Impacts'!L64</f>
        <v>14228.606325284301</v>
      </c>
    </row>
    <row r="14" spans="1:2" ht="15">
      <c r="A14" s="106" t="s">
        <v>56</v>
      </c>
      <c r="B14" s="107">
        <f>'Program Costs &amp; Impacts'!Q64</f>
        <v>99298634.10170281</v>
      </c>
    </row>
    <row r="15" spans="1:2" ht="15">
      <c r="A15" s="106" t="s">
        <v>57</v>
      </c>
      <c r="B15" s="107">
        <f>'Program Costs &amp; Impacts'!V64</f>
        <v>0</v>
      </c>
    </row>
    <row r="16" spans="1:2" ht="30">
      <c r="A16" s="108" t="s">
        <v>46</v>
      </c>
      <c r="B16" s="109">
        <f>'Program Costs &amp; Impacts'!M64</f>
        <v>111843.98398540156</v>
      </c>
    </row>
    <row r="17" spans="1:20" ht="30">
      <c r="A17" s="108" t="s">
        <v>47</v>
      </c>
      <c r="B17" s="109">
        <f>'Program Costs &amp; Impacts'!R64</f>
        <v>342951552.21524966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</row>
    <row r="18" spans="1:20" ht="30.75" thickBot="1">
      <c r="A18" s="110" t="s">
        <v>109</v>
      </c>
      <c r="B18" s="111">
        <f>'Program Costs &amp; Impacts'!W64</f>
        <v>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0" ht="15">
      <c r="A19" s="112"/>
      <c r="B19" s="113"/>
      <c r="C19" s="113"/>
      <c r="D19" s="113"/>
      <c r="E19" s="113"/>
      <c r="F19" s="113"/>
      <c r="G19" s="113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ht="15">
      <c r="A20" s="112"/>
      <c r="B20" s="113"/>
      <c r="C20" s="113"/>
      <c r="D20" s="113"/>
      <c r="E20" s="113"/>
      <c r="F20" s="113"/>
      <c r="G20" s="113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ht="16.5" thickBot="1">
      <c r="A21" s="96" t="s">
        <v>110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ht="15">
      <c r="A22" s="114"/>
      <c r="B22" s="175" t="s">
        <v>111</v>
      </c>
      <c r="C22" s="176"/>
      <c r="D22" s="177"/>
      <c r="E22" s="175" t="s">
        <v>35</v>
      </c>
      <c r="F22" s="176"/>
      <c r="G22" s="177"/>
      <c r="H22" s="175" t="s">
        <v>36</v>
      </c>
      <c r="I22" s="176"/>
      <c r="J22" s="177"/>
      <c r="K22" s="175" t="s">
        <v>37</v>
      </c>
      <c r="L22" s="176"/>
      <c r="M22" s="178"/>
      <c r="N22" s="97"/>
      <c r="O22" s="97"/>
      <c r="P22" s="97"/>
      <c r="Q22" s="97"/>
      <c r="R22" s="97"/>
      <c r="S22" s="97"/>
      <c r="T22" s="97"/>
    </row>
    <row r="23" spans="1:20" ht="15">
      <c r="A23" s="115"/>
      <c r="B23" s="116">
        <v>2009</v>
      </c>
      <c r="C23" s="116">
        <v>2010</v>
      </c>
      <c r="D23" s="116">
        <v>2011</v>
      </c>
      <c r="E23" s="117">
        <v>2009</v>
      </c>
      <c r="F23" s="116">
        <v>2010</v>
      </c>
      <c r="G23" s="116">
        <v>2011</v>
      </c>
      <c r="H23" s="117">
        <v>2009</v>
      </c>
      <c r="I23" s="116">
        <v>2010</v>
      </c>
      <c r="J23" s="116">
        <v>2011</v>
      </c>
      <c r="K23" s="117">
        <v>2009</v>
      </c>
      <c r="L23" s="116">
        <v>2010</v>
      </c>
      <c r="M23" s="118">
        <v>2011</v>
      </c>
      <c r="N23" s="97"/>
      <c r="O23" s="97"/>
      <c r="P23" s="97"/>
      <c r="Q23" s="97"/>
      <c r="R23" s="97"/>
      <c r="S23" s="97"/>
      <c r="T23" s="97"/>
    </row>
    <row r="24" spans="1:20" ht="15">
      <c r="A24" s="119" t="s">
        <v>25</v>
      </c>
      <c r="B24" s="120">
        <v>249000</v>
      </c>
      <c r="C24" s="120">
        <v>247000</v>
      </c>
      <c r="D24" s="120">
        <v>245000</v>
      </c>
      <c r="E24" s="120">
        <v>0</v>
      </c>
      <c r="F24" s="120">
        <v>0</v>
      </c>
      <c r="G24" s="120">
        <v>0</v>
      </c>
      <c r="H24" s="120">
        <f>'Program Costs &amp; Impacts'!K64</f>
        <v>51755.00140678573</v>
      </c>
      <c r="I24" s="120">
        <v>0</v>
      </c>
      <c r="J24" s="120">
        <v>0</v>
      </c>
      <c r="K24" s="121">
        <f>H24/B24</f>
        <v>0.20785141127223183</v>
      </c>
      <c r="L24" s="120">
        <v>0</v>
      </c>
      <c r="M24" s="122">
        <v>0</v>
      </c>
      <c r="N24" s="97"/>
      <c r="O24" s="97"/>
      <c r="P24" s="97"/>
      <c r="Q24" s="97"/>
      <c r="R24" s="97"/>
      <c r="S24" s="97"/>
      <c r="T24" s="97"/>
    </row>
    <row r="25" spans="1:20" ht="15">
      <c r="A25" s="123" t="s">
        <v>26</v>
      </c>
      <c r="B25" s="120">
        <v>1189000000</v>
      </c>
      <c r="C25" s="120">
        <v>1176000000</v>
      </c>
      <c r="D25" s="120">
        <v>1164000000</v>
      </c>
      <c r="E25" s="120">
        <v>0</v>
      </c>
      <c r="F25" s="120">
        <v>0</v>
      </c>
      <c r="G25" s="120">
        <v>0</v>
      </c>
      <c r="H25" s="120">
        <f>'Program Costs &amp; Impacts'!P64</f>
        <v>270310690.97855836</v>
      </c>
      <c r="I25" s="120">
        <v>0</v>
      </c>
      <c r="J25" s="120">
        <v>0</v>
      </c>
      <c r="K25" s="121">
        <f>H25/B25</f>
        <v>0.2273428856001332</v>
      </c>
      <c r="L25" s="120">
        <v>0</v>
      </c>
      <c r="M25" s="122">
        <v>0</v>
      </c>
      <c r="N25" s="97"/>
      <c r="O25" s="97"/>
      <c r="P25" s="97"/>
      <c r="Q25" s="97"/>
      <c r="R25" s="97"/>
      <c r="S25" s="97"/>
      <c r="T25" s="97"/>
    </row>
    <row r="26" spans="1:20" ht="15.75" thickBot="1">
      <c r="A26" s="124" t="s">
        <v>27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6">
        <f>IF(E26&lt;0,H26/E26,0)</f>
        <v>0</v>
      </c>
      <c r="L26" s="125">
        <v>0</v>
      </c>
      <c r="M26" s="127">
        <v>0</v>
      </c>
      <c r="N26" s="97"/>
      <c r="O26" s="97"/>
      <c r="P26" s="97"/>
      <c r="Q26" s="97"/>
      <c r="R26" s="97"/>
      <c r="S26" s="97"/>
      <c r="T26" s="97"/>
    </row>
    <row r="27" spans="1:20" ht="15">
      <c r="A27" s="128"/>
      <c r="B27" s="97"/>
      <c r="C27" s="129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9" spans="1:20" ht="16.5" thickBot="1">
      <c r="A29" s="96" t="s">
        <v>171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ht="15">
      <c r="A30" s="130"/>
      <c r="B30" s="175" t="s">
        <v>64</v>
      </c>
      <c r="C30" s="176"/>
      <c r="D30" s="177"/>
      <c r="E30" s="175" t="s">
        <v>65</v>
      </c>
      <c r="F30" s="176"/>
      <c r="G30" s="177"/>
      <c r="H30" s="175" t="s">
        <v>66</v>
      </c>
      <c r="I30" s="176"/>
      <c r="J30" s="177"/>
      <c r="K30" s="175" t="s">
        <v>67</v>
      </c>
      <c r="L30" s="176"/>
      <c r="M30" s="178"/>
      <c r="N30" s="97"/>
      <c r="O30" s="97"/>
      <c r="P30" s="97"/>
      <c r="Q30" s="97"/>
      <c r="R30" s="97"/>
      <c r="S30" s="97"/>
      <c r="T30" s="97"/>
    </row>
    <row r="31" spans="1:20" ht="15">
      <c r="A31" s="131"/>
      <c r="B31" s="117">
        <v>2009</v>
      </c>
      <c r="C31" s="116">
        <v>2010</v>
      </c>
      <c r="D31" s="116">
        <v>2011</v>
      </c>
      <c r="E31" s="117">
        <v>2009</v>
      </c>
      <c r="F31" s="116">
        <v>2010</v>
      </c>
      <c r="G31" s="116">
        <v>2011</v>
      </c>
      <c r="H31" s="117">
        <v>2009</v>
      </c>
      <c r="I31" s="116">
        <v>2010</v>
      </c>
      <c r="J31" s="116">
        <v>2011</v>
      </c>
      <c r="K31" s="117">
        <v>2009</v>
      </c>
      <c r="L31" s="116">
        <v>2010</v>
      </c>
      <c r="M31" s="118">
        <v>2011</v>
      </c>
      <c r="N31" s="97"/>
      <c r="O31" s="97"/>
      <c r="P31" s="97"/>
      <c r="Q31" s="97"/>
      <c r="R31" s="97"/>
      <c r="S31" s="97"/>
      <c r="T31" s="97"/>
    </row>
    <row r="32" spans="1:20" ht="15">
      <c r="A32" s="119" t="s">
        <v>25</v>
      </c>
      <c r="B32" s="120">
        <v>249000</v>
      </c>
      <c r="C32" s="120">
        <v>247000</v>
      </c>
      <c r="D32" s="120">
        <v>245000</v>
      </c>
      <c r="E32" s="120">
        <v>0</v>
      </c>
      <c r="F32" s="120">
        <v>0</v>
      </c>
      <c r="G32" s="120">
        <v>0</v>
      </c>
      <c r="H32" s="120">
        <f>'Program Costs &amp; Impacts'!K64</f>
        <v>51755.00140678573</v>
      </c>
      <c r="I32" s="120">
        <v>0</v>
      </c>
      <c r="J32" s="120">
        <v>0</v>
      </c>
      <c r="K32" s="121">
        <f>H32/B32</f>
        <v>0.20785141127223183</v>
      </c>
      <c r="L32" s="120">
        <v>0</v>
      </c>
      <c r="M32" s="122">
        <v>0</v>
      </c>
      <c r="N32" s="97"/>
      <c r="O32" s="97"/>
      <c r="P32" s="97"/>
      <c r="Q32" s="97"/>
      <c r="R32" s="97"/>
      <c r="S32" s="97"/>
      <c r="T32" s="97"/>
    </row>
    <row r="33" spans="1:20" ht="15">
      <c r="A33" s="123" t="s">
        <v>26</v>
      </c>
      <c r="B33" s="120">
        <v>1189000000</v>
      </c>
      <c r="C33" s="120">
        <v>1176000000</v>
      </c>
      <c r="D33" s="120">
        <v>1164000000</v>
      </c>
      <c r="E33" s="120">
        <v>0</v>
      </c>
      <c r="F33" s="120">
        <v>0</v>
      </c>
      <c r="G33" s="120">
        <v>0</v>
      </c>
      <c r="H33" s="120">
        <f>'Program Costs &amp; Impacts'!P64</f>
        <v>270310690.97855836</v>
      </c>
      <c r="I33" s="120">
        <v>0</v>
      </c>
      <c r="J33" s="120">
        <v>0</v>
      </c>
      <c r="K33" s="121">
        <f>H33/B33</f>
        <v>0.2273428856001332</v>
      </c>
      <c r="L33" s="120">
        <v>0</v>
      </c>
      <c r="M33" s="122">
        <v>0</v>
      </c>
      <c r="N33" s="97"/>
      <c r="O33" s="97"/>
      <c r="P33" s="97"/>
      <c r="Q33" s="97"/>
      <c r="R33" s="97"/>
      <c r="S33" s="97"/>
      <c r="T33" s="97"/>
    </row>
    <row r="34" spans="1:20" ht="15.75" thickBot="1">
      <c r="A34" s="132" t="s">
        <v>27</v>
      </c>
      <c r="B34" s="125">
        <v>0</v>
      </c>
      <c r="C34" s="125">
        <v>0</v>
      </c>
      <c r="D34" s="125">
        <v>0</v>
      </c>
      <c r="E34" s="125">
        <v>0</v>
      </c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6">
        <f>IF(E34&lt;0,H34/E34,0)</f>
        <v>0</v>
      </c>
      <c r="L34" s="125">
        <v>0</v>
      </c>
      <c r="M34" s="127">
        <v>0</v>
      </c>
      <c r="N34" s="97"/>
      <c r="O34" s="97"/>
      <c r="P34" s="97"/>
      <c r="Q34" s="97"/>
      <c r="R34" s="97"/>
      <c r="S34" s="97"/>
      <c r="T34" s="97"/>
    </row>
    <row r="37" spans="1:20" ht="16.5" thickBot="1">
      <c r="A37" s="96" t="s">
        <v>172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1:20" ht="15">
      <c r="A38" s="130"/>
      <c r="B38" s="175" t="s">
        <v>64</v>
      </c>
      <c r="C38" s="176"/>
      <c r="D38" s="177"/>
      <c r="E38" s="175" t="s">
        <v>65</v>
      </c>
      <c r="F38" s="176"/>
      <c r="G38" s="177"/>
      <c r="H38" s="175" t="s">
        <v>66</v>
      </c>
      <c r="I38" s="176"/>
      <c r="J38" s="177"/>
      <c r="K38" s="175" t="s">
        <v>67</v>
      </c>
      <c r="L38" s="176"/>
      <c r="M38" s="178"/>
      <c r="N38" s="97"/>
      <c r="O38" s="97"/>
      <c r="P38" s="97"/>
      <c r="Q38" s="97"/>
      <c r="R38" s="97"/>
      <c r="S38" s="97"/>
      <c r="T38" s="97"/>
    </row>
    <row r="39" spans="1:20" ht="15">
      <c r="A39" s="131"/>
      <c r="B39" s="117">
        <v>2009</v>
      </c>
      <c r="C39" s="116">
        <v>2010</v>
      </c>
      <c r="D39" s="116">
        <v>2011</v>
      </c>
      <c r="E39" s="117">
        <v>2009</v>
      </c>
      <c r="F39" s="116">
        <v>2010</v>
      </c>
      <c r="G39" s="116">
        <v>2011</v>
      </c>
      <c r="H39" s="117">
        <v>2009</v>
      </c>
      <c r="I39" s="116">
        <v>2010</v>
      </c>
      <c r="J39" s="116">
        <v>2011</v>
      </c>
      <c r="K39" s="117">
        <v>2009</v>
      </c>
      <c r="L39" s="116">
        <v>2010</v>
      </c>
      <c r="M39" s="118">
        <v>2011</v>
      </c>
      <c r="N39" s="97"/>
      <c r="O39" s="97"/>
      <c r="P39" s="97"/>
      <c r="Q39" s="97"/>
      <c r="R39" s="97"/>
      <c r="S39" s="97"/>
      <c r="T39" s="97"/>
    </row>
    <row r="40" spans="1:20" ht="15">
      <c r="A40" s="133" t="s">
        <v>25</v>
      </c>
      <c r="B40" s="120">
        <v>1255000</v>
      </c>
      <c r="C40" s="120">
        <v>1502000</v>
      </c>
      <c r="D40" s="120">
        <v>1747000</v>
      </c>
      <c r="E40" s="120">
        <v>0</v>
      </c>
      <c r="F40" s="120">
        <v>0</v>
      </c>
      <c r="G40" s="120">
        <v>0</v>
      </c>
      <c r="H40" s="120">
        <f>246690+745963+H24</f>
        <v>1044408.0014067857</v>
      </c>
      <c r="I40" s="120">
        <v>0</v>
      </c>
      <c r="J40" s="120">
        <v>0</v>
      </c>
      <c r="K40" s="121">
        <f>H40/B40</f>
        <v>0.8321976106826977</v>
      </c>
      <c r="L40" s="120">
        <v>0</v>
      </c>
      <c r="M40" s="122">
        <v>0</v>
      </c>
      <c r="N40" s="97"/>
      <c r="O40" s="97"/>
      <c r="P40" s="97"/>
      <c r="Q40" s="97"/>
      <c r="R40" s="97"/>
      <c r="S40" s="97"/>
      <c r="T40" s="97"/>
    </row>
    <row r="41" spans="1:20" ht="15">
      <c r="A41" s="134" t="s">
        <v>26</v>
      </c>
      <c r="B41" s="120">
        <v>5977000000</v>
      </c>
      <c r="C41" s="120">
        <v>7153000000</v>
      </c>
      <c r="D41" s="120">
        <v>8317000000</v>
      </c>
      <c r="E41" s="120">
        <v>0</v>
      </c>
      <c r="F41" s="120">
        <v>0</v>
      </c>
      <c r="G41" s="120">
        <v>0</v>
      </c>
      <c r="H41" s="120">
        <f>1430555000+4119626221+H25</f>
        <v>5820491911.978559</v>
      </c>
      <c r="I41" s="120">
        <v>0</v>
      </c>
      <c r="J41" s="120">
        <v>0</v>
      </c>
      <c r="K41" s="121">
        <f>H41/B41</f>
        <v>0.9738149426097639</v>
      </c>
      <c r="L41" s="120">
        <v>0</v>
      </c>
      <c r="M41" s="122">
        <v>0</v>
      </c>
      <c r="N41" s="97"/>
      <c r="O41" s="97"/>
      <c r="P41" s="97"/>
      <c r="Q41" s="97"/>
      <c r="R41" s="97"/>
      <c r="S41" s="97"/>
      <c r="T41" s="97"/>
    </row>
    <row r="42" spans="1:20" ht="15.75" thickBot="1">
      <c r="A42" s="132" t="s">
        <v>27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6">
        <f>IF(E42&lt;0,H42/E42,0)</f>
        <v>0</v>
      </c>
      <c r="L42" s="125">
        <v>0</v>
      </c>
      <c r="M42" s="127">
        <v>0</v>
      </c>
      <c r="N42" s="97"/>
      <c r="O42" s="97"/>
      <c r="P42" s="97"/>
      <c r="Q42" s="97"/>
      <c r="R42" s="97"/>
      <c r="S42" s="97"/>
      <c r="T42" s="97"/>
    </row>
    <row r="45" spans="1:20" ht="16.5" thickBot="1">
      <c r="A45" s="96" t="s">
        <v>107</v>
      </c>
      <c r="B45" s="135"/>
      <c r="C45" s="135"/>
      <c r="D45" s="13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1:20" ht="45.75" thickBot="1">
      <c r="A46" s="136"/>
      <c r="B46" s="137" t="s">
        <v>58</v>
      </c>
      <c r="C46" s="137" t="s">
        <v>59</v>
      </c>
      <c r="D46" s="138" t="s">
        <v>60</v>
      </c>
      <c r="E46" s="97"/>
      <c r="F46" s="97"/>
      <c r="G46" s="97"/>
      <c r="H46" s="139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1:20" ht="15.75">
      <c r="A47" s="140" t="s">
        <v>14</v>
      </c>
      <c r="B47" s="141">
        <v>115968008.58616355</v>
      </c>
      <c r="C47" s="141">
        <v>17166.201953262567</v>
      </c>
      <c r="D47" s="142">
        <v>0</v>
      </c>
      <c r="E47" s="139"/>
      <c r="F47" s="179"/>
      <c r="G47" s="179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1:20" ht="15">
      <c r="A48" s="143" t="s">
        <v>2</v>
      </c>
      <c r="B48" s="144">
        <v>14337465.317968875</v>
      </c>
      <c r="C48" s="144">
        <v>2878.2500661526906</v>
      </c>
      <c r="D48" s="145">
        <v>0</v>
      </c>
      <c r="E48" s="139"/>
      <c r="F48" s="179"/>
      <c r="G48" s="179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1:7" ht="15">
      <c r="A49" s="143" t="s">
        <v>3</v>
      </c>
      <c r="B49" s="144">
        <v>0</v>
      </c>
      <c r="C49" s="144">
        <v>0</v>
      </c>
      <c r="D49" s="145">
        <v>0</v>
      </c>
      <c r="E49" s="139"/>
      <c r="F49" s="179"/>
      <c r="G49" s="179"/>
    </row>
    <row r="50" spans="1:7" ht="15">
      <c r="A50" s="143" t="s">
        <v>4</v>
      </c>
      <c r="B50" s="144">
        <v>0</v>
      </c>
      <c r="C50" s="144">
        <v>0</v>
      </c>
      <c r="D50" s="145">
        <v>0</v>
      </c>
      <c r="E50" s="139"/>
      <c r="F50" s="179"/>
      <c r="G50" s="179"/>
    </row>
    <row r="51" spans="1:7" ht="15">
      <c r="A51" s="143" t="s">
        <v>53</v>
      </c>
      <c r="B51" s="144">
        <v>4184507.0802374845</v>
      </c>
      <c r="C51" s="144">
        <v>4460.202695498037</v>
      </c>
      <c r="D51" s="145">
        <v>0</v>
      </c>
      <c r="E51" s="139"/>
      <c r="F51" s="179"/>
      <c r="G51" s="179"/>
    </row>
    <row r="52" spans="1:7" ht="15">
      <c r="A52" s="143" t="s">
        <v>51</v>
      </c>
      <c r="B52" s="144">
        <v>95818997.10411859</v>
      </c>
      <c r="C52" s="144">
        <v>9255.954036554274</v>
      </c>
      <c r="D52" s="145">
        <v>0</v>
      </c>
      <c r="E52" s="146"/>
      <c r="F52" s="179"/>
      <c r="G52" s="179"/>
    </row>
    <row r="53" spans="1:7" ht="15">
      <c r="A53" s="143" t="s">
        <v>5</v>
      </c>
      <c r="B53" s="144">
        <v>356955.681778526</v>
      </c>
      <c r="C53" s="144">
        <v>83.77324725400169</v>
      </c>
      <c r="D53" s="145">
        <v>0</v>
      </c>
      <c r="E53" s="97"/>
      <c r="F53" s="179"/>
      <c r="G53" s="179"/>
    </row>
    <row r="54" spans="1:7" ht="15">
      <c r="A54" s="143" t="s">
        <v>63</v>
      </c>
      <c r="B54" s="144">
        <v>0</v>
      </c>
      <c r="C54" s="144">
        <v>0</v>
      </c>
      <c r="D54" s="145">
        <v>0</v>
      </c>
      <c r="E54" s="139"/>
      <c r="F54" s="179"/>
      <c r="G54" s="179"/>
    </row>
    <row r="55" spans="1:7" ht="15">
      <c r="A55" s="143" t="s">
        <v>6</v>
      </c>
      <c r="B55" s="144">
        <v>12769.772525145054</v>
      </c>
      <c r="C55" s="144">
        <v>1.77447098925176</v>
      </c>
      <c r="D55" s="145">
        <v>0</v>
      </c>
      <c r="E55" s="97"/>
      <c r="F55" s="179"/>
      <c r="G55" s="179"/>
    </row>
    <row r="56" spans="1:7" ht="15">
      <c r="A56" s="143" t="s">
        <v>52</v>
      </c>
      <c r="B56" s="144">
        <v>1257313.629534929</v>
      </c>
      <c r="C56" s="144">
        <v>486.24743681431386</v>
      </c>
      <c r="D56" s="145">
        <v>0</v>
      </c>
      <c r="E56" s="97"/>
      <c r="F56" s="179"/>
      <c r="G56" s="179"/>
    </row>
    <row r="57" spans="1:7" ht="15.75">
      <c r="A57" s="147" t="s">
        <v>15</v>
      </c>
      <c r="B57" s="148">
        <v>129474037.24649903</v>
      </c>
      <c r="C57" s="148">
        <v>28978.197256575466</v>
      </c>
      <c r="D57" s="149">
        <v>0</v>
      </c>
      <c r="E57" s="139"/>
      <c r="F57" s="179"/>
      <c r="G57" s="179"/>
    </row>
    <row r="58" spans="1:7" ht="15">
      <c r="A58" s="150" t="s">
        <v>53</v>
      </c>
      <c r="B58" s="151">
        <v>10959997.769733682</v>
      </c>
      <c r="C58" s="151">
        <v>3618.187369420493</v>
      </c>
      <c r="D58" s="152">
        <v>0</v>
      </c>
      <c r="E58" s="97"/>
      <c r="F58" s="179"/>
      <c r="G58" s="179"/>
    </row>
    <row r="59" spans="1:7" ht="15">
      <c r="A59" s="153" t="s">
        <v>51</v>
      </c>
      <c r="B59" s="151">
        <v>91218888.40472819</v>
      </c>
      <c r="C59" s="151">
        <v>20961.978464181626</v>
      </c>
      <c r="D59" s="145">
        <v>0</v>
      </c>
      <c r="E59" s="146"/>
      <c r="F59" s="179"/>
      <c r="G59" s="179"/>
    </row>
    <row r="60" spans="1:7" ht="15">
      <c r="A60" s="153" t="s">
        <v>7</v>
      </c>
      <c r="B60" s="151">
        <v>331.130523365929</v>
      </c>
      <c r="C60" s="151">
        <v>0.06452698172792466</v>
      </c>
      <c r="D60" s="145">
        <v>0</v>
      </c>
      <c r="E60" s="97"/>
      <c r="F60" s="179"/>
      <c r="G60" s="179"/>
    </row>
    <row r="61" spans="1:7" ht="15">
      <c r="A61" s="153" t="s">
        <v>69</v>
      </c>
      <c r="B61" s="151">
        <v>16410711.677855913</v>
      </c>
      <c r="C61" s="151">
        <v>2876.682438048767</v>
      </c>
      <c r="D61" s="145">
        <v>0</v>
      </c>
      <c r="E61" s="97"/>
      <c r="F61" s="179"/>
      <c r="G61" s="179"/>
    </row>
    <row r="62" spans="1:7" ht="15">
      <c r="A62" s="153" t="s">
        <v>63</v>
      </c>
      <c r="B62" s="151">
        <v>3314609.913448953</v>
      </c>
      <c r="C62" s="151">
        <v>304.99886424031934</v>
      </c>
      <c r="D62" s="145">
        <v>0</v>
      </c>
      <c r="E62" s="97"/>
      <c r="F62" s="179"/>
      <c r="G62" s="179"/>
    </row>
    <row r="63" spans="1:7" ht="15">
      <c r="A63" s="153" t="s">
        <v>52</v>
      </c>
      <c r="B63" s="151">
        <v>7569498.350208949</v>
      </c>
      <c r="C63" s="151">
        <v>1216.2855937025367</v>
      </c>
      <c r="D63" s="145">
        <v>0</v>
      </c>
      <c r="E63" s="97"/>
      <c r="F63" s="179"/>
      <c r="G63" s="179"/>
    </row>
    <row r="64" spans="1:7" ht="15.75">
      <c r="A64" s="154" t="s">
        <v>93</v>
      </c>
      <c r="B64" s="144">
        <f>'Program Costs &amp; Impacts'!P62</f>
        <v>6446579.054</v>
      </c>
      <c r="C64" s="155">
        <f>'Program Costs &amp; Impacts'!K62</f>
        <v>1794.95556994</v>
      </c>
      <c r="D64" s="145">
        <v>0</v>
      </c>
      <c r="E64" s="97"/>
      <c r="F64" s="139"/>
      <c r="G64" s="139"/>
    </row>
    <row r="65" spans="1:7" ht="15.75">
      <c r="A65" s="154" t="s">
        <v>78</v>
      </c>
      <c r="B65" s="144">
        <f>'Program Costs &amp; Impacts'!P23</f>
        <v>18422066.0918958</v>
      </c>
      <c r="C65" s="144">
        <f>'Program Costs &amp; Impacts'!K23</f>
        <v>3815.6466270077</v>
      </c>
      <c r="D65" s="145">
        <v>0</v>
      </c>
      <c r="E65" s="97"/>
      <c r="F65" s="156"/>
      <c r="G65" s="97"/>
    </row>
    <row r="66" spans="1:7" ht="16.5" thickBot="1">
      <c r="A66" s="157" t="s">
        <v>45</v>
      </c>
      <c r="B66" s="158">
        <f>+H25</f>
        <v>270310690.97855836</v>
      </c>
      <c r="C66" s="158">
        <f>+H24</f>
        <v>51755.00140678573</v>
      </c>
      <c r="D66" s="159">
        <v>0</v>
      </c>
      <c r="E66" s="97"/>
      <c r="F66" s="139"/>
      <c r="G66" s="139"/>
    </row>
    <row r="68" spans="1:7" ht="16.5" thickBot="1">
      <c r="A68" s="96" t="s">
        <v>106</v>
      </c>
      <c r="B68" s="135"/>
      <c r="C68" s="135"/>
      <c r="D68" s="135"/>
      <c r="E68" s="97"/>
      <c r="F68" s="97"/>
      <c r="G68" s="97"/>
    </row>
    <row r="69" spans="1:7" ht="45.75" thickBot="1">
      <c r="A69" s="136"/>
      <c r="B69" s="137" t="s">
        <v>58</v>
      </c>
      <c r="C69" s="137" t="s">
        <v>59</v>
      </c>
      <c r="D69" s="138" t="s">
        <v>60</v>
      </c>
      <c r="E69" s="97"/>
      <c r="F69" s="97"/>
      <c r="G69" s="97"/>
    </row>
    <row r="70" spans="1:7" ht="15.75">
      <c r="A70" s="160" t="s">
        <v>14</v>
      </c>
      <c r="B70" s="144">
        <v>120793332.86442971</v>
      </c>
      <c r="C70" s="144">
        <v>16866.060543580446</v>
      </c>
      <c r="D70" s="145">
        <v>0</v>
      </c>
      <c r="E70" s="139"/>
      <c r="F70" s="179"/>
      <c r="G70" s="179"/>
    </row>
    <row r="71" spans="1:7" ht="15">
      <c r="A71" s="153" t="s">
        <v>8</v>
      </c>
      <c r="B71" s="144">
        <v>107657241.6637928</v>
      </c>
      <c r="C71" s="144">
        <v>15274.660198795069</v>
      </c>
      <c r="D71" s="145">
        <v>0</v>
      </c>
      <c r="E71" s="139"/>
      <c r="F71" s="179"/>
      <c r="G71" s="179"/>
    </row>
    <row r="72" spans="1:7" ht="15">
      <c r="A72" s="153" t="s">
        <v>95</v>
      </c>
      <c r="B72" s="144">
        <v>12104241.100086343</v>
      </c>
      <c r="C72" s="144">
        <v>811.9549283785559</v>
      </c>
      <c r="D72" s="145">
        <v>0</v>
      </c>
      <c r="E72" s="139"/>
      <c r="F72" s="179"/>
      <c r="G72" s="179"/>
    </row>
    <row r="73" spans="1:7" ht="15">
      <c r="A73" s="153" t="s">
        <v>96</v>
      </c>
      <c r="B73" s="144">
        <v>1031850.100550559</v>
      </c>
      <c r="C73" s="144">
        <v>779.4454164068211</v>
      </c>
      <c r="D73" s="145">
        <v>0</v>
      </c>
      <c r="E73" s="139"/>
      <c r="F73" s="179"/>
      <c r="G73" s="179"/>
    </row>
    <row r="74" spans="1:7" ht="15.75">
      <c r="A74" s="160" t="s">
        <v>15</v>
      </c>
      <c r="B74" s="144">
        <v>124648712.96823291</v>
      </c>
      <c r="C74" s="144">
        <v>29278.338666257587</v>
      </c>
      <c r="D74" s="145">
        <v>0</v>
      </c>
      <c r="E74" s="139"/>
      <c r="F74" s="179"/>
      <c r="G74" s="179"/>
    </row>
    <row r="75" spans="1:7" ht="15">
      <c r="A75" s="153" t="s">
        <v>9</v>
      </c>
      <c r="B75" s="144">
        <v>98000455.53779778</v>
      </c>
      <c r="C75" s="144">
        <v>24918.452516635392</v>
      </c>
      <c r="D75" s="145">
        <v>0</v>
      </c>
      <c r="E75" s="139"/>
      <c r="F75" s="179"/>
      <c r="G75" s="179"/>
    </row>
    <row r="76" spans="1:7" ht="15">
      <c r="A76" s="153" t="s">
        <v>13</v>
      </c>
      <c r="B76" s="144">
        <v>21127875.21838671</v>
      </c>
      <c r="C76" s="144">
        <v>2788.561746130485</v>
      </c>
      <c r="D76" s="145">
        <v>0</v>
      </c>
      <c r="E76" s="97"/>
      <c r="F76" s="179"/>
      <c r="G76" s="179"/>
    </row>
    <row r="77" spans="1:7" ht="15">
      <c r="A77" s="153" t="s">
        <v>54</v>
      </c>
      <c r="B77" s="144">
        <v>5520382.212048428</v>
      </c>
      <c r="C77" s="144">
        <v>1571.324403491709</v>
      </c>
      <c r="D77" s="145">
        <v>0</v>
      </c>
      <c r="E77" s="97"/>
      <c r="F77" s="179"/>
      <c r="G77" s="179"/>
    </row>
    <row r="78" spans="1:7" ht="15.75">
      <c r="A78" s="154" t="s">
        <v>93</v>
      </c>
      <c r="B78" s="144">
        <f>B64</f>
        <v>6446579.054</v>
      </c>
      <c r="C78" s="144">
        <f>C64</f>
        <v>1794.95556994</v>
      </c>
      <c r="D78" s="161"/>
      <c r="E78" s="97"/>
      <c r="F78" s="97"/>
      <c r="G78" s="97"/>
    </row>
    <row r="79" spans="1:7" ht="15.75">
      <c r="A79" s="154" t="s">
        <v>78</v>
      </c>
      <c r="B79" s="144">
        <f>B65</f>
        <v>18422066.0918958</v>
      </c>
      <c r="C79" s="144">
        <f>C65</f>
        <v>3815.6466270077</v>
      </c>
      <c r="D79" s="145">
        <v>0</v>
      </c>
      <c r="E79" s="97"/>
      <c r="F79" s="97"/>
      <c r="G79" s="97"/>
    </row>
    <row r="80" spans="1:7" ht="16.5" thickBot="1">
      <c r="A80" s="157" t="s">
        <v>45</v>
      </c>
      <c r="B80" s="158">
        <f>+H33</f>
        <v>270310690.97855836</v>
      </c>
      <c r="C80" s="158">
        <f>+H32</f>
        <v>51755.00140678573</v>
      </c>
      <c r="D80" s="162">
        <v>0</v>
      </c>
      <c r="E80" s="139"/>
      <c r="F80" s="139"/>
      <c r="G80" s="139"/>
    </row>
    <row r="81" spans="1:4" ht="15">
      <c r="A81" s="163" t="s">
        <v>76</v>
      </c>
      <c r="B81" s="164"/>
      <c r="C81" s="164"/>
      <c r="D81" s="164"/>
    </row>
    <row r="83" spans="1:4" ht="15">
      <c r="A83" s="165"/>
      <c r="B83" s="139"/>
      <c r="C83" s="139"/>
      <c r="D83" s="97"/>
    </row>
    <row r="84" spans="1:4" ht="15">
      <c r="A84" s="128"/>
      <c r="B84" s="139"/>
      <c r="C84" s="139"/>
      <c r="D84" s="97"/>
    </row>
    <row r="85" spans="1:4" ht="15">
      <c r="A85" s="165"/>
      <c r="B85" s="164"/>
      <c r="C85" s="164"/>
      <c r="D85" s="164"/>
    </row>
    <row r="86" spans="1:4" ht="15">
      <c r="A86" s="163"/>
      <c r="B86" s="97"/>
      <c r="C86" s="97"/>
      <c r="D86" s="97"/>
    </row>
    <row r="93" spans="1:4" ht="15">
      <c r="A93" s="166"/>
      <c r="B93" s="97"/>
      <c r="C93" s="97"/>
      <c r="D93" s="97"/>
    </row>
  </sheetData>
  <mergeCells count="12">
    <mergeCell ref="H22:J22"/>
    <mergeCell ref="K22:M22"/>
    <mergeCell ref="E22:G22"/>
    <mergeCell ref="B22:D22"/>
    <mergeCell ref="B30:D30"/>
    <mergeCell ref="E30:G30"/>
    <mergeCell ref="H30:J30"/>
    <mergeCell ref="K30:M30"/>
    <mergeCell ref="B38:D38"/>
    <mergeCell ref="E38:G38"/>
    <mergeCell ref="H38:J38"/>
    <mergeCell ref="K38:M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Hanway</dc:creator>
  <cp:keywords/>
  <dc:description/>
  <cp:lastModifiedBy>Standard Configuration</cp:lastModifiedBy>
  <dcterms:created xsi:type="dcterms:W3CDTF">2009-04-02T02:52:12Z</dcterms:created>
  <dcterms:modified xsi:type="dcterms:W3CDTF">2009-06-01T17:10:37Z</dcterms:modified>
  <cp:category/>
  <cp:version/>
  <cp:contentType/>
  <cp:contentStatus/>
</cp:coreProperties>
</file>